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charts/chart1.xml" ContentType="application/vnd.openxmlformats-officedocument.drawingml.chart+xml"/>
  <Override PartName="/xl/comments6.xml" ContentType="application/vnd.openxmlformats-officedocument.spreadsheetml.comments+xml"/>
  <Override PartName="/xl/tables/table6.xml" ContentType="application/vnd.openxmlformats-officedocument.spreadsheetml.table+xml"/>
  <Override PartName="/xl/tables/table4.xml" ContentType="application/vnd.openxmlformats-officedocument.spreadsheetml.table+xml"/>
  <Override PartName="/xl/tables/table23.xml" ContentType="application/vnd.openxmlformats-officedocument.spreadsheetml.table+xml"/>
  <Override PartName="/xl/tables/table5.xml" ContentType="application/vnd.openxmlformats-officedocument.spreadsheetml.table+xml"/>
  <Override PartName="/xl/tables/table2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xml" ContentType="application/vnd.openxmlformats-officedocument.spreadsheetml.table+xml"/>
  <Override PartName="/xl/tables/table22.xml" ContentType="application/vnd.openxmlformats-officedocument.spreadsheetml.table+xml"/>
  <Override PartName="/xl/tables/table2.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25.xml" ContentType="application/vnd.openxmlformats-officedocument.spreadsheetml.table+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4"/>
  </bookViews>
  <sheets>
    <sheet name="Start" sheetId="1" state="visible" r:id="rId3"/>
    <sheet name="Status" sheetId="2" state="visible" r:id="rId4"/>
    <sheet name="Roadmap" sheetId="3" state="visible" r:id="rId5"/>
    <sheet name="Settings" sheetId="4" state="visible" r:id="rId6"/>
    <sheet name="Tasks" sheetId="5" state="visible" r:id="rId7"/>
    <sheet name="Resources" sheetId="6" state="visible" r:id="rId8"/>
  </sheets>
  <definedNames>
    <definedName function="false" hidden="false" localSheetId="2" name="_xlnm.Print_Area" vbProcedure="false">Roadmap!$A$1:$AI$39</definedName>
    <definedName function="false" hidden="false" localSheetId="1" name="_xlnm.Print_Area" vbProcedure="false">Status!$B$1:$H$90</definedName>
    <definedName function="false" hidden="false" name="BaselineSet" vbProcedure="false">Settings!$C$29</definedName>
    <definedName function="false" hidden="false" name="CriticalSlackDays" vbProcedure="false">Settings!$C$26</definedName>
    <definedName function="false" hidden="false" name="DefaultUnits" vbProcedure="false">Settings!$C$9</definedName>
    <definedName function="false" hidden="false" name="DuplicateUIDs" vbProcedure="false">Settings!$C$42</definedName>
    <definedName function="false" hidden="false" name="FinishVarianceDays" vbProcedure="false">Settings!$C$30</definedName>
    <definedName function="false" hidden="false" name="FocusFactor" vbProcedure="false">Settings!$C$24</definedName>
    <definedName function="false" hidden="false" name="GanttPeriod" vbProcedure="false">Settings!$C$20</definedName>
    <definedName function="false" hidden="false" name="GanttStart" vbProcedure="false">Settings!$C$19</definedName>
    <definedName function="false" hidden="false" name="gantt_Origin" vbProcedure="false">Tasks!$HH$5</definedName>
    <definedName function="false" hidden="false" name="Holidays" vbProcedure="false">HolidayTable[Date]</definedName>
    <definedName function="false" hidden="false" name="HoursPerDay" vbProcedure="false">Start!$C$8</definedName>
    <definedName function="false" hidden="false" name="leave_Days" vbProcedure="false">{1,2,3,4,5,6,7,8,9,10,11,12,13,14,15,16,17,18,19,20,21,22,23,24,25,26,27,28,29,30,31}</definedName>
    <definedName function="false" hidden="false" name="leave_Grid" vbProcedure="false">ResourceTable[[#Data],[Jan-26]:[Dec-28]]</definedName>
    <definedName function="false" hidden="false" name="leave_Months" vbProcedure="false">ResourceTable[[#Headers],[Jan-26]:[Dec-28]]</definedName>
    <definedName function="false" hidden="false" name="LiveGrids" vbProcedure="false">Settings!$C$22</definedName>
    <definedName function="false" hidden="false" name="LookaheadDays" vbProcedure="false">Settings!$C$31</definedName>
    <definedName function="false" hidden="false" name="LookaheadEnd" vbProcedure="false">Settings!$C$32</definedName>
    <definedName function="false" hidden="false" name="lv_Days" vbProcedure="false">LeaveDays[Days]</definedName>
    <definedName function="false" hidden="false" name="lv_Key" vbProcedure="false">LeaveDays[_Key]</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LogType" vbProcedure="false">ListLogType[Log Type]</definedName>
    <definedName function="false" hidden="false" name="L_Mode" vbProcedure="false">ListMode[Task Mode]</definedName>
    <definedName function="false" hidden="false" name="L_Period" vbProcedure="false">ListPeriod[Gantt Days per Column]</definedName>
    <definedName function="false" hidden="false" name="L_ProjectType" vbProcedure="false">ProjectPresets[Project Type]</definedName>
    <definedName function="false" hidden="false" name="L_RAG" vbProcedure="false">ListRAG[RAG]</definedName>
    <definedName function="false" hidden="false" name="L_RAIDStatus" vbProcedure="false">ListRAIDStatus[RAID Status]</definedName>
    <definedName function="false" hidden="false" name="L_ResType" vbProcedure="false">ListResType[Resource Type]</definedName>
    <definedName function="false" hidden="false" name="L_Stage" vbProcedure="false">StageTable[Stage]</definedName>
    <definedName function="false" hidden="false" name="L_WorkingWeek" vbProcedure="false">ListWorkingWeek[Working Week]</definedName>
    <definedName function="false" hidden="false" name="L_YesNo" vbProcedure="false">ListYesNo[Yes / No]</definedName>
    <definedName function="false" hidden="false" name="MaxPeople" vbProcedure="false">Settings!$C$25</definedName>
    <definedName function="false" hidden="false" name="MissingUIDs" vbProcedure="false">Settings!$C$43</definedName>
    <definedName function="false" hidden="false" name="NextFreeUID" vbProcedure="false">Settings!$C$40</definedName>
    <definedName function="false" hidden="false" name="OutlineShowLevel" vbProcedure="false">Settings!$C$21</definedName>
    <definedName function="false" hidden="false" name="PertP50" vbProcedure="false">Settings!$C$45</definedName>
    <definedName function="false" hidden="false" name="PertP80" vbProcedure="false">Settings!$C$46</definedName>
    <definedName function="false" hidden="false" name="PlannedFinish" vbProcedure="false">Settings!$C$28</definedName>
    <definedName function="false" hidden="false" name="PlannerModules" vbProcedure="false">""</definedName>
    <definedName function="false" hidden="false" name="PlannerVersion" vbProcedure="false">"2.1"</definedName>
    <definedName function="false" hidden="false" name="ProjectFinish" vbProcedure="false">Settings!$C$27</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ProjectType" vbProcedure="false">Start!$C$9</definedName>
    <definedName function="false" hidden="false" name="RAGAmberIndex" vbProcedure="false">Settings!$C$35</definedName>
    <definedName function="false" hidden="false" name="RAGAmberSlipDays" vbProcedure="false">Settings!$C$33</definedName>
    <definedName function="false" hidden="false" name="RAGRedIndex" vbProcedure="false">Settings!$C$36</definedName>
    <definedName function="false" hidden="false" name="RAGRedSlipDays" vbProcedure="false">Settings!$C$34</definedName>
    <definedName function="false" hidden="false" name="RAIDHighScore" vbProcedure="false">Settings!$C$37</definedName>
    <definedName function="false" hidden="false" name="RAIDMediumScore" vbProcedure="false">Settings!$C$38</definedName>
    <definedName function="false" hidden="false" name="RescheduleAfterStatus" vbProcedure="false">Settings!$C$8</definedName>
    <definedName function="false" hidden="false" name="ResourceWeekStart" vbProcedure="false">Settings!$C$39</definedName>
    <definedName function="false" hidden="false" name="res_Allocation" vbProcedure="false">ResourceTable[Allocation %]</definedName>
    <definedName function="false" hidden="false" name="res_Email" vbProcedure="false">ResourceTable[Email]</definedName>
    <definedName function="false" hidden="false" name="res_End" vbProcedure="false">ResourceTable[End]</definedName>
    <definedName function="false" hidden="false" name="res_Focus" vbProcedure="false">ResourceTable[_Focus]</definedName>
    <definedName function="false" hidden="false" name="res_FocusInput" vbProcedure="false">ResourceTable[Focus %]</definedName>
    <definedName function="false" hidden="false" name="res_Group" vbProcedure="false">ResourceTable[Group]</definedName>
    <definedName function="false" hidden="false" name="res_Initials" vbProcedure="false">ResourceTable[Initials]</definedName>
    <definedName function="false" hidden="false" name="res_Name" vbProcedure="false">ResourceTable[Resource Name]</definedName>
    <definedName function="false" hidden="false" name="res_Start" vbProcedure="false">ResourceTable[Start]</definedName>
    <definedName function="false" hidden="false" name="res_Type" vbProcedure="false">ResourceTable[Type]</definedName>
    <definedName function="false" hidden="false" name="rm_Origin" vbProcedure="false">Roadmap!$Q$5</definedName>
    <definedName function="false" hidden="false" name="RoadmapStart" vbProcedure="false">Settings!$C$23</definedName>
    <definedName function="false" hidden="false" name="Sandbox" vbProcedure="false">Settings!$C$44</definedName>
    <definedName function="false" hidden="false" name="sch_Planned" vbProcedure="false">Status!$D$32</definedName>
    <definedName function="false" hidden="false" name="sch_Progress" vbProcedure="false">Status!$D$31</definedName>
    <definedName function="false" hidden="false" name="sch_SPI" vbProcedure="false">Status!$D$33</definedName>
    <definedName function="false" hidden="false" name="StatusDate" vbProcedure="false">Settings!$C$6</definedName>
    <definedName function="false" hidden="false" name="StatusDateInput" vbProcedure="false">Status!$C$5</definedName>
    <definedName function="false" hidden="false" name="StatusWorkday" vbProcedure="false">Settings!$C$7</definedName>
    <definedName function="false" hidden="false" name="stg_Name" vbProcedure="false">StageTable[Stage]</definedName>
    <definedName function="false" hidden="false" name="stg_Pct" vbProcedure="false">StageTable[% Complete]</definedName>
    <definedName function="false" hidden="false" name="sts_Narrative" vbProcedure="false">Status!$B$24</definedName>
    <definedName function="false" hidden="false" name="TakeBaseline" vbProcedure="false">Settings!$C$41</definedName>
    <definedName function="false" hidden="false" name="TemplateVersion" vbProcedure="false">"1.1"</definedName>
    <definedName function="false" hidden="false" name="tsk_Accountable" vbProcedure="false">Tasks[Accountable]</definedName>
    <definedName function="false" hidden="false" name="tsk_ActFinish" vbProcedure="false">Tasks[Actual Finish]</definedName>
    <definedName function="false" hidden="false" name="tsk_ActStart" vbProcedure="false">Tasks[Actual Start]</definedName>
    <definedName function="false" hidden="false" name="tsk_BaseDuration" vbProcedure="false">Tasks[Baseline Duration]</definedName>
    <definedName function="false" hidden="false" name="tsk_BaseFinish" vbProcedure="false">Tasks[Baseline Finish]</definedName>
    <definedName function="false" hidden="false" name="tsk_Baseline" vbProcedure="false">Tasks[[Baseline Start]:[Baseline Work]]</definedName>
    <definedName function="false" hidden="false" name="tsk_BaseStart" vbProcedure="false">Tasks[Baseline Start]</definedName>
    <definedName function="false" hidden="false" name="tsk_BaseWork" vbProcedure="false">Tasks[Baseline Work]</definedName>
    <definedName function="false" hidden="false" name="tsk_BLSource" vbProcedure="false">Tasks[[BL Source Start]:[BL Source Work]]</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nsulted" vbProcedure="false">Tasks[Consulted]</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escendants" vbProcedure="false">Tasks[_Descendants]</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Tasks[_Days]</definedName>
    <definedName function="false" hidden="false" name="tsk_DurationVariance" vbProcedure="false">Tasks[Duration Var]</definedName>
    <definedName function="false" hidden="false" name="tsk_FcFinish" vbProcedure="false">Tasks[Finish]</definedName>
    <definedName function="false" hidden="false" name="tsk_FcStart" vbProcedure="false">Tasks[Start]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nformed" vbProcedure="false">Tasks[Informed]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TotalWork" vbProcedure="false">Tasks[_LeafTotalWork]</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Owner" vbProcedure="false">Tasks[Owner]</definedName>
    <definedName function="false" hidden="false" name="tsk_PctInput" vbProcedure="false">Tasks[% Complete]</definedName>
    <definedName function="false" hidden="false" name="tsk_People" vbProcedure="false">Tasks[_People]</definedName>
    <definedName function="false" hidden="false" name="tsk_PertExpected" vbProcedure="false">Tasks[Expected]</definedName>
    <definedName function="false" hidden="false" name="tsk_PertShift" vbProcedure="false">Tasks[_PertShift]</definedName>
    <definedName function="false" hidden="false" name="tsk_PertVariance" vbProcedure="false">Tasks[_PertVariance]</definedName>
    <definedName function="false" hidden="false" name="tsk_Phase" vbProcedure="false">Tasks[_Phase]</definedName>
    <definedName function="false" hidden="false" name="tsk_PhaseKey" vbProcedure="false">Tasks[_PhaseKey]</definedName>
    <definedName function="false" hidden="false" name="tsk_PickList" vbProcedure="false">Tasks[_PickList]</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 by ID]</definedName>
    <definedName function="false" hidden="false" name="tsk_PredecessorsInput" vbProcedure="false">Tasks[_Predecessors]</definedName>
    <definedName function="false" hidden="false" name="tsk_Progress" vbProcedure="false">Tasks[Progress]</definedName>
    <definedName function="false" hidden="false" name="tsk_Res2" vbProcedure="false">Tasks[_Res2]</definedName>
    <definedName function="false" hidden="false" name="tsk_Res2Done" vbProcedure="false">Tasks[_Res2WorkDone]</definedName>
    <definedName function="false" hidden="false" name="tsk_Res2Units" vbProcedure="false">Tasks[_Res2Units]</definedName>
    <definedName function="false" hidden="false" name="tsk_Res2WBefore" vbProcedure="false">Tasks[_Res2WorkBefore]</definedName>
    <definedName function="false" hidden="false" name="tsk_Res2Work" vbProcedure="false">Tasks[_Res2Work]</definedName>
    <definedName function="false" hidden="false" name="tsk_Res2WPD" vbProcedure="false">Tasks[_Res2WorkPerWD]</definedName>
    <definedName function="false" hidden="false" name="tsk_Res3" vbProcedure="false">Tasks[_Res3]</definedName>
    <definedName function="false" hidden="false" name="tsk_Res3Done" vbProcedure="false">Tasks[_Res3WorkDone]</definedName>
    <definedName function="false" hidden="false" name="tsk_Res3Units" vbProcedure="false">Tasks[_Res3Units]</definedName>
    <definedName function="false" hidden="false" name="tsk_Res3WBefore" vbProcedure="false">Tasks[_Res3WorkBefore]</definedName>
    <definedName function="false" hidden="false" name="tsk_Res3Work" vbProcedure="false">Tasks[_Res3Work]</definedName>
    <definedName function="false" hidden="false" name="tsk_Res3WPD" vbProcedure="false">Tasks[_Res3WorkPerWD]</definedName>
    <definedName function="false" hidden="false" name="tsk_Res4" vbProcedure="false">Tasks[_Res4]</definedName>
    <definedName function="false" hidden="false" name="tsk_Res4Done" vbProcedure="false">Tasks[_Res4WorkDone]</definedName>
    <definedName function="false" hidden="false" name="tsk_Res4Units" vbProcedure="false">Tasks[_Res4Units]</definedName>
    <definedName function="false" hidden="false" name="tsk_Res4WBefore" vbProcedure="false">Tasks[_Res4WorkBefore]</definedName>
    <definedName function="false" hidden="false" name="tsk_Res4Work" vbProcedure="false">Tasks[_Res4Work]</definedName>
    <definedName function="false" hidden="false" name="tsk_Res4WPD" vbProcedure="false">Tasks[_Res4WorkPerWD]</definedName>
    <definedName function="false" hidden="false" name="tsk_Resource" vbProcedure="false">Tasks[_Resource1]</definedName>
    <definedName function="false" hidden="false" name="tsk_ResourceNames" vbProcedure="false">Tasks[Resource Names]</definedName>
    <definedName function="false" hidden="false" name="tsk_ResourcesInput" vbProcedure="false">Tasks[_Resources]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ge" vbProcedure="false">Tasks[Stage]</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Tasks[_Units1]</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tsk_WtPlanned" vbProcedure="false">Tasks[_WeightPlanned]</definedName>
    <definedName function="false" hidden="false" name="ViewFrom" vbProcedure="false">Settings!$C$18</definedName>
    <definedName function="false" hidden="false" name="WorkFri" vbProcedure="false">Settings!$C$14</definedName>
    <definedName function="false" hidden="false" name="WorkingWeek" vbProcedure="false">Start!$C$7</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s>
  <calcPr calcId="191029" calcMode="auto" fullCalcOnLoad="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A6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20</xdr:rowOff>
              </xdr:from>
              <xdr:to>
                <xdr:col>2</xdr:col>
                <xdr:colOff>-43</xdr:colOff>
                <xdr:row>4</xdr:row>
                <xdr:rowOff>13</xdr:rowOff>
              </xdr:to>
            </anchor>
          </commentPr>
        </mc:Choice>
        <mc:Fallback/>
      </mc:AlternateContent>
    </comment>
    <comment ref="A6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6</xdr:rowOff>
              </xdr:from>
              <xdr:to>
                <xdr:col>2</xdr:col>
                <xdr:colOff>-43</xdr:colOff>
                <xdr:row>5</xdr:row>
                <xdr:rowOff>5</xdr:rowOff>
              </xdr:to>
            </anchor>
          </commentPr>
        </mc:Choice>
        <mc:Fallback/>
      </mc:AlternateContent>
    </comment>
    <comment ref="A7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17</xdr:rowOff>
              </xdr:from>
              <xdr:to>
                <xdr:col>2</xdr:col>
                <xdr:colOff>-43</xdr:colOff>
                <xdr:row>5</xdr:row>
                <xdr:rowOff>16</xdr:rowOff>
              </xdr:to>
            </anchor>
          </commentPr>
        </mc:Choice>
        <mc:Fallback/>
      </mc:AlternateContent>
    </comment>
    <comment ref="E13"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16"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13"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16"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3"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6"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3"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6"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1</xdr:row>
                <xdr:rowOff>9</xdr:rowOff>
              </xdr:from>
              <xdr:to>
                <xdr:col>4</xdr:col>
                <xdr:colOff>-73</xdr:colOff>
                <xdr:row>5</xdr:row>
                <xdr:rowOff>8</xdr:rowOff>
              </xdr:to>
            </anchor>
          </commentPr>
        </mc:Choice>
        <mc:Fallback/>
      </mc:AlternateContent>
    </comment>
    <comment ref="L7" authorId="0">
      <text>
        <r>
          <rPr>
            <sz val="10"/>
            <rFont val="Arial"/>
            <family val="2"/>
          </rPr>
          <t xml:space="preserve">Detail tasks complete out of the phase's tasks (milestones left out). Progress weighs them by duration.</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M7" authorId="0">
      <text>
        <r>
          <rPr>
            <sz val="10"/>
            <rFont val="Arial"/>
            <family val="2"/>
          </rPr>
          <t xml:space="preserve">From the phase's finish slip against its planned finish (Settings &gt; RAG slip thresholds).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N7" authorId="0">
      <text>
        <r>
          <rPr>
            <sz val="10"/>
            <rFont val="Arial"/>
            <family val="2"/>
          </rPr>
          <t xml:space="preserve">The phase's earliest milestone not yet done, with its forecast date.</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O7" authorId="0">
      <text>
        <r>
          <rPr>
            <sz val="10"/>
            <rFont val="Arial"/>
            <family val="2"/>
          </rPr>
          <t xml:space="preserve">Jumps to the phase's row on Tasks.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P7" authorId="0">
      <text>
        <r>
          <rPr>
            <sz val="10"/>
            <rFont val="Arial"/>
            <family val="2"/>
          </rPr>
          <t xml:space="preserve">Row on Tasks of the phase's next milestone (smallest open milestone key in the phase).</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E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F5" authorId="0">
      <text>
        <r>
          <rPr>
            <sz val="10"/>
            <rFont val="Arial"/>
            <family val="2"/>
          </rPr>
          <t xml:space="preserve">Predecessor 1: pick a task (its UID and name) or type its UID. It must be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G5" authorId="0">
      <text>
        <r>
          <rPr>
            <sz val="10"/>
            <rFont val="Arial"/>
            <family val="2"/>
          </rPr>
          <t xml:space="preserve">Link type: FS (blank: finish to start), SS, FF or SF.</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H5" authorId="0">
      <text>
        <r>
          <rPr>
            <sz val="10"/>
            <rFont val="Arial"/>
            <family val="2"/>
          </rPr>
          <t xml:space="preserve">Lag in working days (negative = lead). Blank = 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I5" authorId="0">
      <text>
        <r>
          <rPr>
            <sz val="10"/>
            <rFont val="Arial"/>
            <family val="2"/>
          </rPr>
          <t xml:space="preserve">Predecessor 2: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J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K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L5" authorId="0">
      <text>
        <r>
          <rPr>
            <sz val="10"/>
            <rFont val="Arial"/>
            <family val="2"/>
          </rPr>
          <t xml:space="preserve">Predecessor 3: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M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N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O5" authorId="0">
      <text>
        <r>
          <rPr>
            <sz val="10"/>
            <rFont val="Arial"/>
            <family val="2"/>
          </rPr>
          <t xml:space="preserve">Predecessor 4: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P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Q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R5" authorId="0">
      <text>
        <r>
          <rPr>
            <sz val="10"/>
            <rFont val="Arial"/>
            <family val="2"/>
          </rPr>
          <t xml:space="preserve">Tasks that must come first, by UID, comma-separated: 12 = after 12 finishes; 12SS+2d = 2 days after 12 starts; FS, SS, FF, SF; lag in working days (- = lead). Up to 4; each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6</xdr:row>
                <xdr:rowOff>3</xdr:rowOff>
              </xdr:to>
            </anchor>
          </commentPr>
        </mc:Choice>
        <mc:Fallback/>
      </mc:AlternateContent>
    </comment>
    <comment ref="S5" authorId="0">
      <text>
        <r>
          <rPr>
            <sz val="10"/>
            <rFont val="Arial"/>
            <family val="2"/>
          </rPr>
          <t xml:space="preserve">Person 1 on the task: pick a name from Resources.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T5" authorId="0">
      <text>
        <r>
          <rPr>
            <sz val="10"/>
            <rFont val="Arial"/>
            <family val="2"/>
          </rPr>
          <t xml:space="preserve">Share of their time on this task (blank = Settings &gt;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U5" authorId="0">
      <text>
        <r>
          <rPr>
            <sz val="10"/>
            <rFont val="Arial"/>
            <family val="2"/>
          </rPr>
          <t xml:space="preserve">Person 2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V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W5" authorId="0">
      <text>
        <r>
          <rPr>
            <sz val="10"/>
            <rFont val="Arial"/>
            <family val="2"/>
          </rPr>
          <t xml:space="preserve">Person 3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X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Y5" authorId="0">
      <text>
        <r>
          <rPr>
            <sz val="10"/>
            <rFont val="Arial"/>
            <family val="2"/>
          </rPr>
          <t xml:space="preserve">Person 4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Z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A5" authorId="0">
      <text>
        <r>
          <rPr>
            <sz val="10"/>
            <rFont val="Arial"/>
            <family val="2"/>
          </rPr>
          <t xml:space="preserve">Who does it: names or initials from Resources, comma-separated, with an optional share of their time, e.g. Alex Chen, JL[50%] (blank = DefaultUnits). Up to 4 people.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5</xdr:row>
                <xdr:rowOff>8</xdr:rowOff>
              </xdr:to>
            </anchor>
          </commentPr>
        </mc:Choice>
        <mc:Fallback/>
      </mc:AlternateContent>
    </comment>
    <comment ref="AB5" authorId="0">
      <text>
        <r>
          <rPr>
            <sz val="10"/>
            <rFont val="Arial"/>
            <family val="2"/>
          </rPr>
          <t xml:space="preserve">Where the task is: Not Started, Design, In Development, Test Ready, In Testing, Complete. Each stage's % Complete is on Settings &gt; Stages.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E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F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G5" authorId="0">
      <text>
        <r>
          <rPr>
            <sz val="10"/>
            <rFont val="Arial"/>
            <family val="2"/>
          </rPr>
          <t xml:space="preserve">Planned Sprint if entered, otherwise the sprint containing the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I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 ref="AJ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K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L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AM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N5" authorId="0">
      <text>
        <r>
          <rPr>
            <sz val="10"/>
            <rFont val="Arial"/>
            <family val="2"/>
          </rPr>
          <t xml:space="preserve">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P5" authorId="0">
      <text>
        <r>
          <rPr>
            <sz val="10"/>
            <rFont val="Arial"/>
            <family val="2"/>
          </rPr>
          <t xml:space="preserve">Yes when Total Slack &lt;= CriticalSlackDays (Settings) and the task isn't complete.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Q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R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S5" authorId="0">
      <text>
        <r>
          <rPr>
            <sz val="10"/>
            <rFont val="Arial"/>
            <family val="2"/>
          </rPr>
          <t xml:space="preserve">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T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U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V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W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Y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Z5" authorId="0">
      <text>
        <r>
          <rPr>
            <sz val="10"/>
            <rFont val="Arial"/>
            <family val="2"/>
          </rPr>
          <t xml:space="preserve">Optional: overrides the Stage's % (0-100%). Blank = the Stage's %. An Actual Finish counts as 100%.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A5" authorId="0">
      <text>
        <r>
          <rPr>
            <sz val="10"/>
            <rFont val="Arial"/>
            <family val="2"/>
          </rPr>
          <t xml:space="preserve">The Stage's % (or the % Complete override),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B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C5" authorId="0">
      <text>
        <r>
          <rPr>
            <sz val="10"/>
            <rFont val="Arial"/>
            <family val="2"/>
          </rPr>
          <t xml:space="preserve">Outline number, generated from Level.</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D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E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F5" authorId="0">
      <text>
        <r>
          <rPr>
            <sz val="10"/>
            <rFont val="Arial"/>
            <family val="2"/>
          </rPr>
          <t xml:space="preserve">Who answers for this phase: shown on the Roadmap. Phase (Level 1) rows.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G5" authorId="0">
      <text>
        <r>
          <rPr>
            <sz val="10"/>
            <rFont val="Arial"/>
            <family val="2"/>
          </rPr>
          <t xml:space="preserve">Everyone on the task, by full name with units: the Resources cell, checked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H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I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J5" authorId="0">
      <text>
        <r>
          <rPr>
            <sz val="10"/>
            <rFont val="Arial"/>
            <family val="2"/>
          </rPr>
          <t xml:space="preserve">Optional: the sprint this task is planned in (dropdown). Blank = the sprint containing its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K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L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M5" authorId="0">
      <text>
        <r>
          <rPr>
            <sz val="10"/>
            <rFont val="Arial"/>
            <family val="2"/>
          </rPr>
          <t xml:space="preserve">Copy the 4 BL Source columns, then Paste Special &gt; Values onto the 4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Q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U5" authorId="0">
      <text>
        <r>
          <rPr>
            <sz val="10"/>
            <rFont val="Arial"/>
            <family val="2"/>
          </rPr>
          <t xml:space="preserve">RACI: who is accountable (one person, from Resources). Responsible = the Resources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BV5" authorId="0">
      <text>
        <r>
          <rPr>
            <sz val="10"/>
            <rFont val="Arial"/>
            <family val="2"/>
          </rPr>
          <t xml:space="preserve">RACI: who is consulted (names, comma-separated; anyone, not only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W5" authorId="0">
      <text>
        <r>
          <rPr>
            <sz val="10"/>
            <rFont val="Arial"/>
            <family val="2"/>
          </rPr>
          <t xml:space="preserve">RACI: who is kept informed (names, comma-separated).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X5" authorId="0">
      <text>
        <r>
          <rPr>
            <sz val="10"/>
            <rFont val="Arial"/>
            <family val="2"/>
          </rPr>
          <t xml:space="preserve">Three-point estimate: (Optimistic + 4 x Duration + Pessimistic) / 6. Blank until both are typed. Settings &gt; PertP50 / PertP80 add them up.</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BY5" authorId="0">
      <text>
        <r>
          <rPr>
            <sz val="10"/>
            <rFont val="Arial"/>
            <family val="2"/>
          </rPr>
          <t xml:space="preserve">Optimistic: the fewest working days it could take (at most the Duration).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Z5" authorId="0">
      <text>
        <r>
          <rPr>
            <sz val="10"/>
            <rFont val="Arial"/>
            <family val="2"/>
          </rPr>
          <t xml:space="preserve">Pessimistic: the most working days it could take (at least the Duration).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A5" authorId="0">
      <text>
        <r>
          <rPr>
            <sz val="10"/>
            <rFont val="Arial"/>
            <family val="2"/>
          </rPr>
          <t xml:space="preserve">What-if duration (3, 3d or 2w): used instead of Duration while Settings &gt; Sandbox = Yes. Status says when the sandbox is 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60" authorId="0">
      <text>
        <r>
          <rPr>
            <sz val="10"/>
            <rFont val="Arial"/>
            <family val="2"/>
          </rPr>
          <t xml:space="preserve">Pick the person (Resources).</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C60" authorId="0">
      <text>
        <r>
          <rPr>
            <sz val="10"/>
            <rFont val="Arial"/>
            <family val="2"/>
          </rPr>
          <t xml:space="preserve">Pick the month: one of the month columns above, e.g. Nov-26.</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How much of this person is on this project: 100% = full time, 70% = 7 of every 10 days.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G5" authorId="0">
      <text>
        <r>
          <rPr>
            <sz val="10"/>
            <rFont val="Arial"/>
            <family val="2"/>
          </rPr>
          <t xml:space="preserve">Optional: first day on the project (blank = from the start).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H5" authorId="0">
      <text>
        <r>
          <rPr>
            <sz val="10"/>
            <rFont val="Arial"/>
            <family val="2"/>
          </rPr>
          <t xml:space="preserve">Optional: last day on the project (blank = to the end).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Share of their sprint time that is delivery (story points); the rest is ceremonies and overhead. Blank = Settings &gt; FocusFactor. 0% = an advisory role: allocated, but no points.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79</xdr:rowOff>
              </xdr:to>
            </anchor>
          </commentPr>
        </mc:Choice>
        <mc:Fallback/>
      </mc:AlternateContent>
    </comment>
    <comment ref="K5" authorId="0">
      <text>
        <r>
          <rPr>
            <sz val="10"/>
            <rFont val="Arial"/>
            <family val="2"/>
          </rPr>
          <t xml:space="preserve">Detail tasks this resource is on (Tasks &gt; Resources).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Tasks with this person as Accountable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Tasks that name this person in Consulted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P5" authorId="0">
      <text>
        <r>
          <rPr>
            <sz val="10"/>
            <rFont val="Arial"/>
            <family val="2"/>
          </rPr>
          <t xml:space="preserve">Tasks that name this person in Informed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Q5" authorId="0">
      <text>
        <r>
          <rPr>
            <sz val="10"/>
            <rFont val="Arial"/>
            <family val="2"/>
          </rPr>
          <t xml:space="preserve">Focus % in use (the setting when blank).</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R5"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S5"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T5"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U5"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V5"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W5"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X5"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Y5"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Z5"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A5"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B5"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C5"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D5"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E5"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F5"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G5"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H5"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5"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60" authorId="0">
      <text>
        <r>
          <rPr>
            <sz val="10"/>
            <rFont val="Arial"/>
            <family val="2"/>
          </rPr>
          <t xml:space="preserve">The days off as the month cells write them: what the reports read.</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AJ5" authorId="0">
      <text>
        <r>
          <rPr>
            <sz val="10"/>
            <rFont val="Arial"/>
            <family val="2"/>
          </rPr>
          <t xml:space="preserve">Days off in Jul-27: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J60" authorId="0">
      <text>
        <r>
          <rPr>
            <sz val="10"/>
            <rFont val="Arial"/>
            <family val="2"/>
          </rPr>
          <t xml:space="preserve">Person|month: the look-up key (helper).</t>
        </r>
      </text>
      <mc:AlternateContent>
        <mc:Choice Requires="v2">
          <commentPr autoFill="true" autoScale="false" colHidden="tru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AK5"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L5"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M5"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N5"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O5"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P5"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Q5"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R5"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S5"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T5"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U5"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V5"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W5"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X5"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Y5"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Z5"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BA5"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sharedStrings.xml><?xml version="1.0" encoding="utf-8"?>
<sst xmlns="http://schemas.openxmlformats.org/spreadsheetml/2006/main" count="933" uniqueCount="776">
  <si>
    <t xml:space="preserve">Project Planner - start here</t>
  </si>
  <si>
    <t xml:space="preserve">Blue = type here. Grey = calculated. Every sheet works in Excel alone: desktop, web and iPhone.</t>
  </si>
  <si>
    <t xml:space="preserve">YOUR PROJECT</t>
  </si>
  <si>
    <t xml:space="preserve">Project name</t>
  </si>
  <si>
    <t xml:space="preserve">Customer Portal Implementation</t>
  </si>
  <si>
    <t xml:space="preserve">Project manager</t>
  </si>
  <si>
    <t xml:space="preserve">Priya Sharma</t>
  </si>
  <si>
    <t xml:space="preserve">Project start date</t>
  </si>
  <si>
    <t xml:space="preserve">Working week</t>
  </si>
  <si>
    <t xml:space="preserve">Mon-Fri</t>
  </si>
  <si>
    <t xml:space="preserve">Working hours per day</t>
  </si>
  <si>
    <t xml:space="preserve">Project type</t>
  </si>
  <si>
    <t xml:space="preserve">Software / Agile</t>
  </si>
  <si>
    <t xml:space="preserve">QUICK START</t>
  </si>
  <si>
    <t xml:space="preserve">1. Your project</t>
  </si>
  <si>
    <t xml:space="preserve">Fill in the blue cells above: name, manager, start date, working week, hours per day and the project type (it sets the stages, sprint length and RAG thresholds). Everything else has a sensible default on Settings.  Go to Settings.</t>
  </si>
  <si>
    <t xml:space="preserve">2. People</t>
  </si>
  <si>
    <t xml:space="preserve">List the people (or roles) with their Allocation %. Leave: type 1 (or 0.5) under each day off in the LEAVE BY DAY grid under the people (or type the days in a month column).  Go to Resources.</t>
  </si>
  <si>
    <t xml:space="preserve">3. Tasks</t>
  </si>
  <si>
    <t xml:space="preserve">One row per task: Level (1 = phase, 2 = task ...), Task Name and Duration (3, 3d or 2w). Pick what must come first in Pred1 (a dropdown of the tasks above) and who does it in Res1; + opens links and people 2-4. Dates, the critical path, the Gantt and the reports follow.  Go to Tasks.</t>
  </si>
  <si>
    <t xml:space="preserve">4. Check</t>
  </si>
  <si>
    <t xml:space="preserve">Fix anything in the Issues column (red), then look at the Gantt timeline to the right of the table (the link at the top of Tasks) and the Roadmap.  Go to Tasks.</t>
  </si>
  <si>
    <t xml:space="preserve">5. Baseline</t>
  </si>
  <si>
    <t xml:space="preserve">When the plan is agreed, freeze it: on Tasks open the BASELINE section (+), copy the 4 'BL Source' columns and Paste Special &gt; Values onto the 4 Baseline columns.  Go to Tasks.</t>
  </si>
  <si>
    <t xml:space="preserve">EVERY WEEK</t>
  </si>
  <si>
    <t xml:space="preserve">Status sheet</t>
  </si>
  <si>
    <t xml:space="preserve">Type the status date at the top of Status and follow its steps (progress on Tasks, the Log, the RAG, the commentary). Then the Check sheet, and the snapshot row on TakeSnapshot. A report in about ten minutes.  Go to Status.</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</si>
  <si>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</si>
  <si>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</si>
  <si>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</si>
  <si>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</si>
  <si>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</si>
  <si>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</si>
  <si>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</si>
  <si>
    <t xml:space="preserve">2. Resources</t>
  </si>
  <si>
    <t xml:space="preserve">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</si>
  <si>
    <t xml:space="preserve">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</si>
  <si>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</si>
  <si>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</si>
  <si>
    <t xml:space="preserve">5. Track progress</t>
  </si>
  <si>
    <t xml:space="preserve">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</si>
  <si>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</si>
  <si>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</si>
  <si>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</si>
  <si>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</si>
  <si>
    <t xml:space="preserve">6b. Roadmap</t>
  </si>
  <si>
    <t xml:space="preserve">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</si>
  <si>
    <t xml:space="preserve">8. Status</t>
  </si>
  <si>
    <t xml:space="preserve">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</si>
  <si>
    <t xml:space="preserve">Protected sheets</t>
  </si>
  <si>
    <t xml:space="preserve">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</si>
  <si>
    <t xml:space="preserve">Leave</t>
  </si>
  <si>
    <t xml:space="preserve">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</si>
  <si>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</si>
  <si>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</si>
  <si>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</si>
  <si>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</si>
  <si>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</si>
  <si>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</si>
  <si>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</si>
  <si>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Duration</t>
  </si>
  <si>
    <t xml:space="preserve">Working days: 3, 3d or 2w (a week = 5 working days); 0 = a milestone. Anything else (e.g. '2days') is refused when typed and flagged in Issues when pasted.</t>
  </si>
  <si>
    <t xml:space="preserve">Printing</t>
  </si>
  <si>
    <t xml:space="preserve">Status, Roadmap, Resource Report and Check are set to print on one page wide, with the template version and page number in the footer.</t>
  </si>
  <si>
    <t xml:space="preserve">Limits</t>
  </si>
  <si>
    <t xml:space="preserve">See README &gt; Limits: the predecessor rule (above its successor), 4 links and 4 people per task, the fixed grid sizes, and what needs a rebuild.</t>
  </si>
  <si>
    <t xml:space="preserve">RACI</t>
  </si>
  <si>
    <t xml:space="preserve">Tasks &gt; RACI (+): Accountable (one person, from Resources), Consulted and Informed (names, comma-separated). Responsible is the task's Resources. Resources counts each person's tasks in each role.</t>
  </si>
  <si>
    <t xml:space="preserve">Dependencies</t>
  </si>
  <si>
    <t xml:space="preserve">On the Log, a Dependency row with an Expected date and a Task UID shows the task's start and the gap in working days (negative = it arrives too late). Status lists the five latest against their task; Check counts the late ones.</t>
  </si>
  <si>
    <t xml:space="preserve">Sandbox</t>
  </si>
  <si>
    <t xml:space="preserve">Try a what-if without touching the plan: type a Sandbox Duration on the tasks (Tasks &gt; ESTIMATES and SANDBOX), then Settings &gt; Sandbox = Yes. Every date and report follows; Status and Check say the sandbox is on. Set No to go back; the Sandbox Durations stay for next time.</t>
  </si>
  <si>
    <t xml:space="preserve">Three-point estimates</t>
  </si>
  <si>
    <t xml:space="preserve">Optimistic and Pessimistic beside a task's Duration give its Expected duration ((O + 4 x Duration + P) / 6). Status shows the finish with a 50% (P50) and 80% (P80) chance, from the critical tasks' estimates.</t>
  </si>
  <si>
    <t xml:space="preserve">Summary</t>
  </si>
  <si>
    <t xml:space="preserve">Status &gt; SUMMARY writes the status in one paragraph (RAG, finish, progress, late tasks, next milestone, top risk, late dependencies): copy it into the commentary and add the why.</t>
  </si>
  <si>
    <t xml:space="preserve">RULES (same as MS Project)</t>
  </si>
  <si>
    <t xml:space="preserve">ID and UID</t>
  </si>
  <si>
    <t xml:space="preserve">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</si>
  <si>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</si>
  <si>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</si>
  <si>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</si>
  <si>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</si>
  <si>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</si>
  <si>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</si>
  <si>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</si>
  <si>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</si>
  <si>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</si>
  <si>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</si>
  <si>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</si>
  <si>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</si>
  <si>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Pasting rows</t>
  </si>
  <si>
    <t xml:space="preserve">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</si>
  <si>
    <t xml:space="preserve">Capacity</t>
  </si>
  <si>
    <t xml:space="preserve">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</si>
  <si>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</si>
  <si>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</si>
  <si>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Views not updating?</t>
  </si>
  <si>
    <t xml:space="preserve">Formulas &gt; Calculation Options must be Automatic. Excel takes the mode from the first workbook opened in a session, so another workbook in Manual mode makes this one manual too: switch back to Automatic, or press F9 to recalculate.</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</si>
  <si>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</si>
  <si>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</si>
  <si>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</si>
  <si>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</si>
  <si>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</si>
  <si>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</si>
  <si>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</si>
  <si>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</si>
  <si>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</si>
  <si>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</si>
  <si>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</si>
  <si>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</si>
  <si>
    <t xml:space="preserve">Task columns</t>
  </si>
  <si>
    <t xml:space="preserve">tsk_ID, tsk_UID, tsk_WBS, tsk_Name, tsk_Duration, tsk_PlanStart, tsk_FcFinish, tsk_Status, tsk_Resource, tsk_Work, tsk_Stage ... each is Tasks[Column], so it grows with the table. Other sheets read Tasks only through these names.</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</si>
  <si>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</si>
  <si>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</si>
  <si>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THIS WEEK</t>
  </si>
  <si>
    <t xml:space="preserve">Every reporting date, top to bottom</t>
  </si>
  <si>
    <t xml:space="preserve">1. Status date</t>
  </si>
  <si>
    <t xml:space="preserve">Type the reporting date (Ctrl+; = today)</t>
  </si>
  <si>
    <t xml:space="preserve">2. Progress</t>
  </si>
  <si>
    <t xml:space="preserve">On Tasks: the Stage, Actual Start and Actual Finish for the tasks that moved.  Go to Tasks.</t>
  </si>
  <si>
    <t xml:space="preserve">4. RAG</t>
  </si>
  <si>
    <t xml:space="preserve">Review the RAG below; where you disagree, pick a PM RAG and say why in Comment.</t>
  </si>
  <si>
    <t xml:space="preserve">5. Commentary</t>
  </si>
  <si>
    <t xml:space="preserve">Write this period's notes in the COMMENTARY table below.</t>
  </si>
  <si>
    <t xml:space="preserve">Area</t>
  </si>
  <si>
    <t xml:space="preserve">Measure</t>
  </si>
  <si>
    <t xml:space="preserve">Value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</si>
  <si>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</si>
  <si>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</si>
  <si>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</si>
  <si>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</si>
  <si>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</si>
  <si>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</si>
  <si>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</si>
  <si>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</si>
  <si>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</si>
  <si>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progress / progress planned by now (duration-weighted)</t>
  </si>
  <si>
    <t xml:space="preserve">Deadlines</t>
  </si>
  <si>
    <t xml:space="preserve">Tasks forecast to miss their deadline</t>
  </si>
  <si>
    <t xml:space="preserve">Critical tasks forecast to finish late</t>
  </si>
  <si>
    <t xml:space="preserve">Plan quality</t>
  </si>
  <si>
    <t xml:space="preserve">Ignored links and outline errors (see Tasks)</t>
  </si>
  <si>
    <t xml:space="preserve">SUMMARY (automatic: copy it into the commentary below and add the why)</t>
  </si>
  <si>
    <t xml:space="preserve">KEY FIGURES</t>
  </si>
  <si>
    <t xml:space="preserve">Source</t>
  </si>
  <si>
    <t xml:space="preserve">Status</t>
  </si>
  <si>
    <t xml:space="preserve">Count</t>
  </si>
  <si>
    <t xml:space="preserve">Planned start</t>
  </si>
  <si>
    <t xml:space="preserve">Tasks</t>
  </si>
  <si>
    <t xml:space="preserve">Complete</t>
  </si>
  <si>
    <t xml:space="preserve">Planned finish</t>
  </si>
  <si>
    <t xml:space="preserve">Tasks (the baseline once it is set)</t>
  </si>
  <si>
    <t xml:space="preserve">In Progress</t>
  </si>
  <si>
    <t xml:space="preserve">Forecast finish</t>
  </si>
  <si>
    <t xml:space="preserve">Behind</t>
  </si>
  <si>
    <t xml:space="preserve">Overall progress (duration-weighted)</t>
  </si>
  <si>
    <t xml:space="preserve">Late Start</t>
  </si>
  <si>
    <t xml:space="preserve">Planned progress by status date</t>
  </si>
  <si>
    <t xml:space="preserve">Not Started</t>
  </si>
  <si>
    <t xml:space="preserve">Schedule performance (SPI)</t>
  </si>
  <si>
    <t xml:space="preserve">Progress / planned progress</t>
  </si>
  <si>
    <t xml:space="preserve">Detail tasks</t>
  </si>
  <si>
    <t xml:space="preserve">Milestones</t>
  </si>
  <si>
    <t xml:space="preserve">Total work (hrs)</t>
  </si>
  <si>
    <t xml:space="preserve">Baseline</t>
  </si>
  <si>
    <t xml:space="preserve">Tasks &gt; BASELINE</t>
  </si>
  <si>
    <t xml:space="preserve">Open critical tasks</t>
  </si>
  <si>
    <t xml:space="preserve">Tasks with issues (see Tasks &gt; Issues)</t>
  </si>
  <si>
    <t xml:space="preserve">Tasks &gt; Issues</t>
  </si>
  <si>
    <t xml:space="preserve">Finish P50 (three-point estimates)</t>
  </si>
  <si>
    <t xml:space="preserve">Tasks &gt; ESTIMATES</t>
  </si>
  <si>
    <t xml:space="preserve">Finish P80 (three-point estimates)</t>
  </si>
  <si>
    <t xml:space="preserve">Next milestones (forecast)</t>
  </si>
  <si>
    <t xml:space="preserve">Forecast date</t>
  </si>
  <si>
    <t xml:space="preserve">_Task</t>
  </si>
  <si>
    <t xml:space="preserve">Task</t>
  </si>
  <si>
    <t xml:space="preserve">Resources</t>
  </si>
  <si>
    <t xml:space="preserve">Finish</t>
  </si>
  <si>
    <t xml:space="preserve">Finish Var</t>
  </si>
  <si>
    <t xml:space="preserve">Critical</t>
  </si>
  <si>
    <t xml:space="preserve">Progress</t>
  </si>
  <si>
    <t xml:space="preserve">Deadline Check</t>
  </si>
  <si>
    <t xml:space="preserve">Start</t>
  </si>
  <si>
    <t xml:space="preserve">Total Slack</t>
  </si>
  <si>
    <t xml:space="preserve">COMMENTARY for this period (type in the Notes column)</t>
  </si>
  <si>
    <t xml:space="preserve">Section</t>
  </si>
  <si>
    <t xml:space="preserve">Notes</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</si>
  <si>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</si>
  <si>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</si>
  <si>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</si>
  <si>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</si>
  <si>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</si>
  <si>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</si>
  <si>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</si>
  <si>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Owner</t>
  </si>
  <si>
    <t xml:space="preserve">Planned Start</t>
  </si>
  <si>
    <t xml:space="preserve">Planned Finish</t>
  </si>
  <si>
    <t xml:space="preserve">Tasks Done</t>
  </si>
  <si>
    <t xml:space="preserve">Next Milestone</t>
  </si>
  <si>
    <t xml:space="preserve">Link</t>
  </si>
  <si>
    <t xml:space="preserve">_Milestone</t>
  </si>
  <si>
    <t xml:space="preserve">Milestone</t>
  </si>
  <si>
    <t xml:space="preserve">Planned</t>
  </si>
  <si>
    <t xml:space="preserve">Deadline</t>
  </si>
  <si>
    <t xml:space="preserve">Forecast</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</si>
  <si>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</si>
  <si>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</si>
  <si>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</si>
  <si>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</si>
  <si>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</si>
  <si>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</si>
  <si>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</si>
  <si>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</si>
  <si>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</si>
  <si>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</si>
  <si>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Dropdown lists (+)</t>
  </si>
  <si>
    <t xml:space="preserve">Link Type</t>
  </si>
  <si>
    <t xml:space="preserve">Task Mode</t>
  </si>
  <si>
    <t xml:space="preserve">Working Week</t>
  </si>
  <si>
    <t xml:space="preserve">Constraint</t>
  </si>
  <si>
    <t xml:space="preserve">Yes / No</t>
  </si>
  <si>
    <t xml:space="preserve">Resource Type</t>
  </si>
  <si>
    <t xml:space="preserve">Gantt Days per Column</t>
  </si>
  <si>
    <t xml:space="preserve">Log Type</t>
  </si>
  <si>
    <t xml:space="preserve">RAID Status</t>
  </si>
  <si>
    <t xml:space="preserve">Decision Status</t>
  </si>
  <si>
    <t xml:space="preserve">Change Status</t>
  </si>
  <si>
    <t xml:space="preserve">Project Type</t>
  </si>
  <si>
    <t xml:space="preserve">Sprint Length</t>
  </si>
  <si>
    <t xml:space="preserve">Amber Slip</t>
  </si>
  <si>
    <t xml:space="preserve">Red Slip</t>
  </si>
  <si>
    <t xml:space="preserve">Stage 1</t>
  </si>
  <si>
    <t xml:space="preserve">Stage 2</t>
  </si>
  <si>
    <t xml:space="preserve">Stage 3</t>
  </si>
  <si>
    <t xml:space="preserve">Stage 4</t>
  </si>
  <si>
    <t xml:space="preserve">Stage 5</t>
  </si>
  <si>
    <t xml:space="preserve">Stage 6</t>
  </si>
  <si>
    <t xml:space="preserve">% 1</t>
  </si>
  <si>
    <t xml:space="preserve">% 2</t>
  </si>
  <si>
    <t xml:space="preserve">% 3</t>
  </si>
  <si>
    <t xml:space="preserve">% 4</t>
  </si>
  <si>
    <t xml:space="preserve">% 5</t>
  </si>
  <si>
    <t xml:space="preserve">% 6</t>
  </si>
  <si>
    <t xml:space="preserve">Project start (in use)</t>
  </si>
  <si>
    <t xml:space="preserve">ProjectStart</t>
  </si>
  <si>
    <t xml:space="preserve">Copy of the date above (dates show as 1900 until it is entered).</t>
  </si>
  <si>
    <t xml:space="preserve">FS</t>
  </si>
  <si>
    <t xml:space="preserve">Auto</t>
  </si>
  <si>
    <t xml:space="preserve">As Soon As Possible</t>
  </si>
  <si>
    <t xml:space="preserve">Yes</t>
  </si>
  <si>
    <t xml:space="preserve">Work</t>
  </si>
  <si>
    <t xml:space="preserve">Green</t>
  </si>
  <si>
    <t xml:space="preserve">Risk</t>
  </si>
  <si>
    <t xml:space="preserve">Open</t>
  </si>
  <si>
    <t xml:space="preserve">Proposed</t>
  </si>
  <si>
    <t xml:space="preserve">Submitted</t>
  </si>
  <si>
    <t xml:space="preserve">Design</t>
  </si>
  <si>
    <t xml:space="preserve">In Development</t>
  </si>
  <si>
    <t xml:space="preserve">Test Ready</t>
  </si>
  <si>
    <t xml:space="preserve">In Testing</t>
  </si>
  <si>
    <t xml:space="preserve">Status date (in use)</t>
  </si>
  <si>
    <t xml:space="preserve">StatusDate</t>
  </si>
  <si>
    <t xml:space="preserve">The project start until a status date is entered. Drives Status, the red status-date line on the Gantt and rescheduling of late work.</t>
  </si>
  <si>
    <t xml:space="preserve">SS</t>
  </si>
  <si>
    <t xml:space="preserve">Manual</t>
  </si>
  <si>
    <t xml:space="preserve">Sun-Thu</t>
  </si>
  <si>
    <t xml:space="preserve">As Late As Possible</t>
  </si>
  <si>
    <t xml:space="preserve">No</t>
  </si>
  <si>
    <t xml:space="preserve">Material</t>
  </si>
  <si>
    <t xml:space="preserve">Amber</t>
  </si>
  <si>
    <t xml:space="preserve">Assumption</t>
  </si>
  <si>
    <t xml:space="preserve">Approved</t>
  </si>
  <si>
    <t xml:space="preserve">Under Review</t>
  </si>
  <si>
    <t xml:space="preserve">Construction</t>
  </si>
  <si>
    <t xml:space="preserve">Mobilised</t>
  </si>
  <si>
    <t xml:space="preserve">Under Way</t>
  </si>
  <si>
    <t xml:space="preserve">Inspection</t>
  </si>
  <si>
    <t xml:space="preserve">Snagging</t>
  </si>
  <si>
    <t xml:space="preserve">First working day on/after status date</t>
  </si>
  <si>
    <t xml:space="preserve">StatusWorkday</t>
  </si>
  <si>
    <t xml:space="preserve">FF</t>
  </si>
  <si>
    <t xml:space="preserve">Mon-Sat</t>
  </si>
  <si>
    <t xml:space="preserve">Must Start On</t>
  </si>
  <si>
    <t xml:space="preserve">Cost</t>
  </si>
  <si>
    <t xml:space="preserve">Red</t>
  </si>
  <si>
    <t xml:space="preserve">Issue</t>
  </si>
  <si>
    <t xml:space="preserve">Closed</t>
  </si>
  <si>
    <t xml:space="preserve">Rejected</t>
  </si>
  <si>
    <t xml:space="preserve">IT infrastructure</t>
  </si>
  <si>
    <t xml:space="preserve">Build</t>
  </si>
  <si>
    <t xml:space="preserve">Testing</t>
  </si>
  <si>
    <t xml:space="preserve">Cutover</t>
  </si>
  <si>
    <t xml:space="preserve">Reschedule incomplete work after status date?</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</si>
  <si>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</si>
  <si>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</si>
  <si>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SF</t>
  </si>
  <si>
    <t xml:space="preserve">Custom</t>
  </si>
  <si>
    <t xml:space="preserve">Must Finish On</t>
  </si>
  <si>
    <t xml:space="preserve">Dependency</t>
  </si>
  <si>
    <t xml:space="preserve">Superseded</t>
  </si>
  <si>
    <t xml:space="preserve">Default assignment units</t>
  </si>
  <si>
    <t xml:space="preserve">DefaultUnits</t>
  </si>
  <si>
    <t xml:space="preserve">Used when a task has a resource but Units is blank. 100% = full time.</t>
  </si>
  <si>
    <t xml:space="preserve">Start No Earlier Than</t>
  </si>
  <si>
    <t xml:space="preserve">Decision</t>
  </si>
  <si>
    <t xml:space="preserve">Implemented</t>
  </si>
  <si>
    <t xml:space="preserve">Monday is a working day</t>
  </si>
  <si>
    <t xml:space="preserve">WorkMon</t>
  </si>
  <si>
    <t xml:space="preserve">Used when Working week (Start sheet) is Custom: Yes / No for each day.</t>
  </si>
  <si>
    <t xml:space="preserve">Start No Later Than</t>
  </si>
  <si>
    <t xml:space="preserve">Change</t>
  </si>
  <si>
    <t xml:space="preserve">Tuesday is a working day</t>
  </si>
  <si>
    <t xml:space="preserve">WorkTue</t>
  </si>
  <si>
    <t xml:space="preserve">Finish No Earlier Than</t>
  </si>
  <si>
    <t xml:space="preserve">Wednesday is a working day</t>
  </si>
  <si>
    <t xml:space="preserve">WorkWed</t>
  </si>
  <si>
    <t xml:space="preserve">Finish No Later Than</t>
  </si>
  <si>
    <t xml:space="preserve">Thursday is a working day</t>
  </si>
  <si>
    <t xml:space="preserve">WorkThu</t>
  </si>
  <si>
    <t xml:space="preserve">Friday is a working day</t>
  </si>
  <si>
    <t xml:space="preserve">WorkFri</t>
  </si>
  <si>
    <t xml:space="preserve">Dropdown sources. Add a value by typing it in the row under a list: the table and its named range grow.</t>
  </si>
  <si>
    <t xml:space="preserve">Saturday is a working day</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</si>
  <si>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</si>
  <si>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</si>
  <si>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</si>
  <si>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</si>
  <si>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</si>
  <si>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</si>
  <si>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Show the Gantt and Resource Report from</t>
  </si>
  <si>
    <t xml:space="preserve">ViewFrom</t>
  </si>
  <si>
    <t xml:space="preserve">Defaults to two weeks before the status date (the project start until then). Overwrite with any date to scroll both views at once; GanttStart and ResourceWeekStart below follow it unless you overwrite them.</t>
  </si>
  <si>
    <t xml:space="preserve">Gantt timeline start</t>
  </si>
  <si>
    <t xml:space="preserve">GanttStart</t>
  </si>
  <si>
    <t xml:space="preserve">Defaults to the Monday of the View from week. Overwrite with any date to scroll the timeline alone.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</si>
  <si>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</si>
  <si>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</si>
  <si>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</si>
  <si>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</si>
  <si>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</si>
  <si>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&gt; Show (DETAIL section) is Yes for rows at this level or above: filter Show = Yes to see only phases (1), phases and tasks (2) ... Reapply the filter (Data &gt; Reapply) after changing it.</t>
  </si>
  <si>
    <t xml:space="preserve">Live resource grids</t>
  </si>
  <si>
    <t xml:space="preserve">LiveGrids</t>
  </si>
  <si>
    <t xml:space="preserve">No = the Resource Report's weekly and sprint grids per person (and Tasks &gt; Over-allocated) stop calculating, for fast bulk entry on a big plan; Status says so while they are off. Set Yes afterwards.</t>
  </si>
  <si>
    <t xml:space="preserve">Roadmap first month</t>
  </si>
  <si>
    <t xml:space="preserve">RoadmapStart</t>
  </si>
  <si>
    <t xml:space="preserve">The Roadmap sheet's first month. Overwrite with the first of any month to scroll it.</t>
  </si>
  <si>
    <t xml:space="preserve">Sprint focus (share of time on delivery)</t>
  </si>
  <si>
    <t xml:space="preserve">FocusFactor</t>
  </si>
  <si>
    <t xml:space="preserve">Of each person's available days in a sprint, the share that is delivery (1 person-day = 1 story point); the rest is ceremonies and overhead. A Focus % on Resources overrides it per person (0% = advisory).</t>
  </si>
  <si>
    <t xml:space="preserve">Most people on one task (calculated)</t>
  </si>
  <si>
    <t xml:space="preserve">MaxPeople</t>
  </si>
  <si>
    <t xml:space="preserve">Per-resource totals skip the person slots no task uses, so a plan with one person per task stays fast.</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</si>
  <si>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</si>
  <si>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</si>
  <si>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</si>
  <si>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</si>
  <si>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</si>
  <si>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</si>
  <si>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</si>
  <si>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</si>
  <si>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</si>
  <si>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Baseline set (calculated)</t>
  </si>
  <si>
    <t xml:space="preserve">BaselineSet</t>
  </si>
  <si>
    <t xml:space="preserve">TRUE once any task has a Baseline Start: the Gantt then outlines only the tasks that have one.</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</si>
  <si>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</si>
  <si>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</si>
  <si>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</si>
  <si>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</si>
  <si>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</si>
  <si>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Status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</si>
  <si>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</si>
  <si>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</si>
  <si>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</si>
  <si>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</si>
  <si>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sheet thresholds. A finish slip of at least this many working days is amber.</t>
  </si>
  <si>
    <t xml:space="preserve">RAG: red when the finish slips by (working days)</t>
  </si>
  <si>
    <t xml:space="preserve">RAGRedSlipDays</t>
  </si>
  <si>
    <t xml:space="preserve">Both slip thresholds default from the Project type (Start); type a number to set your own.</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</si>
  <si>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</si>
  <si>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</si>
  <si>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</si>
  <si>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</si>
  <si>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</si>
  <si>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</si>
  <si>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</si>
  <si>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</si>
  <si>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</si>
  <si>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</si>
  <si>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</si>
  <si>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</si>
  <si>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of the View from week. Overwrite with any Monday to scroll the weekly grids alone.</t>
  </si>
  <si>
    <t xml:space="preserve">Next free task UID (calculated)</t>
  </si>
  <si>
    <t xml:space="preserve">NextFreeUID</t>
  </si>
  <si>
    <t xml:space="preserve">Give a newly inserted task row this UID (see Start &gt; Inserting tasks).</t>
  </si>
  <si>
    <t xml:space="preserve">Re-baseline every task (BL Source)</t>
  </si>
  <si>
    <t xml:space="preserve">TakeBaseline</t>
  </si>
  <si>
    <t xml:space="preserve">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</si>
  <si>
    <t xml:space="preserve">Tasks sharing a UID (calculated)</t>
  </si>
  <si>
    <t xml:space="preserve">DuplicateUIDs</t>
  </si>
  <si>
    <t xml:space="preserve">Should be 0. Each such task says so in Tasks &gt; Issues; give one of them Settings &gt; NextFreeUID.</t>
  </si>
  <si>
    <t xml:space="preserve">Named tasks without a UID (calculated)</t>
  </si>
  <si>
    <t xml:space="preserve">MissingUIDs</t>
  </si>
  <si>
    <t xml:space="preserve">Should be 0: links can't point at a task without a UID.</t>
  </si>
  <si>
    <t xml:space="preserve">Sandbox: use the Sandbox Durations (what-if)</t>
  </si>
  <si>
    <t xml:space="preserve">Yes = every task with a Sandbox Duration (Tasks &gt; ESTIMATES and SANDBOX) uses it instead of its Duration, and the whole plan, Status and the reports show the what-if. Status and Check say so. Set No to go back.</t>
  </si>
  <si>
    <t xml:space="preserve">Finish P50, from the estimates (calculated)</t>
  </si>
  <si>
    <t xml:space="preserve">PertP50</t>
  </si>
  <si>
    <t xml:space="preserve">Forecast finish moved by the critical tasks' Expected - Duration: a 50% chance of finishing by then.</t>
  </si>
  <si>
    <t xml:space="preserve">Finish P80, from the estimates (calculated)</t>
  </si>
  <si>
    <t xml:space="preserve">PertP80</t>
  </si>
  <si>
    <t xml:space="preserve">Adds 0.84 standard deviations (the critical tasks' variances added up): an 80% chance of finishing by then.</t>
  </si>
  <si>
    <t xml:space="preserve">STAGES: pick one per task on Tasks &gt; Stage; its % Complete counts as the task's progress (a typed % Complete overrides it).</t>
  </si>
  <si>
    <t xml:space="preserve">Stage</t>
  </si>
  <si>
    <t xml:space="preserve">% Complete</t>
  </si>
  <si>
    <t xml:space="preserve">HOLIDAYS: every date here is skipped by all scheduling formulas (named range: Holidays). Add rows to the table as needed.</t>
  </si>
  <si>
    <t xml:space="preserve">Date</t>
  </si>
  <si>
    <t xml:space="preserve">Description</t>
  </si>
  <si>
    <t xml:space="preserve">Christmas Eve (example - replace with your calendar)</t>
  </si>
  <si>
    <t xml:space="preserve">Christmas Day (example)</t>
  </si>
  <si>
    <t xml:space="preserve">New Year's Eve (example)</t>
  </si>
  <si>
    <t xml:space="preserve">New Year's Day (example)</t>
  </si>
  <si>
    <t xml:space="preserve">Done (% complete)</t>
  </si>
  <si>
    <t xml:space="preserve">Remaining - on track</t>
  </si>
  <si>
    <t xml:space="preserve">Slip: past the planned finish</t>
  </si>
  <si>
    <t xml:space="preserve">Remaining - critical</t>
  </si>
  <si>
    <t xml:space="preserve">Planned, no work now</t>
  </si>
  <si>
    <t xml:space="preserve">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</si>
  <si>
    <t xml:space="preserve">Summary (forecast)</t>
  </si>
  <si>
    <t xml:space="preserve">Milestone (forecast)</t>
  </si>
  <si>
    <t xml:space="preserve">Status date</t>
  </si>
  <si>
    <t xml:space="preserve">Non-working day</t>
  </si>
  <si>
    <t xml:space="preserve">Gantt timeline &gt;&gt;</t>
  </si>
  <si>
    <t xml:space="preserve">PLAN: type or pick in the blue columns</t>
  </si>
  <si>
    <t xml:space="preserve">PREDECESSORS: pick</t>
  </si>
  <si>
    <t xml:space="preserve">+ links 2-4, text</t>
  </si>
  <si>
    <t xml:space="preserve">RESOURCES: pick</t>
  </si>
  <si>
    <t xml:space="preserve">+ people 2-4, text</t>
  </si>
  <si>
    <t xml:space="preserve">PROGRESS</t>
  </si>
  <si>
    <t xml:space="preserve">SCHEDULING</t>
  </si>
  <si>
    <t xml:space="preserve">DETAIL</t>
  </si>
  <si>
    <t xml:space="preserve">WORK</t>
  </si>
  <si>
    <t xml:space="preserve">AGILE</t>
  </si>
  <si>
    <t xml:space="preserve">BASELINE</t>
  </si>
  <si>
    <t xml:space="preserve">ESTIMATES (PERT) and SANDBOX</t>
  </si>
  <si>
    <t xml:space="preserve">HELPER COLUMNS (hidden)</t>
  </si>
  <si>
    <t xml:space="preserve">ID</t>
  </si>
  <si>
    <t xml:space="preserve">UID</t>
  </si>
  <si>
    <t xml:space="preserve">Level</t>
  </si>
  <si>
    <t xml:space="preserve">Task Name</t>
  </si>
  <si>
    <t xml:space="preserve">Pred1</t>
  </si>
  <si>
    <t xml:space="preserve">Type1</t>
  </si>
  <si>
    <t xml:space="preserve">Lag1</t>
  </si>
  <si>
    <t xml:space="preserve">Pred2</t>
  </si>
  <si>
    <t xml:space="preserve">Type2</t>
  </si>
  <si>
    <t xml:space="preserve">Lag2</t>
  </si>
  <si>
    <t xml:space="preserve">Pred3</t>
  </si>
  <si>
    <t xml:space="preserve">Type3</t>
  </si>
  <si>
    <t xml:space="preserve">Lag3</t>
  </si>
  <si>
    <t xml:space="preserve">Pred4</t>
  </si>
  <si>
    <t xml:space="preserve">Type4</t>
  </si>
  <si>
    <t xml:space="preserve">Lag4</t>
  </si>
  <si>
    <t xml:space="preserve">Res1</t>
  </si>
  <si>
    <t xml:space="preserve">Units1</t>
  </si>
  <si>
    <t xml:space="preserve">Res2</t>
  </si>
  <si>
    <t xml:space="preserve">Units2</t>
  </si>
  <si>
    <t xml:space="preserve">Res3</t>
  </si>
  <si>
    <t xml:space="preserve">Units3</t>
  </si>
  <si>
    <t xml:space="preserve">Res4</t>
  </si>
  <si>
    <t xml:space="preserve">Units4</t>
  </si>
  <si>
    <t xml:space="preserve">Actual Start</t>
  </si>
  <si>
    <t xml:space="preserve">Actual Finish</t>
  </si>
  <si>
    <t xml:space="preserve">Sprint</t>
  </si>
  <si>
    <t xml:space="preserve">Issues</t>
  </si>
  <si>
    <t xml:space="preserve">Constraint Date</t>
  </si>
  <si>
    <t xml:space="preserve">Start Var</t>
  </si>
  <si>
    <t xml:space="preserve">Late Finish</t>
  </si>
  <si>
    <t xml:space="preserve">Free Slack</t>
  </si>
  <si>
    <t xml:space="preserve">Link Check</t>
  </si>
  <si>
    <t xml:space="preserve">Predecessors by ID</t>
  </si>
  <si>
    <t xml:space="preserve">Show</t>
  </si>
  <si>
    <t xml:space="preserve">Resource Names</t>
  </si>
  <si>
    <t xml:space="preserve">Over-allocated</t>
  </si>
  <si>
    <t xml:space="preserve">Story Points</t>
  </si>
  <si>
    <t xml:space="preserve">Planned Sprint</t>
  </si>
  <si>
    <t xml:space="preserve">Duration Var</t>
  </si>
  <si>
    <t xml:space="preserve">Work Var</t>
  </si>
  <si>
    <t xml:space="preserve">BL Source Start</t>
  </si>
  <si>
    <t xml:space="preserve">BL Source Finish</t>
  </si>
  <si>
    <t xml:space="preserve">BL Source Duration</t>
  </si>
  <si>
    <t xml:space="preserve">BL Source Work</t>
  </si>
  <si>
    <t xml:space="preserve">Baseline Start</t>
  </si>
  <si>
    <t xml:space="preserve">Baseline Finish</t>
  </si>
  <si>
    <t xml:space="preserve">Baseline Duration</t>
  </si>
  <si>
    <t xml:space="preserve">Baseline Work</t>
  </si>
  <si>
    <t xml:space="preserve">Accountable</t>
  </si>
  <si>
    <t xml:space="preserve">Consulted</t>
  </si>
  <si>
    <t xml:space="preserve">Informed</t>
  </si>
  <si>
    <t xml:space="preserve">Expected</t>
  </si>
  <si>
    <t xml:space="preserve">Optimistic</t>
  </si>
  <si>
    <t xml:space="preserve">Pessimistic</t>
  </si>
  <si>
    <t xml:space="preserve">Sandbox Duration</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</si>
  <si>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</si>
  <si>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</si>
  <si>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</si>
  <si>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</si>
  <si>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</si>
  <si>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</si>
  <si>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</si>
  <si>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</si>
  <si>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</si>
  <si>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</si>
  <si>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</si>
  <si>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</si>
  <si>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</si>
  <si>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</si>
  <si>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</si>
  <si>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</si>
  <si>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</si>
  <si>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</si>
  <si>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</si>
  <si>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_Pred1Text</t>
  </si>
  <si>
    <t xml:space="preserve">_Pred1UID</t>
  </si>
  <si>
    <t xml:space="preserve">_Pred1Type</t>
  </si>
  <si>
    <t xml:space="preserve">_Pred1Lag</t>
  </si>
  <si>
    <t xml:space="preserve">_Pred2Text</t>
  </si>
  <si>
    <t xml:space="preserve">_Pred2UID</t>
  </si>
  <si>
    <t xml:space="preserve">_Pred2Type</t>
  </si>
  <si>
    <t xml:space="preserve">_Pred2Lag</t>
  </si>
  <si>
    <t xml:space="preserve">_Pred3Text</t>
  </si>
  <si>
    <t xml:space="preserve">_Pred3UID</t>
  </si>
  <si>
    <t xml:space="preserve">_Pred3Type</t>
  </si>
  <si>
    <t xml:space="preserve">_Pred3Lag</t>
  </si>
  <si>
    <t xml:space="preserve">_Pred4Text</t>
  </si>
  <si>
    <t xml:space="preserve">_Pred4UID</t>
  </si>
  <si>
    <t xml:space="preserve">_Pred4Type</t>
  </si>
  <si>
    <t xml:space="preserve">_Pred4Lag</t>
  </si>
  <si>
    <t xml:space="preserve">_Res1Text</t>
  </si>
  <si>
    <t xml:space="preserve">_Res2Text</t>
  </si>
  <si>
    <t xml:space="preserve">_Res3Text</t>
  </si>
  <si>
    <t xml:space="preserve">_Res4Text</t>
  </si>
  <si>
    <t xml:space="preserve">_Res1Row</t>
  </si>
  <si>
    <t xml:space="preserve">_Res2Row</t>
  </si>
  <si>
    <t xml:space="preserve">_Res3Row</t>
  </si>
  <si>
    <t xml:space="preserve">_Res4Row</t>
  </si>
  <si>
    <t xml:space="preserve">_Resource1</t>
  </si>
  <si>
    <t xml:space="preserve">_Units1</t>
  </si>
  <si>
    <t xml:space="preserve">_People</t>
  </si>
  <si>
    <t xml:space="preserve">_Res2</t>
  </si>
  <si>
    <t xml:space="preserve">_Res2Units</t>
  </si>
  <si>
    <t xml:space="preserve">_Res2Work</t>
  </si>
  <si>
    <t xml:space="preserve">_Res2WorkPerWD</t>
  </si>
  <si>
    <t xml:space="preserve">_Res2WorkBefore</t>
  </si>
  <si>
    <t xml:space="preserve">_Res2WorkDone</t>
  </si>
  <si>
    <t xml:space="preserve">_Res3</t>
  </si>
  <si>
    <t xml:space="preserve">_Res3Units</t>
  </si>
  <si>
    <t xml:space="preserve">_Res3Work</t>
  </si>
  <si>
    <t xml:space="preserve">_Res3WorkPerWD</t>
  </si>
  <si>
    <t xml:space="preserve">_Res3WorkBefore</t>
  </si>
  <si>
    <t xml:space="preserve">_Res3WorkDone</t>
  </si>
  <si>
    <t xml:space="preserve">_Res4</t>
  </si>
  <si>
    <t xml:space="preserve">_Res4Units</t>
  </si>
  <si>
    <t xml:space="preserve">_Res4Work</t>
  </si>
  <si>
    <t xml:space="preserve">_Res4WorkPerWD</t>
  </si>
  <si>
    <t xml:space="preserve">_Res4WorkBefore</t>
  </si>
  <si>
    <t xml:space="preserve">_Res4WorkDone</t>
  </si>
  <si>
    <t xml:space="preserve">_Pct</t>
  </si>
  <si>
    <t xml:space="preserve">_LeafProgress</t>
  </si>
  <si>
    <t xml:space="preserve">_LeafWork</t>
  </si>
  <si>
    <t xml:space="preserve">_LeafTotalWork</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</si>
  <si>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</si>
  <si>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</si>
  <si>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</si>
  <si>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</si>
  <si>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</si>
  <si>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</si>
  <si>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</si>
  <si>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</si>
  <si>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</si>
  <si>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</si>
  <si>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</si>
  <si>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</si>
  <si>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</si>
  <si>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</si>
  <si>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</si>
  <si>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</si>
  <si>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</si>
  <si>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</si>
  <si>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</si>
  <si>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</si>
  <si>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</si>
  <si>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</si>
  <si>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</si>
  <si>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</si>
  <si>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</si>
  <si>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</si>
  <si>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</si>
  <si>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</si>
  <si>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</si>
  <si>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</si>
  <si>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</si>
  <si>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</si>
  <si>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</si>
  <si>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</si>
  <si>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</si>
  <si>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</si>
  <si>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</si>
  <si>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</si>
  <si>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</si>
  <si>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_WeightPlanned</t>
  </si>
  <si>
    <t xml:space="preserve">_UIDPredecessors</t>
  </si>
  <si>
    <t xml:space="preserve">_MilestoneKey</t>
  </si>
  <si>
    <t xml:space="preserve">_PlannedPct</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</si>
  <si>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</si>
  <si>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</si>
  <si>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</si>
  <si>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</si>
  <si>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</si>
  <si>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</si>
  <si>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</si>
  <si>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</si>
  <si>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</si>
  <si>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</si>
  <si>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</si>
  <si>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_IsMilestone</t>
  </si>
  <si>
    <t xml:space="preserve">_DoneFrom</t>
  </si>
  <si>
    <t xml:space="preserve">_DoneTo</t>
  </si>
  <si>
    <t xml:space="preserve">_RemFrom</t>
  </si>
  <si>
    <t xml:space="preserve">_RemTo</t>
  </si>
  <si>
    <t xml:space="preserve">_ShowPlan</t>
  </si>
  <si>
    <t xml:space="preserve">_Days</t>
  </si>
  <si>
    <t xml:space="preserve">_Predecessors</t>
  </si>
  <si>
    <t xml:space="preserve">_Resources</t>
  </si>
  <si>
    <t xml:space="preserve">_PickKey</t>
  </si>
  <si>
    <t xml:space="preserve">_PickList</t>
  </si>
  <si>
    <t xml:space="preserve">_SpanDays</t>
  </si>
  <si>
    <t xml:space="preserve">_PertVariance</t>
  </si>
  <si>
    <t xml:space="preserve">_PertShift</t>
  </si>
  <si>
    <t xml:space="preserve">Initiation</t>
  </si>
  <si>
    <t xml:space="preserve">Phase 1 - summary rows roll up dates, work, cost and progress automatically.</t>
  </si>
  <si>
    <t xml:space="preserve">Project charter &amp; scope statement</t>
  </si>
  <si>
    <t xml:space="preserve">Took 1 extra day for sponsor sign-off.</t>
  </si>
  <si>
    <t xml:space="preserve">Morgan Patel</t>
  </si>
  <si>
    <t xml:space="preserve">Steering committee</t>
  </si>
  <si>
    <t xml:space="preserve">Stakeholder kickoff workshop</t>
  </si>
  <si>
    <t xml:space="preserve">Kickoff complete</t>
  </si>
  <si>
    <t xml:space="preserve">Milestone (Duration 0).</t>
  </si>
  <si>
    <t xml:space="preserve">Requirements &amp; Design</t>
  </si>
  <si>
    <t xml:space="preserve">Requirements gathering</t>
  </si>
  <si>
    <t xml:space="preserve">UX wireframes &amp; prototype</t>
  </si>
  <si>
    <t xml:space="preserve">Casey Kim</t>
  </si>
  <si>
    <t xml:space="preserve">Design sign-off</t>
  </si>
  <si>
    <t xml:space="preserve">Two predecessors - waits for the later one.</t>
  </si>
  <si>
    <t xml:space="preserve">Test &amp; Release</t>
  </si>
  <si>
    <t xml:space="preserve">Taylor Morgan</t>
  </si>
  <si>
    <t xml:space="preserve">System integration testing</t>
  </si>
  <si>
    <t xml:space="preserve">Sam Rivera</t>
  </si>
  <si>
    <t xml:space="preserve">Started a few days late; on track.</t>
  </si>
  <si>
    <t xml:space="preserve">Jordan Lee, Sam Rivera</t>
  </si>
  <si>
    <t xml:space="preserve">Go-live readiness review</t>
  </si>
  <si>
    <t xml:space="preserve">Three predecessors.</t>
  </si>
  <si>
    <t xml:space="preserve">Go-live</t>
  </si>
  <si>
    <t xml:space="preserve">Milestone with a deadline of 18-Dec.</t>
  </si>
  <si>
    <t xml:space="preserve">All staff</t>
  </si>
  <si>
    <t xml:space="preserve">Resource Sheet</t>
  </si>
  <si>
    <t xml:space="preserve">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</si>
  <si>
    <t xml:space="preserve">Resource Name</t>
  </si>
  <si>
    <t xml:space="preserve">Initials</t>
  </si>
  <si>
    <t xml:space="preserve">Group</t>
  </si>
  <si>
    <t xml:space="preserve">Type</t>
  </si>
  <si>
    <t xml:space="preserve">Allocation %</t>
  </si>
  <si>
    <t xml:space="preserve">End</t>
  </si>
  <si>
    <t xml:space="preserve">Focus %</t>
  </si>
  <si>
    <t xml:space="preserve">Email</t>
  </si>
  <si>
    <t xml:space="preserve">Accountable For</t>
  </si>
  <si>
    <t xml:space="preserve">Consulted On</t>
  </si>
  <si>
    <t xml:space="preserve">Informed Of</t>
  </si>
  <si>
    <t xml:space="preserve">_Focus</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</si>
  <si>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</si>
  <si>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</si>
  <si>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</si>
  <si>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</si>
  <si>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</si>
  <si>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</si>
  <si>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</si>
  <si>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</si>
  <si>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</si>
  <si>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</si>
  <si>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</si>
  <si>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</si>
  <si>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</si>
  <si>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</si>
  <si>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</si>
  <si>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</si>
  <si>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</si>
  <si>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</si>
  <si>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</si>
  <si>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</si>
  <si>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</si>
  <si>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</si>
  <si>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</si>
  <si>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</si>
  <si>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</si>
  <si>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</si>
  <si>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</si>
  <si>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</si>
  <si>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</si>
  <si>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</si>
  <si>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</si>
  <si>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</si>
  <si>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</si>
  <si>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</si>
  <si>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</si>
  <si>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</si>
  <si>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PS</t>
  </si>
  <si>
    <t xml:space="preserve">Project Manager</t>
  </si>
  <si>
    <t xml:space="preserve">priya@example.com</t>
  </si>
  <si>
    <t xml:space="preserve">MP</t>
  </si>
  <si>
    <t xml:space="preserve">Business Analyst</t>
  </si>
  <si>
    <t xml:space="preserve">morgan@example.com</t>
  </si>
  <si>
    <t xml:space="preserve">28, 29, 30</t>
  </si>
  <si>
    <t xml:space="preserve">Alex Chen</t>
  </si>
  <si>
    <t xml:space="preserve">AC</t>
  </si>
  <si>
    <t xml:space="preserve">Solution Architect</t>
  </si>
  <si>
    <t xml:space="preserve">alex@example.com</t>
  </si>
  <si>
    <t xml:space="preserve">CK</t>
  </si>
  <si>
    <t xml:space="preserve">UX Designer</t>
  </si>
  <si>
    <t xml:space="preserve">casey@example.com</t>
  </si>
  <si>
    <t xml:space="preserve">Jordan Lee</t>
  </si>
  <si>
    <t xml:space="preserve">JL</t>
  </si>
  <si>
    <t xml:space="preserve">Backend Developer</t>
  </si>
  <si>
    <t xml:space="preserve">jordan@example.com</t>
  </si>
  <si>
    <t xml:space="preserve">SR</t>
  </si>
  <si>
    <t xml:space="preserve">Frontend Developer</t>
  </si>
  <si>
    <t xml:space="preserve">sam@example.com</t>
  </si>
  <si>
    <t xml:space="preserve">2(0.5)</t>
  </si>
  <si>
    <t xml:space="preserve">TM</t>
  </si>
  <si>
    <t xml:space="preserve">QA Engineer</t>
  </si>
  <si>
    <t xml:space="preserve">taylor@example.com</t>
  </si>
  <si>
    <t xml:space="preserve">LEAVE BY DAY: one row per person and month; type 1 (all day) or 0.5 (half a day) under each day off. It adds to the month columns above.</t>
  </si>
  <si>
    <t xml:space="preserve">Resource</t>
  </si>
  <si>
    <t xml:space="preserve">Month</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</si>
  <si>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</si>
  <si>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</si>
  <si>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</si>
  <si>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</si>
  <si>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</si>
  <si>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</si>
  <si>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</si>
  <si>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</si>
  <si>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</si>
  <si>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</si>
  <si>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</si>
  <si>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</si>
  <si>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</si>
  <si>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</si>
  <si>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</si>
  <si>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</si>
  <si>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</si>
  <si>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</si>
  <si>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</si>
  <si>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</si>
  <si>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</si>
  <si>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</si>
  <si>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</si>
  <si>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</si>
  <si>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</si>
  <si>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</si>
  <si>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</si>
  <si>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</si>
  <si>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</si>
  <si>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</si>
  <si>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</si>
  <si>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Days</t>
  </si>
  <si>
    <t xml:space="preserve">_Key</t>
  </si>
</sst>
</file>

<file path=xl/styles.xml><?xml version="1.0" encoding="utf-8"?>
<styleSheet xmlns="http://schemas.openxmlformats.org/spreadsheetml/2006/main">
  <numFmts count="19">
    <numFmt numFmtId="164" formatCode=";;;"/>
    <numFmt numFmtId="165" formatCode="General"/>
    <numFmt numFmtId="166" formatCode="@"/>
    <numFmt numFmtId="167" formatCode="ddd\ dd\-mmm\-yy"/>
    <numFmt numFmtId="168" formatCode="0.0"/>
    <numFmt numFmtId="169" formatCode="\+0;\-0;0"/>
    <numFmt numFmtId="170" formatCode="0.00"/>
    <numFmt numFmtId="171" formatCode="0"/>
    <numFmt numFmtId="172" formatCode="General"/>
    <numFmt numFmtId="173" formatCode="0%"/>
    <numFmt numFmtId="174" formatCode="#,##0"/>
    <numFmt numFmtId="175" formatCode="ddd\ dd\-mmm"/>
    <numFmt numFmtId="176" formatCode="mmm"/>
    <numFmt numFmtId="177" formatCode="dd\-mmm\-yy"/>
    <numFmt numFmtId="178" formatCode="mmm\-yy"/>
    <numFmt numFmtId="179" formatCode="d"/>
    <numFmt numFmtId="180" formatCode="#,##0.0"/>
    <numFmt numFmtId="181" formatCode="0.#"/>
    <numFmt numFmtId="182" formatCode="mm/dd/yy"/>
  </numFmts>
  <fonts count="3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1F4E78"/>
      <name val="Arial"/>
      <family val="0"/>
      <charset val="1"/>
    </font>
    <font>
      <sz val="10"/>
      <name val="Arial"/>
      <family val="0"/>
      <charset val="1"/>
    </font>
    <font>
      <b val="true"/>
      <sz val="16"/>
      <color rgb="FF1F4E78"/>
      <name val="Arial"/>
      <family val="0"/>
      <charset val="1"/>
    </font>
    <font>
      <b val="true"/>
      <sz val="10"/>
      <color rgb="FFC00000"/>
      <name val="Arial"/>
      <family val="0"/>
      <charset val="1"/>
    </font>
    <font>
      <b val="true"/>
      <sz val="10"/>
      <color rgb="FF1F4E78"/>
      <name val="Arial"/>
      <family val="0"/>
      <charset val="1"/>
    </font>
    <font>
      <b val="true"/>
      <sz val="10"/>
      <color rgb="FF548235"/>
      <name val="Arial"/>
      <family val="0"/>
      <charset val="1"/>
    </font>
    <font>
      <b val="true"/>
      <sz val="10"/>
      <color rgb="FF2F75B5"/>
      <name val="Arial"/>
      <family val="0"/>
      <charset val="1"/>
    </font>
    <font>
      <b val="true"/>
      <sz val="10"/>
      <color rgb="FFC55A11"/>
      <name val="Arial"/>
      <family val="0"/>
      <charset val="1"/>
    </font>
    <font>
      <b val="true"/>
      <sz val="10"/>
      <color rgb="FF7F7F7F"/>
      <name val="Arial"/>
      <family val="0"/>
      <charset val="1"/>
    </font>
    <font>
      <sz val="10"/>
      <color rgb="FF404040"/>
      <name val="Arial"/>
      <family val="0"/>
      <charset val="1"/>
    </font>
    <font>
      <sz val="10"/>
      <name val="Arial"/>
      <family val="2"/>
    </font>
    <font>
      <b val="true"/>
      <sz val="18"/>
      <color rgb="FF000000"/>
      <name val="Calibri"/>
      <family val="2"/>
    </font>
    <font>
      <sz val="10"/>
      <color rgb="FF000000"/>
      <name val="Calibri"/>
      <family val="2"/>
    </font>
    <font>
      <b val="true"/>
      <sz val="10"/>
      <color rgb="FF404040"/>
      <name val="Arial"/>
      <family val="0"/>
      <charset val="1"/>
    </font>
    <font>
      <b val="true"/>
      <sz val="8"/>
      <color rgb="FF404040"/>
      <name val="Arial"/>
      <family val="0"/>
      <charset val="1"/>
    </font>
    <font>
      <b val="true"/>
      <sz val="8"/>
      <color rgb="FFFFFFFF"/>
      <name val="Arial"/>
      <family val="0"/>
      <charset val="1"/>
    </font>
    <font>
      <sz val="8"/>
      <name val="Arial"/>
      <family val="0"/>
      <charset val="1"/>
    </font>
    <font>
      <sz val="10"/>
      <color rgb="FF7F7F7F"/>
      <name val="Arial"/>
      <family val="0"/>
      <charset val="1"/>
    </font>
    <font>
      <sz val="9"/>
      <name val="Arial"/>
      <family val="0"/>
      <charset val="1"/>
    </font>
    <font>
      <b val="true"/>
      <sz val="10"/>
      <color rgb="FF0563C1"/>
      <name val="Arial"/>
      <family val="0"/>
      <charset val="1"/>
    </font>
    <font>
      <sz val="8"/>
      <color rgb="FF404040"/>
      <name val="Arial"/>
      <family val="0"/>
      <charset val="1"/>
    </font>
    <font>
      <sz val="8"/>
      <color rgb="FFFFFFFF"/>
      <name val="Arial"/>
      <family val="0"/>
      <charset val="1"/>
    </font>
  </fonts>
  <fills count="16">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548235"/>
      </patternFill>
    </fill>
    <fill>
      <patternFill patternType="solid">
        <fgColor rgb="FFF4B183"/>
        <bgColor rgb="FFFFC7CE"/>
      </patternFill>
    </fill>
    <fill>
      <patternFill patternType="solid">
        <fgColor rgb="FF7030A0"/>
        <bgColor rgb="FF993366"/>
      </patternFill>
    </fill>
    <fill>
      <patternFill patternType="solid">
        <fgColor rgb="FFC00000"/>
        <bgColor rgb="FF9C0006"/>
      </patternFill>
    </fill>
    <fill>
      <patternFill patternType="solid">
        <fgColor rgb="FF9DC3E6"/>
        <bgColor rgb="FFC9D5E8"/>
      </patternFill>
    </fill>
    <fill>
      <patternFill patternType="solid">
        <fgColor rgb="FFE06666"/>
        <bgColor rgb="FFC55A11"/>
      </patternFill>
    </fill>
    <fill>
      <patternFill patternType="solid">
        <fgColor rgb="FFC9D5E8"/>
        <bgColor rgb="FFD9D9D9"/>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style="thin"/>
      <right style="thin"/>
      <top style="thin"/>
      <bottom style="thin"/>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true">
      <alignment horizontal="general" vertical="bottom" textRotation="0" wrapText="false" indent="0" shrinkToFit="false"/>
      <protection locked="false" hidden="false"/>
    </xf>
    <xf numFmtId="167" fontId="8" fillId="0" borderId="1" xfId="0" applyFont="true" applyBorder="true" applyAlignment="false" applyProtection="true">
      <alignment horizontal="general" vertical="bottom" textRotation="0" wrapText="false" indent="0" shrinkToFit="false"/>
      <protection locked="false" hidden="false"/>
    </xf>
    <xf numFmtId="168" fontId="8" fillId="0" borderId="1" xfId="0" applyFont="true" applyBorder="true" applyAlignment="false" applyProtection="true">
      <alignment horizontal="general" vertical="bottom" textRotation="0" wrapText="false" indent="0" shrinkToFit="false"/>
      <protection locked="false" hidden="false"/>
    </xf>
    <xf numFmtId="165" fontId="9"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true">
      <alignment horizontal="general" vertical="top" textRotation="0" wrapText="true" indent="0" shrinkToFit="false"/>
      <protection locked="false" hidden="false"/>
    </xf>
    <xf numFmtId="165" fontId="10" fillId="3" borderId="0" xfId="0" applyFont="true" applyBorder="false" applyAlignment="true" applyProtection="false">
      <alignment horizontal="general" vertical="top"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true">
      <alignment horizontal="center" vertical="bottom" textRotation="0" wrapText="false" indent="0" shrinkToFit="false"/>
      <protection locked="false" hidden="false"/>
    </xf>
    <xf numFmtId="165" fontId="8" fillId="0" borderId="1" xfId="0" applyFont="true" applyBorder="true" applyAlignment="false" applyProtection="true">
      <alignment horizontal="general" vertical="bottom" textRotation="0" wrapText="false" indent="0" shrinkToFit="false"/>
      <protection locked="false" hidden="false"/>
    </xf>
    <xf numFmtId="165" fontId="7" fillId="4" borderId="1" xfId="0" applyFont="true" applyBorder="true" applyAlignment="true" applyProtection="false">
      <alignment horizontal="center" vertical="center" textRotation="0" wrapText="tru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true" applyAlignment="true" applyProtection="false">
      <alignment horizontal="general" vertical="top" textRotation="0" wrapText="tru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74"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left" vertical="bottom" textRotation="0" wrapText="fals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75" fontId="10" fillId="3" borderId="1" xfId="0" applyFont="true" applyBorder="true" applyAlignment="true" applyProtection="false">
      <alignment horizontal="center"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73"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true" applyProtection="false">
      <alignment horizontal="center" vertical="bottom"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true">
      <alignment horizontal="general" vertical="top" textRotation="0" wrapText="tru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6" fontId="24" fillId="4" borderId="0" xfId="0" applyFont="true" applyBorder="false" applyAlignment="true" applyProtection="false">
      <alignment horizontal="center" vertical="bottom" textRotation="0" wrapText="false" indent="0" shrinkToFit="false"/>
      <protection locked="true" hidden="false"/>
    </xf>
    <xf numFmtId="177" fontId="10"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true">
      <alignment horizontal="general" vertical="bottom" textRotation="0" wrapText="false" indent="0" shrinkToFit="false"/>
      <protection locked="fals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true">
      <alignment horizontal="general" vertical="bottom" textRotation="0" wrapText="false" indent="0" shrinkToFit="false"/>
      <protection locked="false" hidden="false"/>
    </xf>
    <xf numFmtId="178" fontId="8" fillId="0" borderId="1" xfId="0" applyFont="true" applyBorder="true" applyAlignment="false" applyProtection="true">
      <alignment horizontal="general" vertical="bottom" textRotation="0" wrapText="false" indent="0" shrinkToFit="false"/>
      <protection locked="fals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true">
      <alignment horizontal="general" vertical="bottom" textRotation="0" wrapText="false" indent="0" shrinkToFit="false"/>
      <protection locked="fals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5" borderId="0" xfId="0" applyFont="false" applyBorder="false" applyAlignment="false" applyProtection="false">
      <alignment horizontal="general" vertical="bottom" textRotation="0" wrapText="fals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true" applyProtection="false">
      <alignment horizontal="center" vertical="center" textRotation="0" wrapText="false" indent="0" shrinkToFit="false"/>
      <protection locked="true" hidden="false"/>
    </xf>
    <xf numFmtId="165" fontId="23" fillId="0" borderId="0" xfId="0" applyFont="true" applyBorder="false" applyAlignment="true" applyProtection="false">
      <alignment horizontal="left" vertical="center" textRotation="0" wrapText="false" indent="0" shrinkToFit="false"/>
      <protection locked="true" hidden="false"/>
    </xf>
    <xf numFmtId="179" fontId="30" fillId="4" borderId="0" xfId="0" applyFont="true" applyBorder="false" applyAlignment="true" applyProtection="false">
      <alignment horizontal="center" vertical="center" textRotation="0" wrapText="false" indent="0" shrinkToFit="false"/>
      <protection locked="true" hidden="false"/>
    </xf>
    <xf numFmtId="173" fontId="8" fillId="0" borderId="1" xfId="0" applyFont="true" applyBorder="true" applyAlignment="true" applyProtection="true">
      <alignment horizontal="center" vertical="bottom" textRotation="0" wrapText="false" indent="0" shrinkToFit="false"/>
      <protection locked="false" hidden="false"/>
    </xf>
    <xf numFmtId="173" fontId="10" fillId="3" borderId="1" xfId="0" applyFont="true" applyBorder="true" applyAlignment="false" applyProtection="false">
      <alignment horizontal="general" vertical="bottom" textRotation="0" wrapText="false" indent="0" shrinkToFit="false"/>
      <protection locked="true" hidden="false"/>
    </xf>
    <xf numFmtId="180" fontId="10" fillId="3"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true" applyProtection="true">
      <alignment horizontal="center" vertical="bottom" textRotation="0" wrapText="false" indent="0" shrinkToFit="false"/>
      <protection locked="false" hidden="false"/>
    </xf>
    <xf numFmtId="180" fontId="8" fillId="0" borderId="1" xfId="0" applyFont="true" applyBorder="true" applyAlignment="false" applyProtection="true">
      <alignment horizontal="general" vertical="bottom" textRotation="0" wrapText="false" indent="0" shrinkToFit="false"/>
      <protection locked="false" hidden="false"/>
    </xf>
    <xf numFmtId="168" fontId="10" fillId="3" borderId="1" xfId="0" applyFont="true" applyBorder="true" applyAlignment="true" applyProtection="false">
      <alignment horizontal="center" vertical="bottom" textRotation="0" wrapText="false" indent="0" shrinkToFit="false"/>
      <protection locked="tru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67"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true">
      <alignment horizontal="general" vertical="bottom" textRotation="0" wrapText="false" indent="1" shrinkToFit="false"/>
      <protection locked="false" hidden="false"/>
    </xf>
    <xf numFmtId="173" fontId="18" fillId="3" borderId="1" xfId="0" applyFont="true" applyBorder="true" applyAlignment="false" applyProtection="false">
      <alignment horizontal="general" vertical="bottom" textRotation="0" wrapText="false" indent="0" shrinkToFit="false"/>
      <protection locked="true" hidden="false"/>
    </xf>
    <xf numFmtId="182" fontId="1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4">
    <dxf>
      <fill>
        <patternFill>
          <bgColor rgb="FFFFFF00"/>
        </patternFill>
      </fill>
    </dxf>
    <dxf>
      <fill>
        <patternFill patternType="solid">
          <fgColor rgb="FFA6A6A6"/>
          <bgColor rgb="FF000000"/>
        </patternFill>
      </fill>
    </dxf>
    <dxf>
      <fill>
        <patternFill patternType="solid">
          <fgColor rgb="FFF2F2F2"/>
          <bgColor rgb="FF000000"/>
        </patternFill>
      </fill>
    </dxf>
    <dxf>
      <fill>
        <patternFill patternType="solid">
          <fgColor rgb="FF404040"/>
          <bgColor rgb="FF000000"/>
        </patternFill>
      </fill>
    </dxf>
    <dxf>
      <fill>
        <patternFill patternType="solid">
          <fgColor rgb="FFFFFFFF"/>
          <bgColor rgb="FF000000"/>
        </patternFill>
      </fill>
    </dxf>
    <dxf>
      <fill>
        <patternFill patternType="solid">
          <fgColor rgb="FF595959"/>
          <bgColor rgb="FF000000"/>
        </patternFill>
      </fill>
    </dxf>
    <dxf>
      <fill>
        <patternFill patternType="solid">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2F75B5"/>
          <bgColor rgb="FF000000"/>
        </patternFill>
      </fill>
    </dxf>
    <dxf>
      <fill>
        <patternFill patternType="solid">
          <fgColor rgb="FF548235"/>
          <bgColor rgb="FF000000"/>
        </patternFill>
      </fill>
    </dxf>
    <dxf>
      <fill>
        <patternFill patternType="solid">
          <fgColor rgb="FF7F7F7F"/>
          <bgColor rgb="FF000000"/>
        </patternFill>
      </fill>
    </dxf>
    <dxf>
      <fill>
        <patternFill patternType="solid">
          <fgColor rgb="FFC55A11"/>
          <bgColor rgb="FF000000"/>
        </patternFill>
      </fill>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ont>
        <b val="1"/>
        <color rgb="FFC00000"/>
      </font>
      <fill>
        <patternFill>
          <bgColor rgb="FFFFC7CE"/>
        </patternFill>
      </fill>
    </dxf>
    <dxf>
      <font>
        <b val="1"/>
        <color rgb="FF548235"/>
      </font>
    </dxf>
    <dxf>
      <font>
        <b val="1"/>
        <color rgb="FFC00000"/>
      </font>
    </dxf>
    <dxf>
      <font>
        <b val="1"/>
        <color rgb="FFFFFFFF"/>
      </font>
      <fill>
        <patternFill>
          <bgColor rgb="FFC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C55A11"/>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fill>
        <patternFill>
          <bgColor rgb="FFC9D5E8"/>
        </patternFill>
      </fill>
    </dxf>
    <dxf>
      <border diagonalUp="false" diagonalDown="false">
        <left style="thin"/>
        <right style="thin"/>
        <top style="thin"/>
        <bottom style="thin"/>
        <diagonal/>
      </border>
    </dxf>
    <dxf>
      <border diagonalUp="false" diagonalDown="false">
        <left style="thin"/>
        <right/>
        <top style="thin"/>
        <bottom style="thin"/>
        <diagonal/>
      </border>
    </dxf>
    <dxf>
      <border diagonalUp="false" diagonalDown="false">
        <left/>
        <right style="thin"/>
        <top style="thin"/>
        <bottom style="thin"/>
        <diagonal/>
      </border>
    </dxf>
    <dxf>
      <border diagonalUp="false" diagonalDown="false">
        <left/>
        <right/>
        <top style="thin"/>
        <bottom style="thin"/>
        <diagonal/>
      </border>
    </dxf>
    <dxf>
      <fill>
        <patternFill>
          <bgColor rgb="FFEDEDED"/>
        </patternFill>
      </fill>
    </dxf>
    <dxf>
      <numFmt numFmtId="164" formatCode=";;;"/>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800080"/>
      <rgbColor rgb="FF008080"/>
      <rgbColor rgb="FFD9D9D9"/>
      <rgbColor rgb="FF7F7F7F"/>
      <rgbColor rgb="FFA6A6A6"/>
      <rgbColor rgb="FF7030A0"/>
      <rgbColor rgb="FFF9F9F9"/>
      <rgbColor rgb="FFDDEBF7"/>
      <rgbColor rgb="FF660066"/>
      <rgbColor rgb="FFE06666"/>
      <rgbColor rgb="FF0563C1"/>
      <rgbColor rgb="FFC9D5E8"/>
      <rgbColor rgb="FF000080"/>
      <rgbColor rgb="FFFF00FF"/>
      <rgbColor rgb="FFFFFF00"/>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5B9BD5"/>
      <rgbColor rgb="FF70AD47"/>
      <rgbColor rgb="FFFFCC00"/>
      <rgbColor rgb="FFBF8F00"/>
      <rgbColor rgb="FFC55A11"/>
      <rgbColor rgb="FF595959"/>
      <rgbColor rgb="FF878787"/>
      <rgbColor rgb="FF1F3864"/>
      <rgbColor rgb="FF4F81BD"/>
      <rgbColor rgb="FF003300"/>
      <rgbColor rgb="FF333300"/>
      <rgbColor rgb="FF9C5700"/>
      <rgbColor rgb="FF993366"/>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Status!F27</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Status!$E$28:$E$32</c:f>
              <c:strCache>
                <c:ptCount val="5"/>
                <c:pt idx="0">
                  <c:v>Complete</c:v>
                </c:pt>
                <c:pt idx="1">
                  <c:v>In Progress</c:v>
                </c:pt>
                <c:pt idx="2">
                  <c:v>Behind</c:v>
                </c:pt>
                <c:pt idx="3">
                  <c:v>Late Start</c:v>
                </c:pt>
                <c:pt idx="4">
                  <c:v>Not Started</c:v>
                </c:pt>
              </c:strCache>
            </c:strRef>
          </c:cat>
          <c:val>
            <c:numRef>
              <c:f>Status!$F$28:$F$32</c:f>
              <c:numCache>
                <c:formatCode>General</c:formatCode>
                <c:ptCount val="5"/>
                <c:pt idx="0">
                  <c:v>6</c:v>
                </c:pt>
                <c:pt idx="1">
                  <c:v>0</c:v>
                </c:pt>
                <c:pt idx="2">
                  <c:v>1</c:v>
                </c:pt>
                <c:pt idx="3">
                  <c:v>2</c:v>
                </c:pt>
                <c:pt idx="4">
                  <c:v>0</c:v>
                </c:pt>
              </c:numCache>
            </c:numRef>
          </c:val>
        </c:ser>
        <c:gapWidth val="150"/>
        <c:overlap val="0"/>
        <c:axId val="51709511"/>
        <c:axId val="55988522"/>
      </c:barChart>
      <c:catAx>
        <c:axId val="5170951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988522"/>
        <c:crosses val="autoZero"/>
        <c:auto val="1"/>
        <c:lblAlgn val="ctr"/>
        <c:lblOffset val="100"/>
        <c:noMultiLvlLbl val="0"/>
      </c:catAx>
      <c:valAx>
        <c:axId val="5598852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70951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32</xdr:row>
      <xdr:rowOff>130680</xdr:rowOff>
    </xdr:from>
    <xdr:to>
      <xdr:col>7</xdr:col>
      <xdr:colOff>1641240</xdr:colOff>
      <xdr:row>44</xdr:row>
      <xdr:rowOff>4320</xdr:rowOff>
    </xdr:to>
    <xdr:graphicFrame>
      <xdr:nvGraphicFramePr>
        <xdr:cNvPr id="0" name="Chart 1"/>
        <xdr:cNvGraphicFramePr/>
      </xdr:nvGraphicFramePr>
      <xdr:xfrm>
        <a:off x="7612560" y="7277040"/>
        <a:ext cx="431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CriticalTasks" displayName="CriticalTasks" ref="A76:G81"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2.xml><?xml version="1.0" encoding="utf-8"?>
<table xmlns="http://schemas.openxmlformats.org/spreadsheetml/2006/main" id="2" name="DueSoon" displayName="DueSoon" ref="A60:G65"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3.xml><?xml version="1.0" encoding="utf-8"?>
<table xmlns="http://schemas.openxmlformats.org/spreadsheetml/2006/main" id="3" name="HolidayTable" displayName="HolidayTable" ref="B58:C158" headerRowCount="1">
  <autoFilter ref="B58:C158"/>
  <tableColumns count="2">
    <tableColumn id="1" name="Date"/>
    <tableColumn id="2" name="Description"/>
  </tableColumns>
  <tableStyleInfo name="TableStyleLight1" showRowStripes="0"/>
</table>
</file>

<file path=xl/tables/table4.xml><?xml version="1.0" encoding="utf-8"?>
<table xmlns="http://schemas.openxmlformats.org/spreadsheetml/2006/main" id="4" name="KPIs" displayName="KPIs" ref="B27:D41" headerRowCount="1">
  <tableColumns count="3">
    <tableColumn id="1" name="Measure"/>
    <tableColumn id="2" name="Source"/>
    <tableColumn id="3" name="Value"/>
  </tableColumns>
  <tableStyleInfo name="TableStyleLight1" showRowStripes="0"/>
</table>
</file>

<file path=xl/tables/table5.xml><?xml version="1.0" encoding="utf-8"?>
<table xmlns="http://schemas.openxmlformats.org/spreadsheetml/2006/main" id="5" name="LateTasks" displayName="LateTasks" ref="A52:G57"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6.xml><?xml version="1.0" encoding="utf-8"?>
<table xmlns="http://schemas.openxmlformats.org/spreadsheetml/2006/main" id="6" name="LeaveDays" displayName="LeaveDays" ref="B60:AJ100" headerRowCount="1">
  <autoFilter ref="B60:AJ100"/>
  <tableColumns count="35">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_Key">
      <calculatedColumnFormula>LeaveDays[[#This Row],[Resource]]&amp;"|"&amp;LeaveDays[[#This Row],[Month]]</calculatedColumnFormula>
    </tableColumn>
  </tableColumns>
  <tableStyleInfo name="TableStyleLight1" showRowStripes="0"/>
</table>
</file>

<file path=xl/tables/table7.xml><?xml version="1.0" encoding="utf-8"?>
<table xmlns="http://schemas.openxmlformats.org/spreadsheetml/2006/main" id="7" name="ListChangeStatus" displayName="ListChangeStatus" ref="AC4:AC9" headerRowCount="1">
  <tableColumns count="1">
    <tableColumn id="1" name="Change Status"/>
  </tableColumns>
  <tableStyleInfo name="TableStyleLight1" showRowStripes="0"/>
</table>
</file>

<file path=xl/tables/table8.xml><?xml version="1.0" encoding="utf-8"?>
<table xmlns="http://schemas.openxmlformats.org/spreadsheetml/2006/main" id="8" name="ListConstraint" displayName="ListConstraint" ref="M4:M12" headerRowCount="1">
  <tableColumns count="1">
    <tableColumn id="1" name="Constraint"/>
  </tableColumns>
  <tableStyleInfo name="TableStyleLight1" showRowStripes="0"/>
</table>
</file>

<file path=xl/tables/table9.xml><?xml version="1.0" encoding="utf-8"?>
<table xmlns="http://schemas.openxmlformats.org/spreadsheetml/2006/main" id="9" name="ListDecisionStatus" displayName="ListDecisionStatus" ref="AA4:AA8" headerRowCount="1">
  <tableColumns count="1">
    <tableColumn id="1" name="Decision Status"/>
  </tableColumns>
  <tableStyleInfo name="TableStyleLight1" showRowStripes="0"/>
</table>
</file>

<file path=xl/tables/table10.xml><?xml version="1.0" encoding="utf-8"?>
<table xmlns="http://schemas.openxmlformats.org/spreadsheetml/2006/main" id="10" name="ListDepType" displayName="ListDepType" ref="G4:G8" headerRowCount="1">
  <tableColumns count="1">
    <tableColumn id="1" name="Link Type"/>
  </tableColumns>
  <tableStyleInfo name="TableStyleLight1" showRowStripes="0"/>
</table>
</file>

<file path=xl/tables/table11.xml><?xml version="1.0" encoding="utf-8"?>
<table xmlns="http://schemas.openxmlformats.org/spreadsheetml/2006/main" id="11" name="ListLogType" displayName="ListLogType" ref="W4:W10" headerRowCount="1">
  <tableColumns count="1">
    <tableColumn id="1" name="Log Type"/>
  </tableColumns>
  <tableStyleInfo name="TableStyleLight1" showRowStripes="0"/>
</table>
</file>

<file path=xl/tables/table12.xml><?xml version="1.0" encoding="utf-8"?>
<table xmlns="http://schemas.openxmlformats.org/spreadsheetml/2006/main" id="12" name="ListMode" displayName="ListMode" ref="I4:I6" headerRowCount="1">
  <tableColumns count="1">
    <tableColumn id="1" name="Task Mode"/>
  </tableColumns>
  <tableStyleInfo name="TableStyleLight1" showRowStripes="0"/>
</table>
</file>

<file path=xl/tables/table13.xml><?xml version="1.0" encoding="utf-8"?>
<table xmlns="http://schemas.openxmlformats.org/spreadsheetml/2006/main" id="13" name="ListPeriod" displayName="ListPeriod" ref="S4:S8" headerRowCount="1">
  <tableColumns count="1">
    <tableColumn id="1" name="Gantt Days per Column"/>
  </tableColumns>
  <tableStyleInfo name="TableStyleLight1" showRowStripes="0"/>
</table>
</file>

<file path=xl/tables/table14.xml><?xml version="1.0" encoding="utf-8"?>
<table xmlns="http://schemas.openxmlformats.org/spreadsheetml/2006/main" id="14" name="ListRAG" displayName="ListRAG" ref="U4:U7" headerRowCount="1">
  <tableColumns count="1">
    <tableColumn id="1" name="RAG"/>
  </tableColumns>
  <tableStyleInfo name="TableStyleLight1" showRowStripes="0"/>
</table>
</file>

<file path=xl/tables/table15.xml><?xml version="1.0" encoding="utf-8"?>
<table xmlns="http://schemas.openxmlformats.org/spreadsheetml/2006/main" id="15" name="ListRAIDStatus" displayName="ListRAIDStatus" ref="Y4:Y7" headerRowCount="1">
  <tableColumns count="1">
    <tableColumn id="1" name="RAID Status"/>
  </tableColumns>
  <tableStyleInfo name="TableStyleLight1" showRowStripes="0"/>
</table>
</file>

<file path=xl/tables/table16.xml><?xml version="1.0" encoding="utf-8"?>
<table xmlns="http://schemas.openxmlformats.org/spreadsheetml/2006/main" id="16" name="ListResType" displayName="ListResType" ref="Q4:Q7" headerRowCount="1">
  <tableColumns count="1">
    <tableColumn id="1" name="Resource Type"/>
  </tableColumns>
  <tableStyleInfo name="TableStyleLight1" showRowStripes="0"/>
</table>
</file>

<file path=xl/tables/table17.xml><?xml version="1.0" encoding="utf-8"?>
<table xmlns="http://schemas.openxmlformats.org/spreadsheetml/2006/main" id="17" name="ListWorkingWeek" displayName="ListWorkingWeek" ref="K4:K8" headerRowCount="1">
  <tableColumns count="1">
    <tableColumn id="1" name="Working Week"/>
  </tableColumns>
  <tableStyleInfo name="TableStyleLight1" showRowStripes="0"/>
</table>
</file>

<file path=xl/tables/table18.xml><?xml version="1.0" encoding="utf-8"?>
<table xmlns="http://schemas.openxmlformats.org/spreadsheetml/2006/main" id="18" name="ListYesNo" displayName="ListYesNo" ref="O4:O6" headerRowCount="1">
  <tableColumns count="1">
    <tableColumn id="1" name="Yes / No"/>
  </tableColumns>
  <tableStyleInfo name="TableStyleLight1" showRowStripes="0"/>
</table>
</file>

<file path=xl/tables/table19.xml><?xml version="1.0" encoding="utf-8"?>
<table xmlns="http://schemas.openxmlformats.org/spreadsheetml/2006/main" id="19" name="NextMilestones" displayName="NextMilestones" ref="B44:C49"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0.xml><?xml version="1.0" encoding="utf-8"?>
<table xmlns="http://schemas.openxmlformats.org/spreadsheetml/2006/main" id="20"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1.xml><?xml version="1.0" encoding="utf-8"?>
<table xmlns="http://schemas.openxmlformats.org/spreadsheetml/2006/main" id="21"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2.xml><?xml version="1.0" encoding="utf-8"?>
<table xmlns="http://schemas.openxmlformats.org/spreadsheetml/2006/main" id="22" name="ResourceTable" displayName="ResourceTable" ref="B5:BA55" headerRowCount="1">
  <autoFilter ref="B5:BA55"/>
  <tableColumns count="52">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Accountable For">
      <calculatedColumnFormula>IF(ResourceTable[[#This Row],[Resource Name]]="","",COUNTIF(tsk_Accountable,ResourceTable[[#This Row],[Resource Name]])+COUNTIF(tsk_Accountable,ResourceTable[[#This Row],[Resource Name]]&amp;",*")+COUNTIF(tsk_Accountable,"*, "&amp;ResourceTable[[#This Row],[Resource Name]])+COUNTIF(tsk_Accountable,"*, "&amp;ResourceTable[[#This Row],[Resource Name]]&amp;",*"))</calculatedColumnFormula>
    </tableColumn>
    <tableColumn id="14" name="Consulted On">
      <calculatedColumnFormula>IF(ResourceTable[[#This Row],[Resource Name]]="","",COUNTIF(tsk_Consulted,ResourceTable[[#This Row],[Resource Name]])+COUNTIF(tsk_Consulted,ResourceTable[[#This Row],[Resource Name]]&amp;",*")+COUNTIF(tsk_Consulted,"*, "&amp;ResourceTable[[#This Row],[Resource Name]])+COUNTIF(tsk_Consulted,"*, "&amp;ResourceTable[[#This Row],[Resource Name]]&amp;",*"))</calculatedColumnFormula>
    </tableColumn>
    <tableColumn id="15" name="Informed Of">
      <calculatedColumnFormula>IF(ResourceTable[[#This Row],[Resource Name]]="","",COUNTIF(tsk_Informed,ResourceTable[[#This Row],[Resource Name]])+COUNTIF(tsk_Informed,ResourceTable[[#This Row],[Resource Name]]&amp;",*")+COUNTIF(tsk_Informed,"*, "&amp;ResourceTable[[#This Row],[Resource Name]])+COUNTIF(tsk_Informed,"*, "&amp;ResourceTable[[#This Row],[Resource Name]]&amp;",*"))</calculatedColumnFormula>
    </tableColumn>
    <tableColumn id="16" name="_Focus">
      <calculatedColumnFormula>IF(ResourceTable[[#This Row],[Focus %]]="",FocusFactor,N(ResourceTable[[#This Row],[Focus %]]))</calculatedColumnFormula>
    </tableColumn>
    <tableColumn id="17" name="Jan-26"/>
    <tableColumn id="18" name="Feb-26"/>
    <tableColumn id="19" name="Mar-26"/>
    <tableColumn id="20" name="Apr-26"/>
    <tableColumn id="21" name="May-26"/>
    <tableColumn id="22" name="Jun-26"/>
    <tableColumn id="23" name="Jul-26"/>
    <tableColumn id="24" name="Aug-26"/>
    <tableColumn id="25" name="Sep-26"/>
    <tableColumn id="26" name="Oct-26"/>
    <tableColumn id="27" name="Nov-26"/>
    <tableColumn id="28" name="Dec-26"/>
    <tableColumn id="29" name="Jan-27"/>
    <tableColumn id="30" name="Feb-27"/>
    <tableColumn id="31" name="Mar-27"/>
    <tableColumn id="32" name="Apr-27"/>
    <tableColumn id="33" name="May-27"/>
    <tableColumn id="34" name="Jun-27"/>
    <tableColumn id="35" name="Jul-27"/>
    <tableColumn id="36" name="Aug-27"/>
    <tableColumn id="37" name="Sep-27"/>
    <tableColumn id="38" name="Oct-27"/>
    <tableColumn id="39" name="Nov-27"/>
    <tableColumn id="40" name="Dec-27"/>
    <tableColumn id="41" name="Jan-28"/>
    <tableColumn id="42" name="Feb-28"/>
    <tableColumn id="43" name="Mar-28"/>
    <tableColumn id="44" name="Apr-28"/>
    <tableColumn id="45" name="May-28"/>
    <tableColumn id="46" name="Jun-28"/>
    <tableColumn id="47" name="Jul-28"/>
    <tableColumn id="48" name="Aug-28"/>
    <tableColumn id="49" name="Sep-28"/>
    <tableColumn id="50" name="Oct-28"/>
    <tableColumn id="51" name="Nov-28"/>
    <tableColumn id="52" name="Dec-28"/>
  </tableColumns>
  <tableStyleInfo name="TableStyleLight1" showRowStripes="0"/>
</table>
</file>

<file path=xl/tables/table23.xml><?xml version="1.0" encoding="utf-8"?>
<table xmlns="http://schemas.openxmlformats.org/spreadsheetml/2006/main" id="23"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24.xml><?xml version="1.0" encoding="utf-8"?>
<table xmlns="http://schemas.openxmlformats.org/spreadsheetml/2006/main" id="24"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25.xml><?xml version="1.0" encoding="utf-8"?>
<table xmlns="http://schemas.openxmlformats.org/spreadsheetml/2006/main" id="25" name="StageTable" displayName="StageTable" ref="B49:C55" headerRowCount="1">
  <tableColumns count="2">
    <tableColumn id="1" name="Stage"/>
    <tableColumn id="2" name="% Complete"/>
  </tableColumns>
  <tableStyleInfo name="TableStyleLight1" showRowStripes="0"/>
</table>
</file>

<file path=xl/tables/table26.xml><?xml version="1.0" encoding="utf-8"?>
<table xmlns="http://schemas.openxmlformats.org/spreadsheetml/2006/main" id="26" name="StartingSoon" displayName="StartingSoon" ref="A68:G73"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27.xml><?xml version="1.0" encoding="utf-8"?>
<table xmlns="http://schemas.openxmlformats.org/spreadsheetml/2006/main" id="27" name="StatusNotes" displayName="StatusNotes" ref="B84:C90" headerRowCount="1">
  <tableColumns count="2">
    <tableColumn id="1" name="Section"/>
    <tableColumn id="2" name="Notes"/>
  </tableColumns>
  <tableStyleInfo name="TableStyleLight1" showRowStripes="0"/>
</table>
</file>

<file path=xl/tables/table28.xml><?xml version="1.0" encoding="utf-8"?>
<table xmlns="http://schemas.openxmlformats.org/spreadsheetml/2006/main" id="28"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29.xml><?xml version="1.0" encoding="utf-8"?>
<table xmlns="http://schemas.openxmlformats.org/spreadsheetml/2006/main" id="29" name="StatusSummary" displayName="StatusSummary" ref="E27:F32"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30.xml><?xml version="1.0" encoding="utf-8"?>
<table xmlns="http://schemas.openxmlformats.org/spreadsheetml/2006/main" id="30" name="Tasks" displayName="Tasks" ref="A5:HG205" headerRowCount="1">
  <autoFilter ref="A5:HG205"/>
  <tableColumns count="215">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Work">
      <calculatedColumnFormula>IF(Tasks[[#This Row],[Task Name]]="","",IF(Tasks[[#This Row],[_IsSummary]],SUM(INDEX(Tasks[_LeafTotalWork],Tasks[[#This Row],[_Row]]+1):INDEX(Tasks[_LeafTotalWork],Tasks[[#This Row],[_Row]]+Tasks[[#This Row],[_Descendants]])),Tasks[[#This Row],[_LeafTotalWork]]))</calculatedColumnFormula>
    </tableColumn>
    <tableColumn id="58" name="Owner"/>
    <tableColumn id="5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0" name="Over-allocated">
      <calculatedColumnFormula>""</calculatedColumnFormula>
    </tableColumn>
    <tableColumn id="61" name="Story Points"/>
    <tableColumn id="62" name="Planned Sprint"/>
    <tableColumn id="63" name="Duration Var">
      <calculatedColumnFormula>IF(OR(Tasks[[#This Row],[Task Name]]="",Tasks[[#This Row],[Baseline Duration]]=""),"",Tasks[[#This Row],[_SpanDays]]-N(Tasks[[#This Row],[Baseline Duration]]))</calculatedColumnFormula>
    </tableColumn>
    <tableColumn id="64" name="Work Var">
      <calculatedColumnFormula>IF(OR(Tasks[[#This Row],[Task Name]]="",Tasks[[#This Row],[Baseline Work]]=""),"",Tasks[[#This Row],[Work]]-N(Tasks[[#This Row],[Baseline Work]]))</calculatedColumnFormula>
    </tableColumn>
    <tableColumn id="65" name="BL Source Start">
      <calculatedColumnFormula>IF(Tasks[[#This Row],[Task Name]]="","",IF(OR(TakeBaseline="Yes",N(Tasks[[#This Row],[Baseline Start]])=0),Tasks[[#This Row],[Start]],Tasks[[#This Row],[Baseline Start]]))</calculatedColumnFormula>
    </tableColumn>
    <tableColumn id="66" name="BL Source Finish">
      <calculatedColumnFormula>IF(Tasks[[#This Row],[Task Name]]="","",IF(OR(TakeBaseline="Yes",N(Tasks[[#This Row],[Baseline Finish]])=0),Tasks[[#This Row],[Finish]],Tasks[[#This Row],[Baseline Finish]]))</calculatedColumnFormula>
    </tableColumn>
    <tableColumn id="67" name="BL Source Duration">
      <calculatedColumnFormula>IF(Tasks[[#This Row],[Task Name]]="","",IF(OR(TakeBaseline="Yes",N(Tasks[[#This Row],[Baseline Duration]])=0),Tasks[[#This Row],[_SpanDays]],Tasks[[#This Row],[Baseline Duration]]))</calculatedColumnFormula>
    </tableColumn>
    <tableColumn id="68" name="BL Source Work">
      <calculatedColumnFormula>IF(Tasks[[#This Row],[Task Name]]="","",IF(OR(TakeBaseline="Yes",N(Tasks[[#This Row],[Baseline Work]])=0),Tasks[[#This Row],[Work]],Tasks[[#This Row],[Baseline Work]]))</calculatedColumnFormula>
    </tableColumn>
    <tableColumn id="69" name="Baseline Start"/>
    <tableColumn id="70" name="Baseline Finish"/>
    <tableColumn id="71" name="Baseline Duration"/>
    <tableColumn id="72" name="Baseline Work"/>
    <tableColumn id="73" name="Accountable"/>
    <tableColumn id="74" name="Consulted"/>
    <tableColumn id="75" name="Informed"/>
    <tableColumn id="76" name="Expected">
      <calculatedColumnFormula>IF(AND(Tasks[[#This Row],[_IsLeaf]]=1,ISNUMBER(Tasks[[#This Row],[Optimistic]]),ISNUMBER(Tasks[[#This Row],[Pessimistic]])),ROUND((Tasks[[#This Row],[Optimistic]]+4*N(Tasks[[#This Row],[_Days]])+Tasks[[#This Row],[Pessimistic]])/6,1),"")</calculatedColumnFormula>
    </tableColumn>
    <tableColumn id="77" name="Optimistic"/>
    <tableColumn id="78" name="Pessimistic"/>
    <tableColumn id="79" name="Sandbox Duration"/>
    <tableColumn id="80" name="_Level">
      <calculatedColumnFormula>IF(Tasks[[#This Row],[Task Name]]="","",MAX(1,N(Tasks[[#This Row],[Level]])))</calculatedColumnFormula>
    </tableColumn>
    <tableColumn id="81" name="_Row">
      <calculatedColumnFormula>ROW()-ROW(Tasks[[#Headers],[ID]])</calculatedColumnFormula>
    </tableColumn>
    <tableColumn id="82" name="_ParentRow">
      <calculatedColumnFormula>IF(OR(Tasks[[#This Row],[Task Name]]="",Tasks[[#This Row],[_Level]]&lt;=1),0,IFERROR(LOOKUP(2,1/(Tasks[[#Headers],[_Level]]:Tasks[[#This Row],[_Level]]=Tasks[[#This Row],[_Level]]-1),ROW(Tasks[[#Headers],[_Level]]:Tasks[[#This Row],[_Level]])),0))</calculatedColumnFormula>
    </tableColumn>
    <tableColumn id="83" name="_NextLevel">
      <calculatedColumnFormula>IFERROR(N(INDEX(Tasks[_Level],Tasks[[#This Row],[_Row]]+1)),0)</calculatedColumnFormula>
    </tableColumn>
    <tableColumn id="84" name="_IsSummary">
      <calculatedColumnFormula>AND(Tasks[[#This Row],[Task Name]]&lt;&gt;"",Tasks[[#This Row],[_NextLevel]]&gt;Tasks[[#This Row],[_Level]])</calculatedColumnFormula>
    </tableColumn>
    <tableColumn id="85" name="_Descendants">
      <calculatedColumnFormula>IF(Tasks[[#This Row],[_IsSummary]],COUNTIF(Tasks[WBS],Tasks[[#This Row],[WBS]]&amp;".*"),0)</calculatedColumnFormula>
    </tableColumn>
    <tableColumn id="86" name="_IsLeaf">
      <calculatedColumnFormula>IF(AND(Tasks[[#This Row],[Task Name]]&lt;&gt;"",NOT(Tasks[[#This Row],[_IsSummary]])),1,0)</calculatedColumnFormula>
    </tableColumn>
    <tableColumn id="87" name="_Pred1Pos">
      <calculatedColumnFormula>IF(N(Tasks[[#This Row],[_Pred1UID]])=0,0,IFERROR(MATCH(Tasks[[#This Row],[_Pred1UID]],Tasks[UID],0),-1))</calculatedColumnFormula>
    </tableColumn>
    <tableColumn id="88" name="_Pred2Pos">
      <calculatedColumnFormula>IF(N(Tasks[[#This Row],[_Pred2UID]])=0,0,IFERROR(MATCH(Tasks[[#This Row],[_Pred2UID]],Tasks[UID],0),-1))</calculatedColumnFormula>
    </tableColumn>
    <tableColumn id="89" name="_Pred3Pos">
      <calculatedColumnFormula>IF(N(Tasks[[#This Row],[_Pred3UID]])=0,0,IFERROR(MATCH(Tasks[[#This Row],[_Pred3UID]],Tasks[UID],0),-1))</calculatedColumnFormula>
    </tableColumn>
    <tableColumn id="90" name="_Pred4Pos">
      <calculatedColumnFormula>IF(N(Tasks[[#This Row],[_Pred4UID]])=0,0,IFERROR(MATCH(Tasks[[#This Row],[_Pred4UID]],Tasks[UID],0),-1))</calculatedColumnFormula>
    </tableColumn>
    <tableColumn id="91"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92"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93" name="_ConstraintLow">
      <calculatedColumnFormula>IF(OR(Tasks[[#This Row],[_ConstraintCode]]=2,Tasks[[#This Row],[_ConstraintCode]]=3,Tasks[[#This Row],[_ConstraintCode]]=4,Tasks[[#This Row],[_ConstraintCode]]=6),Tasks[[#This Row],[_ConstraintStart]],0)</calculatedColumnFormula>
    </tableColumn>
    <tableColumn id="94" name="_ConstraintHigh">
      <calculatedColumnFormula>IF(OR(Tasks[[#This Row],[_ConstraintCode]]=2,Tasks[[#This Row],[_ConstraintCode]]=3,Tasks[[#This Row],[_ConstraintCode]]=5,Tasks[[#This Row],[_ConstraintCode]]=7),Tasks[[#This Row],[_ConstraintStart]],2958465)</calculatedColumnFormula>
    </tableColumn>
    <tableColumn id="95"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96" name="_LeafCalcFinish">
      <calculatedColumnFormula>IF(NOT(Tasks[[#This Row],[_IsLeaf]]=1),"",IF(N(Tasks[[#This Row],[_Days]])&lt;=0,Tasks[[#This Row],[_LeafCalcStart]],WORKDAY.INTL(Tasks[[#This Row],[_LeafCalcStart]],Tasks[[#This Row],[_Days]]-1,WorkWeek,Holidays)))</calculatedColumnFormula>
    </tableColumn>
    <tableColumn id="97"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8"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99" name="_Pred1Text">
      <calculatedColumnFormula>IF(Tasks[[#This Row],[_Predecessors]]="","",TRIM(MID(SUBSTITUTE(SUBSTITUTE(SUBSTITUTE(UPPER(Tasks[[#This Row],[_Predecessors]]),";",",")," ",""),",",REPT(" ",99)),1,99)))</calculatedColumnFormula>
    </tableColumn>
    <tableColumn id="100"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101"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102"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103" name="_Pred2Text">
      <calculatedColumnFormula>IF(Tasks[[#This Row],[_Pred1Text]]="","",TRIM(MID(SUBSTITUTE(SUBSTITUTE(SUBSTITUTE(UPPER(Tasks[[#This Row],[_Predecessors]]),";",",")," ",""),",",REPT(" ",99)),100,99)))</calculatedColumnFormula>
    </tableColumn>
    <tableColumn id="104"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105"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106"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07" name="_Pred3Text">
      <calculatedColumnFormula>IF(Tasks[[#This Row],[_Pred2Text]]="","",TRIM(MID(SUBSTITUTE(SUBSTITUTE(SUBSTITUTE(UPPER(Tasks[[#This Row],[_Predecessors]]),";",",")," ",""),",",REPT(" ",99)),199,99)))</calculatedColumnFormula>
    </tableColumn>
    <tableColumn id="108"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09"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10"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11" name="_Pred4Text">
      <calculatedColumnFormula>IF(Tasks[[#This Row],[_Pred3Text]]="","",TRIM(MID(SUBSTITUTE(SUBSTITUTE(SUBSTITUTE(UPPER(Tasks[[#This Row],[_Predecessors]]),";",",")," ",""),",",REPT(" ",99)),298,99)))</calculatedColumnFormula>
    </tableColumn>
    <tableColumn id="112"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13"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14"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15" name="_Res1Text">
      <calculatedColumnFormula>IF(OR(Tasks[[#This Row],[Task Name]]="",Tasks[[#This Row],[_Resources]]=""),"",TRIM(MID(SUBSTITUTE(Tasks[[#This Row],[_Resources]],",",REPT(" ",99)),1,99)))</calculatedColumnFormula>
    </tableColumn>
    <tableColumn id="116" name="_Res2Text">
      <calculatedColumnFormula>IF(Tasks[[#This Row],[_Res1Text]]="","",TRIM(MID(SUBSTITUTE(Tasks[[#This Row],[_Resources]],",",REPT(" ",99)),100,99)))</calculatedColumnFormula>
    </tableColumn>
    <tableColumn id="117" name="_Res3Text">
      <calculatedColumnFormula>IF(Tasks[[#This Row],[_Res2Text]]="","",TRIM(MID(SUBSTITUTE(Tasks[[#This Row],[_Resources]],",",REPT(" ",99)),199,99)))</calculatedColumnFormula>
    </tableColumn>
    <tableColumn id="118" name="_Res4Text">
      <calculatedColumnFormula>IF(Tasks[[#This Row],[_Res3Text]]="","",TRIM(MID(SUBSTITUTE(Tasks[[#This Row],[_Resources]],",",REPT(" ",99)),298,99)))</calculatedColumnFormula>
    </tableColumn>
    <tableColumn id="119"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20"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21"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22"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23" name="_Resource1">
      <calculatedColumnFormula>IF(Tasks[[#This Row],[_Res1Text]]="","",IF(Tasks[[#This Row],[_Res1Row]]&gt;0,INDEX(res_Name,Tasks[[#This Row],[_Res1Row]]),TRIM(LEFT(Tasks[[#This Row],[_Res1Text]],FIND("[",Tasks[[#This Row],[_Res1Text]]&amp;"[")-1))))</calculatedColumnFormula>
    </tableColumn>
    <tableColumn id="124"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25" name="_People">
      <calculatedColumnFormula>IF(NOT(Tasks[[#This Row],[_IsLeaf]]=1),0,(Tasks[[#This Row],[_Resource1]]&lt;&gt;"")+(Tasks[[#This Row],[_Res2]]&lt;&gt;"")+(Tasks[[#This Row],[_Res3]]&lt;&gt;"")+(Tasks[[#This Row],[_Res4]]&lt;&gt;""))</calculatedColumnFormula>
    </tableColumn>
    <tableColumn id="126" name="_Res2">
      <calculatedColumnFormula>IF(Tasks[[#This Row],[_Res2Text]]="","",IF(Tasks[[#This Row],[_Res2Row]]&gt;0,INDEX(res_Name,Tasks[[#This Row],[_Res2Row]]),TRIM(LEFT(Tasks[[#This Row],[_Res2Text]],FIND("[",Tasks[[#This Row],[_Res2Text]]&amp;"[")-1))))</calculatedColumnFormula>
    </tableColumn>
    <tableColumn id="127"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28" name="_Res2Work">
      <calculatedColumnFormula>IF(OR(NOT(Tasks[[#This Row],[_IsLeaf]]=1),Tasks[[#This Row],[_Res2Row]]=0),0,N(Tasks[[#This Row],[_Days]])*HoursPerDay*IF(Tasks[[#This Row],[_Res2Units]]="",DefaultUnits,Tasks[[#This Row],[_Res2Units]]))</calculatedColumnFormula>
    </tableColumn>
    <tableColumn id="129" name="_Res2WorkPerWD">
      <calculatedColumnFormula>IF(AND(AND(Tasks[[#This Row],[_IsLeaf]]=1,Tasks[[#This Row],[_LeafTotalWork]]&gt;0),Tasks[[#This Row],[_Res2Work]]&gt;0),Tasks[[#This Row],[_Res2Work]]/(Tasks[[#This Row],[_FinishWorkday]]-Tasks[[#This Row],[_StartWorkday]]+1),0)</calculatedColumnFormula>
    </tableColumn>
    <tableColumn id="130" name="_Res2WorkBefore">
      <calculatedColumnFormula>Tasks[[#This Row],[_Res2WorkPerWD]]*MAX(0,Tasks[[#This Row],[_StartWorkday]]-1)</calculatedColumnFormula>
    </tableColumn>
    <tableColumn id="131" name="_Res2WorkDone">
      <calculatedColumnFormula>Tasks[[#This Row],[_Res2Work]]*Tasks[[#This Row],[_LeafProgress]]</calculatedColumnFormula>
    </tableColumn>
    <tableColumn id="132" name="_Res3">
      <calculatedColumnFormula>IF(Tasks[[#This Row],[_Res3Text]]="","",IF(Tasks[[#This Row],[_Res3Row]]&gt;0,INDEX(res_Name,Tasks[[#This Row],[_Res3Row]]),TRIM(LEFT(Tasks[[#This Row],[_Res3Text]],FIND("[",Tasks[[#This Row],[_Res3Text]]&amp;"[")-1))))</calculatedColumnFormula>
    </tableColumn>
    <tableColumn id="133"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34" name="_Res3Work">
      <calculatedColumnFormula>IF(OR(NOT(Tasks[[#This Row],[_IsLeaf]]=1),Tasks[[#This Row],[_Res3Row]]=0),0,N(Tasks[[#This Row],[_Days]])*HoursPerDay*IF(Tasks[[#This Row],[_Res3Units]]="",DefaultUnits,Tasks[[#This Row],[_Res3Units]]))</calculatedColumnFormula>
    </tableColumn>
    <tableColumn id="135" name="_Res3WorkPerWD">
      <calculatedColumnFormula>IF(AND(AND(Tasks[[#This Row],[_IsLeaf]]=1,Tasks[[#This Row],[_LeafTotalWork]]&gt;0),Tasks[[#This Row],[_Res3Work]]&gt;0),Tasks[[#This Row],[_Res3Work]]/(Tasks[[#This Row],[_FinishWorkday]]-Tasks[[#This Row],[_StartWorkday]]+1),0)</calculatedColumnFormula>
    </tableColumn>
    <tableColumn id="136" name="_Res3WorkBefore">
      <calculatedColumnFormula>Tasks[[#This Row],[_Res3WorkPerWD]]*MAX(0,Tasks[[#This Row],[_StartWorkday]]-1)</calculatedColumnFormula>
    </tableColumn>
    <tableColumn id="137" name="_Res3WorkDone">
      <calculatedColumnFormula>Tasks[[#This Row],[_Res3Work]]*Tasks[[#This Row],[_LeafProgress]]</calculatedColumnFormula>
    </tableColumn>
    <tableColumn id="138" name="_Res4">
      <calculatedColumnFormula>IF(Tasks[[#This Row],[_Res4Text]]="","",IF(Tasks[[#This Row],[_Res4Row]]&gt;0,INDEX(res_Name,Tasks[[#This Row],[_Res4Row]]),TRIM(LEFT(Tasks[[#This Row],[_Res4Text]],FIND("[",Tasks[[#This Row],[_Res4Text]]&amp;"[")-1))))</calculatedColumnFormula>
    </tableColumn>
    <tableColumn id="139"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40" name="_Res4Work">
      <calculatedColumnFormula>IF(OR(NOT(Tasks[[#This Row],[_IsLeaf]]=1),Tasks[[#This Row],[_Res4Row]]=0),0,N(Tasks[[#This Row],[_Days]])*HoursPerDay*IF(Tasks[[#This Row],[_Res4Units]]="",DefaultUnits,Tasks[[#This Row],[_Res4Units]]))</calculatedColumnFormula>
    </tableColumn>
    <tableColumn id="141" name="_Res4WorkPerWD">
      <calculatedColumnFormula>IF(AND(AND(Tasks[[#This Row],[_IsLeaf]]=1,Tasks[[#This Row],[_LeafTotalWork]]&gt;0),Tasks[[#This Row],[_Res4Work]]&gt;0),Tasks[[#This Row],[_Res4Work]]/(Tasks[[#This Row],[_FinishWorkday]]-Tasks[[#This Row],[_StartWorkday]]+1),0)</calculatedColumnFormula>
    </tableColumn>
    <tableColumn id="142" name="_Res4WorkBefore">
      <calculatedColumnFormula>Tasks[[#This Row],[_Res4WorkPerWD]]*MAX(0,Tasks[[#This Row],[_StartWorkday]]-1)</calculatedColumnFormula>
    </tableColumn>
    <tableColumn id="143" name="_Res4WorkDone">
      <calculatedColumnFormula>Tasks[[#This Row],[_Res4Work]]*Tasks[[#This Row],[_LeafProgress]]</calculatedColumnFormula>
    </tableColumn>
    <tableColumn id="144" name="_Pct">
      <calculatedColumnFormula>IF(ISNUMBER(Tasks[[#This Row],[% Complete]]),Tasks[[#This Row],[% Complete]],IF(Tasks[[#This Row],[Stage]]="",0,IFERROR(INDEX(stg_Pct,MATCH(Tasks[[#This Row],[Stage]],stg_Name,0)),0)))</calculatedColumnFormula>
    </tableColumn>
    <tableColumn id="145" name="_LeafProgress">
      <calculatedColumnFormula>IF(NOT(Tasks[[#This Row],[_IsLeaf]]=1),0,IF(N(Tasks[[#This Row],[Actual Finish]])&gt;0,1,MIN(1,Tasks[[#This Row],[_Pct]])))</calculatedColumnFormula>
    </tableColumn>
    <tableColumn id="146" name="_LeafWork">
      <calculatedColumnFormula>IF(OR(NOT(Tasks[[#This Row],[_IsLeaf]]=1),Tasks[[#This Row],[_Res1Row]]=0),0,N(Tasks[[#This Row],[_Days]])*HoursPerDay*IF(Tasks[[#This Row],[_Units1]]="",DefaultUnits,Tasks[[#This Row],[_Units1]]))</calculatedColumnFormula>
    </tableColumn>
    <tableColumn id="147" name="_LeafTotalWork">
      <calculatedColumnFormula>Tasks[[#This Row],[_LeafWork]]+Tasks[[#This Row],[_Res2Work]]+Tasks[[#This Row],[_Res3Work]]+Tasks[[#This Row],[_Res4Work]]</calculatedColumnFormula>
    </tableColumn>
    <tableColumn id="148"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49"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50"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51"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52"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53"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54"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55"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56"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57"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58"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59" name="_LeafLateStart">
      <calculatedColumnFormula>IF(NOT(Tasks[[#This Row],[_IsLeaf]]=1),"",IF(N(Tasks[[#This Row],[_Days]])&lt;=0,Tasks[[#This Row],[_LeafLateFinish]],WORKDAY.INTL(Tasks[[#This Row],[_LeafLateFinish]],-(Tasks[[#This Row],[_Days]]-1),WorkWeek,Holidays)))</calculatedColumnFormula>
    </tableColumn>
    <tableColumn id="160"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61" name="_LeafCritical">
      <calculatedColumnFormula>AND(Tasks[[#This Row],[_IsLeaf]]=1,Tasks[[#This Row],[_LeafProgress]]&lt;1,N(Tasks[[#This Row],[_LeafTotalSlack]])&lt;=CriticalSlackDays)</calculatedColumnFormula>
    </tableColumn>
    <tableColumn id="162" name="_AlapShift">
      <calculatedColumnFormula>IF(AND(Tasks[[#This Row],[_IsLeaf]]=1,Tasks[[#This Row],[_ConstraintCode]]=1,Tasks[[#This Row],[Mode]]&lt;&gt;"Manual",N(Tasks[[#This Row],[Actual Start]])=0),MAX(0,N(Tasks[[#This Row],[Free Slack]])),0)</calculatedColumnFormula>
    </tableColumn>
    <tableColumn id="163" name="_ShownCalcStart">
      <calculatedColumnFormula>IF(NOT(Tasks[[#This Row],[_IsLeaf]]=1),"",IF(Tasks[[#This Row],[_AlapShift]]=0,Tasks[[#This Row],[_LeafCalcStart]],WORKDAY.INTL(Tasks[[#This Row],[_LeafCalcStart]],Tasks[[#This Row],[_AlapShift]],WorkWeek,Holidays)))</calculatedColumnFormula>
    </tableColumn>
    <tableColumn id="164" name="_ShownCalcFinish">
      <calculatedColumnFormula>IF(NOT(Tasks[[#This Row],[_IsLeaf]]=1),"",IF(Tasks[[#This Row],[_AlapShift]]=0,Tasks[[#This Row],[_LeafCalcFinish]],WORKDAY.INTL(Tasks[[#This Row],[_LeafCalcFinish]],Tasks[[#This Row],[_AlapShift]],WorkWeek,Holidays)))</calculatedColumnFormula>
    </tableColumn>
    <tableColumn id="165" name="_ShownFcstStart">
      <calculatedColumnFormula>IF(NOT(Tasks[[#This Row],[_IsLeaf]]=1),"",IF(Tasks[[#This Row],[_AlapShift]]=0,Tasks[[#This Row],[_LeafFcstStart]],WORKDAY.INTL(Tasks[[#This Row],[_LeafFcstStart]],Tasks[[#This Row],[_AlapShift]],WorkWeek,Holidays)))</calculatedColumnFormula>
    </tableColumn>
    <tableColumn id="166" name="_ShownFcstFinish">
      <calculatedColumnFormula>IF(NOT(Tasks[[#This Row],[_IsLeaf]]=1),"",IF(Tasks[[#This Row],[_AlapShift]]=0,Tasks[[#This Row],[_LeafFcstFinish]],WORKDAY.INTL(Tasks[[#This Row],[_LeafFcstFinish]],Tasks[[#This Row],[_AlapShift]],WorkWeek,Holidays)))</calculatedColumnFormula>
    </tableColumn>
    <tableColumn id="167"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68"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69"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70"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71"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72"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73"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74"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75"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76"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77"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78"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79"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80"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81" name="_StartWorkday">
      <calculatedColumnFormula>IF(AND(Tasks[[#This Row],[_IsLeaf]]=1,Tasks[[#This Row],[_LeafTotalWork]]&gt;0),NETWORKDAYS.INTL(ProjectStart,Tasks[[#This Row],[_ShownFcstStart]],WorkWeek,Holidays),0)</calculatedColumnFormula>
    </tableColumn>
    <tableColumn id="182" name="_FinishWorkday">
      <calculatedColumnFormula>IF(AND(Tasks[[#This Row],[_IsLeaf]]=1,Tasks[[#This Row],[_LeafTotalWork]]&gt;0),MAX(Tasks[[#This Row],[_StartWorkday]],NETWORKDAYS.INTL(ProjectStart,Tasks[[#This Row],[_ShownFcstFinish]],WorkWeek,Holidays)),0)</calculatedColumnFormula>
    </tableColumn>
    <tableColumn id="183" name="_WorkPerWorkday">
      <calculatedColumnFormula>IF(AND(Tasks[[#This Row],[_IsLeaf]]=1,Tasks[[#This Row],[_LeafTotalWork]]&gt;0),Tasks[[#This Row],[_LeafWork]]/(Tasks[[#This Row],[_FinishWorkday]]-Tasks[[#This Row],[_StartWorkday]]+1),0)</calculatedColumnFormula>
    </tableColumn>
    <tableColumn id="184" name="_WorkBeforeStart">
      <calculatedColumnFormula>Tasks[[#This Row],[_WorkPerWorkday]]*(Tasks[[#This Row],[_StartWorkday]]-1)</calculatedColumnFormula>
    </tableColumn>
    <tableColumn id="185" name="_WeightDur">
      <calculatedColumnFormula>IF(Tasks[[#This Row],[_IsLeaf]]=1,MAX(N(Tasks[[#This Row],[_Days]]),0.1),0)</calculatedColumnFormula>
    </tableColumn>
    <tableColumn id="186" name="_WeightDone">
      <calculatedColumnFormula>Tasks[[#This Row],[_WeightDur]]*Tasks[[#This Row],[_LeafProgress]]</calculatedColumnFormula>
    </tableColumn>
    <tableColumn id="187" name="_WeightPlanned">
      <calculatedColumnFormula>Tasks[[#This Row],[_WeightDur]]*Tasks[[#This Row],[_PlannedPct]]</calculatedColumnFormula>
    </tableColumn>
    <tableColumn id="188"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89" name="_MilestoneKey">
      <calculatedColumnFormula>IF(AND(Tasks[[#This Row],[_IsLeaf]]=1,N(Tasks[[#This Row],[_Days]])=0,Tasks[[#This Row],[_LeafProgress]]&lt;1),Tasks[[#This Row],[_ShownFcstFinish]]+Tasks[[#This Row],[_Row]]/100000,"")</calculatedColumnFormula>
    </tableColumn>
    <tableColumn id="190"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91" name="_Phase">
      <calculatedColumnFormula>IF(Tasks[[#This Row],[Task Name]]="","",LEFT(Tasks[[#This Row],[WBS]],FIND(".",Tasks[[#This Row],[WBS]]&amp;".")-1))</calculatedColumnFormula>
    </tableColumn>
    <tableColumn id="192" name="_PhaseKey">
      <calculatedColumnFormula>IF(AND(Tasks[[#This Row],[Task Name]]&lt;&gt;"",Tasks[[#This Row],[_Level]]=1),Tasks[[#This Row],[_Row]],"")</calculatedColumnFormula>
    </tableColumn>
    <tableColumn id="193" name="_MilestoneOrder">
      <calculatedColumnFormula>IF(AND(Tasks[[#This Row],[_IsLeaf]]=1,N(Tasks[[#This Row],[_Days]])=0),Tasks[[#This Row],[Planned Finish]]+Tasks[[#This Row],[_Row]]/100000,"")</calculatedColumnFormula>
    </tableColumn>
    <tableColumn id="194" name="_LateKey">
      <calculatedColumnFormula>IF(AND(Tasks[[#This Row],[_IsLeaf]]=1,Tasks[[#This Row],[_LeafProgress]]&lt;1,OR(N(Tasks[[#This Row],[Finish Var]])&gt;0,Tasks[[#This Row],[Status]]="Late Start")),MAX(0,Tasks[[#This Row],[Finish Var]])+1-Tasks[[#This Row],[_Row]]/1000000,"")</calculatedColumnFormula>
    </tableColumn>
    <tableColumn id="195" name="_StartSoonKey">
      <calculatedColumnFormula>IF(AND(Tasks[[#This Row],[_IsLeaf]]=1,N(Tasks[[#This Row],[Actual Start]])=0,Tasks[[#This Row],[_ShownFcstStart]]&gt;=StatusDate,Tasks[[#This Row],[_ShownFcstStart]]&lt;=LookaheadEnd),Tasks[[#This Row],[_ShownFcstStart]]+Tasks[[#This Row],[_Row]]/100000,"")</calculatedColumnFormula>
    </tableColumn>
    <tableColumn id="196"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97" name="_CriticalKey">
      <calculatedColumnFormula>IF(Tasks[[#This Row],[_LeafCritical]],Tasks[[#This Row],[_ShownFcstStart]]+Tasks[[#This Row],[_Row]]/100000,"")</calculatedColumnFormula>
    </tableColumn>
    <tableColumn id="198" name="_LeafWorkDone">
      <calculatedColumnFormula>Tasks[[#This Row],[_LeafWork]]*Tasks[[#This Row],[_LeafProgress]]</calculatedColumnFormula>
    </tableColumn>
    <tableColumn id="199" name="_DoneDate">
      <calculatedColumnFormula>IF(AND(Tasks[[#This Row],[_IsLeaf]]=1,Tasks[[#This Row],[_LeafProgress]]&gt;=1),IF(N(Tasks[[#This Row],[Actual Finish]])&gt;0,Tasks[[#This Row],[Actual Finish]],Tasks[[#This Row],[_ShownFcstFinish]]),"")</calculatedColumnFormula>
    </tableColumn>
    <tableColumn id="200" name="_LeafPoints">
      <calculatedColumnFormula>IF(Tasks[[#This Row],[_IsLeaf]]=1,N(Tasks[[#This Row],[Story Points]]),0)</calculatedColumnFormula>
    </tableColumn>
    <tableColumn id="201" name="_CurrentSprintKey">
      <calculatedColumnFormula>""</calculatedColumnFormula>
    </tableColumn>
    <tableColumn id="202" name="_IsMilestone">
      <calculatedColumnFormula>IF(Tasks[[#This Row],[Task Name]]="",FALSE(),AND(Tasks[[#This Row],[_IsLeaf]]=1,N(Tasks[[#This Row],[_Days]])=0))</calculatedColumnFormula>
    </tableColumn>
    <tableColumn id="203" name="_DoneFrom">
      <calculatedColumnFormula>IF(Tasks[[#This Row],[Task Name]]="",0,IF(AND(Tasks[[#This Row],[_IsLeaf]]=1,NOT(Tasks[[#This Row],[_IsMilestone]]),N(Tasks[[#This Row],[Progress]])&gt;0),Tasks[[#This Row],[Start]],0))</calculatedColumnFormula>
    </tableColumn>
    <tableColumn id="204" name="_DoneTo">
      <calculatedColumnFormula>IF(Tasks[[#This Row],[_DoneFrom]]=0,0,IF(Tasks[[#This Row],[Progress]]&gt;=1,Tasks[[#This Row],[Finish]],MAX(Tasks[[#This Row],[_DoneFrom]],Tasks[[#This Row],[Start]]+ROUND((Tasks[[#This Row],[Finish]]-Tasks[[#This Row],[Start]]+1)*Tasks[[#This Row],[Progress]],0)-1)))</calculatedColumnFormula>
    </tableColumn>
    <tableColumn id="205" name="_RemFrom">
      <calculatedColumnFormula>IF(Tasks[[#This Row],[Task Name]]="",0,IF(OR(NOT(Tasks[[#This Row],[_IsLeaf]]=1),Tasks[[#This Row],[_IsMilestone]],N(Tasks[[#This Row],[Progress]])&gt;=1),0,IF(Tasks[[#This Row],[_DoneTo]]&gt;0,Tasks[[#This Row],[_DoneTo]]+1,Tasks[[#This Row],[Start]])))</calculatedColumnFormula>
    </tableColumn>
    <tableColumn id="206" name="_RemTo">
      <calculatedColumnFormula>IF(Tasks[[#This Row],[_RemFrom]]=0,0,Tasks[[#This Row],[Finish]])</calculatedColumnFormula>
    </tableColumn>
    <tableColumn id="207" name="_ShowPlan">
      <calculatedColumnFormula>IF(Tasks[[#This Row],[Task Name]]="",FALSE(),OR(NOT(BaselineSet),N(Tasks[[#This Row],[Baseline Start]])&gt;0))</calculatedColumnFormula>
    </tableColumn>
    <tableColumn id="208" name="_Days">
      <calculatedColumnFormula>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calculatedColumnFormula>
    </tableColumn>
    <tableColumn id="209" name="_Predecessors">
      <calculatedColumnFormula>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calculatedColumnFormula>
    </tableColumn>
    <tableColumn id="210"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11" name="_PickKey">
      <calculatedColumnFormula>IF(Tasks[[#This Row],[_IsLeaf]]=1,Tasks[[#This Row],[_Row]],"")</calculatedColumnFormula>
    </tableColumn>
    <tableColumn id="212" name="_PickList">
      <calculatedColumnFormula>IFERROR(INDEX(Tasks[UID],SMALL(Tasks[_PickKey],Tasks[[#This Row],[_Row]]))&amp;" "&amp;INDEX(Tasks[Task Name],SMALL(Tasks[_PickKey],Tasks[[#This Row],[_Row]])),"")</calculatedColumnFormula>
    </tableColumn>
    <tableColumn id="213" name="_SpanDays">
      <calculatedColumnFormula>IF(Tasks[[#This Row],[Task Name]]="","",IF(Tasks[[#This Row],[_IsSummary]],NETWORKDAYS.INTL(Tasks[[#This Row],[Start]],Tasks[[#This Row],[Finish]],WorkWeek,Holidays),N(Tasks[[#This Row],[_Days]])))</calculatedColumnFormula>
    </tableColumn>
    <tableColumn id="214" name="_PertVariance">
      <calculatedColumnFormula>IF(Tasks[[#This Row],[Expected]]="",0,((Tasks[[#This Row],[Pessimistic]]-Tasks[[#This Row],[Optimistic]])/6)^2)</calculatedColumnFormula>
    </tableColumn>
    <tableColumn id="215" name="_PertShift">
      <calculatedColumnFormula>IF(Tasks[[#This Row],[Expected]]="",0,Tasks[[#This Row],[Expected]]-N(Tasks[[#This Row],[_Days]]))</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Relationship Id="rId4" Type="http://schemas.openxmlformats.org/officeDocument/2006/relationships/table" Target="../tables/table1.xml"/><Relationship Id="rId5" Type="http://schemas.openxmlformats.org/officeDocument/2006/relationships/table" Target="../tables/table2.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19.xml"/><Relationship Id="rId9" Type="http://schemas.openxmlformats.org/officeDocument/2006/relationships/table" Target="../tables/table20.xml"/><Relationship Id="rId10" Type="http://schemas.openxmlformats.org/officeDocument/2006/relationships/table" Target="../tables/table26.xml"/><Relationship Id="rId11" Type="http://schemas.openxmlformats.org/officeDocument/2006/relationships/table" Target="../tables/table27.xml"/><Relationship Id="rId12" Type="http://schemas.openxmlformats.org/officeDocument/2006/relationships/table" Target="../tables/table28.xml"/><Relationship Id="rId13" Type="http://schemas.openxmlformats.org/officeDocument/2006/relationships/table" Target="../tables/table29.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Relationship Id="rId3" Type="http://schemas.openxmlformats.org/officeDocument/2006/relationships/table" Target="../tables/table23.xml"/><Relationship Id="rId4" Type="http://schemas.openxmlformats.org/officeDocument/2006/relationships/table" Target="../tables/table24.xml"/>
</Relationships>
</file>

<file path=xl/worksheets/_rels/sheet4.xml.rels><?xml version="1.0" encoding="UTF-8"?>
<Relationships xmlns="http://schemas.openxmlformats.org/package/2006/relationships"><Relationship Id="rId1" Type="http://schemas.openxmlformats.org/officeDocument/2006/relationships/table" Target="../tables/table3.xml"/><Relationship Id="rId2" Type="http://schemas.openxmlformats.org/officeDocument/2006/relationships/table" Target="../tables/table7.xml"/><Relationship Id="rId3" Type="http://schemas.openxmlformats.org/officeDocument/2006/relationships/table" Target="../tables/table8.xml"/><Relationship Id="rId4" Type="http://schemas.openxmlformats.org/officeDocument/2006/relationships/table" Target="../tables/table9.xml"/><Relationship Id="rId5" Type="http://schemas.openxmlformats.org/officeDocument/2006/relationships/table" Target="../tables/table10.xml"/><Relationship Id="rId6" Type="http://schemas.openxmlformats.org/officeDocument/2006/relationships/table" Target="../tables/table11.xml"/><Relationship Id="rId7" Type="http://schemas.openxmlformats.org/officeDocument/2006/relationships/table" Target="../tables/table12.xml"/><Relationship Id="rId8" Type="http://schemas.openxmlformats.org/officeDocument/2006/relationships/table" Target="../tables/table13.xml"/><Relationship Id="rId9" Type="http://schemas.openxmlformats.org/officeDocument/2006/relationships/table" Target="../tables/table14.xml"/><Relationship Id="rId10" Type="http://schemas.openxmlformats.org/officeDocument/2006/relationships/table" Target="../tables/table15.xml"/><Relationship Id="rId11" Type="http://schemas.openxmlformats.org/officeDocument/2006/relationships/table" Target="../tables/table16.xml"/><Relationship Id="rId12" Type="http://schemas.openxmlformats.org/officeDocument/2006/relationships/table" Target="../tables/table17.xml"/><Relationship Id="rId13" Type="http://schemas.openxmlformats.org/officeDocument/2006/relationships/table" Target="../tables/table18.xml"/><Relationship Id="rId14" Type="http://schemas.openxmlformats.org/officeDocument/2006/relationships/table" Target="../tables/table21.xml"/><Relationship Id="rId15" Type="http://schemas.openxmlformats.org/officeDocument/2006/relationships/table" Target="../tables/table2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3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6.xml"/><Relationship Id="rId4"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t="s">
        <v>6</v>
      </c>
    </row>
    <row r="6" customFormat="false" ht="15" hidden="false" customHeight="false" outlineLevel="0" collapsed="false">
      <c r="B6" s="5" t="s">
        <v>7</v>
      </c>
      <c r="C6" s="7" t="n">
        <v>46272</v>
      </c>
    </row>
    <row r="7" customFormat="false" ht="15" hidden="false" customHeight="false" outlineLevel="0" collapsed="false">
      <c r="B7" s="5" t="s">
        <v>8</v>
      </c>
      <c r="C7" s="6" t="s">
        <v>9</v>
      </c>
    </row>
    <row r="8" customFormat="false" ht="15" hidden="false" customHeight="false" outlineLevel="0" collapsed="false">
      <c r="B8" s="5" t="s">
        <v>10</v>
      </c>
      <c r="C8" s="8" t="n">
        <v>8</v>
      </c>
    </row>
    <row r="9" customFormat="false" ht="15" hidden="false" customHeight="false" outlineLevel="0" collapsed="false">
      <c r="B9" s="5" t="s">
        <v>11</v>
      </c>
      <c r="C9" s="6" t="s">
        <v>12</v>
      </c>
    </row>
    <row r="11" customFormat="false" ht="15" hidden="false" customHeight="false" outlineLevel="0" collapsed="false">
      <c r="B11" s="3" t="s">
        <v>13</v>
      </c>
      <c r="C11" s="4"/>
    </row>
    <row r="12" customFormat="false" ht="15" hidden="false" customHeight="false" outlineLevel="0" collapsed="false">
      <c r="B12" s="5" t="s">
        <v>14</v>
      </c>
      <c r="C12" s="9" t="s">
        <v>15</v>
      </c>
    </row>
    <row r="13" customFormat="false" ht="15" hidden="false" customHeight="false" outlineLevel="0" collapsed="false">
      <c r="B13" s="5" t="s">
        <v>16</v>
      </c>
      <c r="C13" s="9" t="s">
        <v>17</v>
      </c>
    </row>
    <row r="14" customFormat="false" ht="15" hidden="false" customHeight="false" outlineLevel="0" collapsed="false">
      <c r="B14" s="5" t="s">
        <v>18</v>
      </c>
      <c r="C14" s="9" t="s">
        <v>19</v>
      </c>
    </row>
    <row r="15" customFormat="false" ht="15" hidden="false" customHeight="false" outlineLevel="0" collapsed="false">
      <c r="B15" s="5" t="s">
        <v>20</v>
      </c>
      <c r="C15" s="9" t="s">
        <v>21</v>
      </c>
    </row>
    <row r="16" customFormat="false" ht="15" hidden="false" customHeight="false" outlineLevel="0" collapsed="false">
      <c r="B16" s="5" t="s">
        <v>22</v>
      </c>
      <c r="C16" s="9" t="s">
        <v>23</v>
      </c>
    </row>
    <row r="18" customFormat="false" ht="15" hidden="false" customHeight="false" outlineLevel="0" collapsed="false">
      <c r="B18" s="3" t="s">
        <v>24</v>
      </c>
      <c r="C18" s="4"/>
    </row>
    <row r="19" customFormat="false" ht="15" hidden="false" customHeight="false" outlineLevel="0" collapsed="false">
      <c r="B19" s="5" t="s">
        <v>25</v>
      </c>
      <c r="C19" s="9" t="s">
        <v>26</v>
      </c>
    </row>
    <row r="21" customFormat="false" ht="15" hidden="false" customHeight="false" outlineLevel="0" collapsed="false">
      <c r="B21" s="3" t="s">
        <v>27</v>
      </c>
      <c r="C21" s="4"/>
    </row>
    <row r="23" customFormat="false" ht="15" hidden="false" customHeight="false" outlineLevel="0" collapsed="false">
      <c r="B23" s="3" t="s">
        <v>28</v>
      </c>
      <c r="C23" s="4"/>
    </row>
    <row r="24" customFormat="false" ht="15" hidden="false" customHeight="false" outlineLevel="0" collapsed="false">
      <c r="B24" s="10" t="s">
        <v>29</v>
      </c>
      <c r="C24" s="11" t="s">
        <v>30</v>
      </c>
    </row>
    <row r="26" customFormat="false" ht="15" hidden="false" customHeight="false" outlineLevel="0" collapsed="false">
      <c r="B26" s="3" t="s">
        <v>31</v>
      </c>
      <c r="C26" s="4"/>
    </row>
    <row r="27" customFormat="false" ht="35.05" hidden="false" customHeight="false" outlineLevel="0" collapsed="false">
      <c r="B27" s="10" t="s">
        <v>32</v>
      </c>
      <c r="C27" s="11" t="s">
        <v>33</v>
      </c>
    </row>
    <row r="28" customFormat="false" ht="35.05" hidden="false" customHeight="false" outlineLevel="0" collapsed="false">
      <c r="B28" s="10" t="s">
        <v>34</v>
      </c>
      <c r="C28" s="11" t="s">
        <v>35</v>
      </c>
    </row>
    <row r="29" customFormat="false" ht="57.45" hidden="false" customHeight="false" outlineLevel="0" collapsed="false">
      <c r="B29" s="10" t="s">
        <v>18</v>
      </c>
      <c r="C29" s="11" t="s">
        <v>36</v>
      </c>
    </row>
    <row r="30" customFormat="false" ht="35.05" hidden="false" customHeight="false" outlineLevel="0" collapsed="false">
      <c r="B30" s="10" t="s">
        <v>37</v>
      </c>
      <c r="C30" s="11" t="s">
        <v>38</v>
      </c>
    </row>
    <row r="31" customFormat="false" ht="46.25" hidden="false" customHeight="false" outlineLevel="0" collapsed="false">
      <c r="B31" s="10" t="s">
        <v>39</v>
      </c>
      <c r="C31" s="11" t="s">
        <v>40</v>
      </c>
    </row>
    <row r="32" customFormat="false" ht="35.05" hidden="false" customHeight="false" outlineLevel="0" collapsed="false">
      <c r="B32" s="10" t="s">
        <v>41</v>
      </c>
      <c r="C32" s="11" t="s">
        <v>42</v>
      </c>
    </row>
    <row r="33" customFormat="false" ht="79.85" hidden="false" customHeight="false" outlineLevel="0" collapsed="false">
      <c r="B33" s="10" t="s">
        <v>43</v>
      </c>
      <c r="C33" s="11" t="s">
        <v>44</v>
      </c>
    </row>
    <row r="34" customFormat="false" ht="46.25" hidden="false" customHeight="false" outlineLevel="0" collapsed="false">
      <c r="B34" s="10" t="s">
        <v>45</v>
      </c>
      <c r="C34" s="11" t="s">
        <v>46</v>
      </c>
    </row>
    <row r="35" customFormat="false" ht="68.65" hidden="false" customHeight="false" outlineLevel="0" collapsed="false">
      <c r="B35" s="10" t="s">
        <v>47</v>
      </c>
      <c r="C35" s="11" t="s">
        <v>48</v>
      </c>
    </row>
    <row r="36" customFormat="false" ht="46.25" hidden="false" customHeight="false" outlineLevel="0" collapsed="false">
      <c r="B36" s="10" t="s">
        <v>49</v>
      </c>
      <c r="C36" s="11" t="s">
        <v>50</v>
      </c>
    </row>
    <row r="37" customFormat="false" ht="46.25" hidden="false" customHeight="false" outlineLevel="0" collapsed="false">
      <c r="B37" s="10" t="s">
        <v>51</v>
      </c>
      <c r="C37" s="11" t="s">
        <v>52</v>
      </c>
    </row>
    <row r="39" customFormat="false" ht="15" hidden="false" customHeight="false" outlineLevel="0" collapsed="false">
      <c r="B39" s="3" t="s">
        <v>53</v>
      </c>
      <c r="C39" s="4"/>
    </row>
    <row r="40" customFormat="false" ht="15" hidden="false" customHeight="false" outlineLevel="0" collapsed="false">
      <c r="B40" s="10" t="s">
        <v>54</v>
      </c>
      <c r="C40" s="12" t="s">
        <v>55</v>
      </c>
    </row>
    <row r="41" customFormat="false" ht="15" hidden="false" customHeight="false" outlineLevel="0" collapsed="false">
      <c r="B41" s="10" t="s">
        <v>56</v>
      </c>
      <c r="C41" s="13" t="s">
        <v>57</v>
      </c>
    </row>
    <row r="42" customFormat="false" ht="15" hidden="false" customHeight="false" outlineLevel="0" collapsed="false">
      <c r="B42" s="10" t="s">
        <v>58</v>
      </c>
      <c r="C42" s="11" t="s">
        <v>59</v>
      </c>
    </row>
    <row r="43" customFormat="false" ht="23.85" hidden="false" customHeight="false" outlineLevel="0" collapsed="false">
      <c r="B43" s="10" t="s">
        <v>60</v>
      </c>
      <c r="C43" s="11" t="s">
        <v>61</v>
      </c>
    </row>
    <row r="44" customFormat="false" ht="23.85" hidden="false" customHeight="false" outlineLevel="0" collapsed="false">
      <c r="B44" s="10" t="s">
        <v>62</v>
      </c>
      <c r="C44" s="11" t="s">
        <v>63</v>
      </c>
    </row>
    <row r="45" customFormat="false" ht="23.85" hidden="false" customHeight="false" outlineLevel="0" collapsed="false">
      <c r="B45" s="10" t="s">
        <v>64</v>
      </c>
      <c r="C45" s="11" t="s">
        <v>65</v>
      </c>
    </row>
    <row r="46" customFormat="false" ht="23.85" hidden="false" customHeight="false" outlineLevel="0" collapsed="false">
      <c r="B46" s="10" t="s">
        <v>66</v>
      </c>
      <c r="C46" s="11" t="s">
        <v>67</v>
      </c>
    </row>
    <row r="47" customFormat="false" ht="23.85" hidden="false" customHeight="false" outlineLevel="0" collapsed="false">
      <c r="B47" s="10" t="s">
        <v>68</v>
      </c>
      <c r="C47" s="11" t="s">
        <v>69</v>
      </c>
    </row>
    <row r="48" customFormat="false" ht="35.05" hidden="false" customHeight="false" outlineLevel="0" collapsed="false">
      <c r="B48" s="10" t="s">
        <v>70</v>
      </c>
      <c r="C48" s="11" t="s">
        <v>71</v>
      </c>
    </row>
    <row r="49" customFormat="false" ht="23.85" hidden="false" customHeight="false" outlineLevel="0" collapsed="false">
      <c r="B49" s="10" t="s">
        <v>72</v>
      </c>
      <c r="C49" s="11" t="s">
        <v>73</v>
      </c>
    </row>
    <row r="50" customFormat="false" ht="23.85" hidden="false" customHeight="false" outlineLevel="0" collapsed="false">
      <c r="B50" s="10" t="s">
        <v>74</v>
      </c>
      <c r="C50" s="11" t="s">
        <v>75</v>
      </c>
    </row>
    <row r="52" customFormat="false" ht="15" hidden="false" customHeight="false" outlineLevel="0" collapsed="false">
      <c r="B52" s="3" t="s">
        <v>76</v>
      </c>
      <c r="C52" s="4"/>
    </row>
    <row r="53" customFormat="false" ht="35.05" hidden="false" customHeight="false" outlineLevel="0" collapsed="false">
      <c r="B53" s="10" t="s">
        <v>77</v>
      </c>
      <c r="C53" s="11" t="s">
        <v>78</v>
      </c>
    </row>
    <row r="54" customFormat="false" ht="23.85" hidden="false" customHeight="false" outlineLevel="0" collapsed="false">
      <c r="B54" s="10" t="s">
        <v>79</v>
      </c>
      <c r="C54" s="11" t="s">
        <v>80</v>
      </c>
    </row>
    <row r="55" customFormat="false" ht="15" hidden="false" customHeight="false" outlineLevel="0" collapsed="false">
      <c r="B55" s="10" t="s">
        <v>81</v>
      </c>
      <c r="C55" s="11" t="s">
        <v>82</v>
      </c>
    </row>
    <row r="56" customFormat="false" ht="46.25" hidden="false" customHeight="false" outlineLevel="0" collapsed="false">
      <c r="B56" s="10" t="s">
        <v>83</v>
      </c>
      <c r="C56" s="11" t="s">
        <v>84</v>
      </c>
    </row>
    <row r="57" customFormat="false" ht="15" hidden="false" customHeight="false" outlineLevel="0" collapsed="false">
      <c r="B57" s="10" t="s">
        <v>85</v>
      </c>
      <c r="C57" s="11" t="s">
        <v>86</v>
      </c>
    </row>
    <row r="58" customFormat="false" ht="46.25" hidden="false" customHeight="false" outlineLevel="0" collapsed="false">
      <c r="B58" s="10" t="s">
        <v>87</v>
      </c>
      <c r="C58" s="11" t="s">
        <v>88</v>
      </c>
    </row>
    <row r="59" customFormat="false" ht="23.85" hidden="false" customHeight="false" outlineLevel="0" collapsed="false">
      <c r="B59" s="10" t="s">
        <v>89</v>
      </c>
      <c r="C59" s="11" t="s">
        <v>90</v>
      </c>
    </row>
    <row r="60" customFormat="false" ht="35.05" hidden="false" customHeight="false" outlineLevel="0" collapsed="false">
      <c r="B60" s="10" t="s">
        <v>91</v>
      </c>
      <c r="C60" s="11" t="s">
        <v>92</v>
      </c>
    </row>
    <row r="61" customFormat="false" ht="46.25" hidden="false" customHeight="false" outlineLevel="0" collapsed="false">
      <c r="B61" s="10" t="s">
        <v>93</v>
      </c>
      <c r="C61" s="11" t="s">
        <v>94</v>
      </c>
    </row>
    <row r="62" customFormat="false" ht="35.05" hidden="false" customHeight="false" outlineLevel="0" collapsed="false">
      <c r="B62" s="10" t="s">
        <v>95</v>
      </c>
      <c r="C62" s="11" t="s">
        <v>96</v>
      </c>
    </row>
    <row r="63" customFormat="false" ht="23.85" hidden="false" customHeight="false" outlineLevel="0" collapsed="false">
      <c r="B63" s="10" t="s">
        <v>97</v>
      </c>
      <c r="C63" s="11" t="s">
        <v>98</v>
      </c>
    </row>
    <row r="65" customFormat="false" ht="15" hidden="false" customHeight="false" outlineLevel="0" collapsed="false">
      <c r="B65" s="3" t="s">
        <v>99</v>
      </c>
      <c r="C65" s="4"/>
    </row>
    <row r="66" customFormat="false" ht="46.25" hidden="false" customHeight="false" outlineLevel="0" collapsed="false">
      <c r="B66" s="10" t="s">
        <v>100</v>
      </c>
      <c r="C66" s="11" t="s">
        <v>101</v>
      </c>
    </row>
    <row r="67" customFormat="false" ht="35.05" hidden="false" customHeight="false" outlineLevel="0" collapsed="false">
      <c r="B67" s="10" t="s">
        <v>102</v>
      </c>
      <c r="C67" s="11" t="s">
        <v>103</v>
      </c>
    </row>
    <row r="68" customFormat="false" ht="23.85" hidden="false" customHeight="false" outlineLevel="0" collapsed="false">
      <c r="B68" s="10" t="s">
        <v>104</v>
      </c>
      <c r="C68" s="11" t="s">
        <v>105</v>
      </c>
    </row>
    <row r="70" customFormat="false" ht="15" hidden="false" customHeight="false" outlineLevel="0" collapsed="false">
      <c r="B70" s="3" t="s">
        <v>106</v>
      </c>
      <c r="C70" s="4"/>
    </row>
    <row r="71" customFormat="false" ht="46.25" hidden="false" customHeight="false" outlineLevel="0" collapsed="false">
      <c r="B71" s="10" t="s">
        <v>107</v>
      </c>
      <c r="C71" s="11" t="s">
        <v>108</v>
      </c>
    </row>
    <row r="72" customFormat="false" ht="57.45" hidden="false" customHeight="false" outlineLevel="0" collapsed="false">
      <c r="B72" s="10" t="s">
        <v>109</v>
      </c>
      <c r="C72" s="11" t="s">
        <v>110</v>
      </c>
    </row>
    <row r="73" customFormat="false" ht="23.85" hidden="false" customHeight="false" outlineLevel="0" collapsed="false">
      <c r="B73" s="10" t="s">
        <v>111</v>
      </c>
      <c r="C73" s="11" t="s">
        <v>112</v>
      </c>
    </row>
    <row r="74" customFormat="false" ht="57.45" hidden="false" customHeight="false" outlineLevel="0" collapsed="false">
      <c r="B74" s="10" t="s">
        <v>113</v>
      </c>
      <c r="C74" s="11" t="s">
        <v>114</v>
      </c>
    </row>
    <row r="76" customFormat="false" ht="15" hidden="false" customHeight="false" outlineLevel="0" collapsed="false">
      <c r="B76" s="2" t="str">
        <f aca="false">"Project Planner template "&amp;TemplateVersion&amp;"  -  Excel 2019 or Microsoft 365, desktop, web and iPhone. No macros."</f>
        <v>Project Planner template 1.1  -  Excel 2019 or Microsoft 365, desktop, web and iPhone. No macros.</v>
      </c>
    </row>
  </sheetData>
  <sheetProtection sheet="true" formatColumns="false" formatRows="false" sort="false" autoFilter="false"/>
  <conditionalFormatting sqref="C6">
    <cfRule type="expression" priority="2" aboveAverage="0" equalAverage="0" bottom="0" percent="0" rank="0" text="" dxfId="0">
      <formula>N(C6)=0</formula>
    </cfRule>
  </conditionalFormatting>
  <dataValidations count="6">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false" errorStyle="stop" operator="between" prompt="Mon-Fri, Sun-Thu or Mon-Sat. Custom = the seven day rows on Settings." promptTitle="Working week" showDropDown="false" showErrorMessage="false" showInputMessage="true" sqref="C7" type="list">
      <formula1>L_WorkingWeek</formula1>
      <formula2>0</formula2>
    </dataValidation>
    <dataValidation allowBlank="false" errorStyle="stop" operator="between" prompt="Work (hrs) = Duration x Hours/day x Units." promptTitle="Working hours per day" showDropDown="false" showErrorMessage="false" showInputMessage="true" sqref="C8" type="decimal">
      <formula1>1</formula1>
      <formula2>24</formula2>
    </dataValidation>
    <dataValidation allowBlank="false" errorStyle="stop" operator="between" prompt="Sets the defaults for the stages (Settings &gt; Stages), the sprint length and the RAG slip thresholds: Software / Agile, Construction, IT infrastructure. Pick it first; each default stays editable (type over it)." promptTitle="Project type" showDropDown="false" showErrorMessage="false" showInputMessage="true" sqref="C9" type="list">
      <formula1>L_ProjectType</formula1>
      <formula2>0</formula2>
    </dataValidation>
  </dataValidations>
  <hyperlinks>
    <hyperlink ref="C12" location="'Settings'!A1" display="Fill in the blue cells above: name, manager, start date, working week, hours per day and the project type (it sets the stages, sprint length and RAG thresholds). Everything else has a sensible default on Settings.  Go to Settings."/>
    <hyperlink ref="C13" location="'Resources'!A1" display="List the people (or roles) with their Allocation %. Leave: type 1 (or 0.5) under each day off in the LEAVE BY DAY grid under the people (or type the days in a month column).  Go to Resources."/>
    <hyperlink ref="C14" location="'Tasks'!A1" display="One row per task: Level (1 = phase, 2 = task ...), Task Name and Duration (3, 3d or 2w). Pick what must come first in Pred1 (a dropdown of the tasks above) and who does it in Res1; + opens links and people 2-4. Dates, the critical path, the Gantt and the reports follow.  Go to Tasks."/>
    <hyperlink ref="C15" location="'Tasks'!A1" display="Fix anything in the Issues column (red), then look at the Gantt timeline to the right of the table (the link at the top of Tasks) and the Roadmap.  Go to Tasks."/>
    <hyperlink ref="C16" location="'Tasks'!A1" display="When the plan is agreed, freeze it: on Tasks open the BASELINE section (+), copy the 4 'BL Source' columns and Paste Special &gt; Values onto the 4 Baseline columns.  Go to Tasks."/>
    <hyperlink ref="C19" location="'Status'!A1" display="Type the status date at the top of Status and follow its steps (progress on Tasks, the Log, the RAG, the commentary). Then the Check sheet, and the snapshot row on TakeSnapshot. A report in about ten minutes.  Go to Status."/>
  </hyperlinks>
  <printOptions headings="false" gridLines="false" gridLinesSet="true" horizontalCentered="false" verticalCentered="false"/>
  <pageMargins left="0.75" right="0.75" top="1" bottom="1"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&amp;LProject Planner template 1.1</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4"/>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6"/>
    <col collapsed="false" customWidth="true" hidden="false" outlineLevel="0" max="8" min="8" style="0" width="50"/>
  </cols>
  <sheetData>
    <row r="1" customFormat="false" ht="19.7" hidden="false" customHeight="false" outlineLevel="0" collapsed="false">
      <c r="B1" s="14" t="str">
        <f aca="false">ProjectName&amp;"  -  Status"</f>
        <v>Customer Portal Implementation  -  Status</v>
      </c>
    </row>
    <row r="2" customFormat="false" ht="15" hidden="false" customHeight="false" outlineLevel="0" collapsed="false">
      <c r="B2" s="2" t="str">
        <f aca="false">"Project manager: "&amp;ProjectManager&amp;"   Forecast finish "&amp;TEXT(ProjectFinish,"ddd dd-mmm-yyyy")&amp;" ("&amp;TEXT(FinishVarianceDays,"+0;-0;0")&amp;" working days vs plan)"</f>
        <v>Project manager: Priya Sharma   Forecast finish Thu 29-Oct-2026 (+4 working days vs plan)</v>
      </c>
    </row>
    <row r="3" customFormat="false" ht="15" hidden="false" customHeight="false" outlineLevel="0" collapsed="false">
      <c r="B3" s="15" t="str">
        <f aca="false">IF(Sandbox="Yes","SANDBOX ON (Settings &gt; Sandbox): every date and figure here is a what-if, not the plan.",IF(LiveGrids="No","Resource grids are OFF (Settings &gt; Live resource grids): the Resource Report and Tasks &gt; Over-allocated are not up to date.",""))</f>
        <v/>
      </c>
    </row>
    <row r="4" customFormat="false" ht="15" hidden="false" customHeight="false" outlineLevel="0" collapsed="false">
      <c r="B4" s="3" t="s">
        <v>115</v>
      </c>
      <c r="C4" s="3" t="s">
        <v>116</v>
      </c>
    </row>
    <row r="5" customFormat="false" ht="15" hidden="false" customHeight="false" outlineLevel="0" collapsed="false">
      <c r="B5" s="5" t="s">
        <v>117</v>
      </c>
      <c r="C5" s="7" t="n">
        <v>46320</v>
      </c>
      <c r="D5" s="2" t="s">
        <v>118</v>
      </c>
    </row>
    <row r="6" customFormat="false" ht="30" hidden="false" customHeight="true" outlineLevel="0" collapsed="false">
      <c r="B6" s="5" t="s">
        <v>119</v>
      </c>
      <c r="C6" s="9" t="s">
        <v>120</v>
      </c>
    </row>
    <row r="7" customFormat="false" ht="30" hidden="false" customHeight="true" outlineLevel="0" collapsed="false">
      <c r="B7" s="5" t="s">
        <v>121</v>
      </c>
      <c r="C7" s="16" t="s">
        <v>122</v>
      </c>
    </row>
    <row r="8" customFormat="false" ht="30" hidden="false" customHeight="true" outlineLevel="0" collapsed="false">
      <c r="B8" s="5" t="s">
        <v>123</v>
      </c>
      <c r="C8" s="16" t="s">
        <v>124</v>
      </c>
    </row>
    <row r="13" customFormat="false" ht="15" hidden="false" customHeight="false" outlineLevel="0" collapsed="false">
      <c r="B13" s="17" t="s">
        <v>125</v>
      </c>
      <c r="C13" s="17" t="s">
        <v>126</v>
      </c>
      <c r="D13" s="17" t="s">
        <v>127</v>
      </c>
      <c r="E13" s="17" t="s">
        <v>128</v>
      </c>
      <c r="F13" s="18" t="s">
        <v>129</v>
      </c>
      <c r="G13" s="17" t="s">
        <v>130</v>
      </c>
      <c r="H13" s="18" t="s">
        <v>131</v>
      </c>
    </row>
    <row r="14" customFormat="false" ht="15" hidden="false" customHeight="false" outlineLevel="0" collapsed="false">
      <c r="B14" s="19" t="s">
        <v>132</v>
      </c>
      <c r="C14" s="20" t="s">
        <v>133</v>
      </c>
      <c r="D14" s="20" t="str">
        <f aca="false">COUNTIF(StatusRAG[RAG],"Red")&amp;" red, "&amp;COUNTIF(StatusRAG[RAG],"Amber")&amp;" amber"</f>
        <v>0 red, 3 amber</v>
      </c>
      <c r="E14" s="21" t="str">
        <f aca="false">CHOOSE(MAX(IF(COUNTIF(StatusRAG[RAG],"Red")&gt;0,2,0),IF(COUNTIF(StatusRAG[RAG],"Amber")&gt;0,1,0))+1,"Green","Amber","Red")</f>
        <v>Amber</v>
      </c>
      <c r="F14" s="22"/>
      <c r="G14" s="21" t="str">
        <f aca="false">IF(OverallStatus[[#This Row],[PM RAG]]&lt;&gt;"",OverallStatus[[#This Row],[PM RAG]],OverallStatus[[#This Row],[Calculated]])</f>
        <v>Amber</v>
      </c>
      <c r="H14" s="23"/>
    </row>
    <row r="15" customFormat="false" ht="15" hidden="false" customHeight="false" outlineLevel="0" collapsed="false">
      <c r="B15" s="5"/>
    </row>
    <row r="16" customFormat="false" ht="15" hidden="false" customHeight="false" outlineLevel="0" collapsed="false">
      <c r="B16" s="24" t="s">
        <v>125</v>
      </c>
      <c r="C16" s="17" t="s">
        <v>126</v>
      </c>
      <c r="D16" s="17" t="s">
        <v>127</v>
      </c>
      <c r="E16" s="17" t="s">
        <v>128</v>
      </c>
      <c r="F16" s="18" t="s">
        <v>129</v>
      </c>
      <c r="G16" s="17" t="s">
        <v>130</v>
      </c>
      <c r="H16" s="18" t="s">
        <v>131</v>
      </c>
    </row>
    <row r="17" customFormat="false" ht="15" hidden="false" customHeight="false" outlineLevel="0" collapsed="false">
      <c r="B17" s="19" t="s">
        <v>134</v>
      </c>
      <c r="C17" s="20" t="s">
        <v>135</v>
      </c>
      <c r="D17" s="25" t="n">
        <f aca="false">FinishVarianceDays</f>
        <v>4</v>
      </c>
      <c r="E17" s="21" t="str">
        <f aca="false">CHOOSE(IF(N(StatusRAG[[#This Row],[Value]])&gt;=RAGRedSlipDays,2,IF(N(StatusRAG[[#This Row],[Value]])&gt;=RAGAmberSlipDays,1,0))+1,"Green","Amber","Red")</f>
        <v>Amber</v>
      </c>
      <c r="F17" s="22"/>
      <c r="G17" s="21" t="str">
        <f aca="false">IF(StatusRAG[[#This Row],[PM RAG]]&lt;&gt;"",StatusRAG[[#This Row],[PM RAG]],StatusRAG[[#This Row],[Calculated]])</f>
        <v>Amber</v>
      </c>
      <c r="H17" s="23"/>
    </row>
    <row r="18" customFormat="false" ht="15" hidden="false" customHeight="false" outlineLevel="0" collapsed="false">
      <c r="B18" s="19" t="s">
        <v>136</v>
      </c>
      <c r="C18" s="20" t="s">
        <v>137</v>
      </c>
      <c r="D18" s="26" t="n">
        <f aca="false">sch_SPI</f>
        <v>0.905099150141643</v>
      </c>
      <c r="E18" s="21" t="str">
        <f aca="false">CHOOSE(IF(ISNUMBER(StatusRAG[[#This Row],[Value]]),IF(StatusRAG[[#This Row],[Value]]&lt;RAGRedIndex,2,IF(StatusRAG[[#This Row],[Value]]&lt;RAGAmberIndex,1,0)),0)+1,"Green","Amber","Red")</f>
        <v>Amber</v>
      </c>
      <c r="F18" s="22"/>
      <c r="G18" s="21" t="str">
        <f aca="false">IF(StatusRAG[[#This Row],[PM RAG]]&lt;&gt;"",StatusRAG[[#This Row],[PM RAG]],StatusRAG[[#This Row],[Calculated]])</f>
        <v>Amber</v>
      </c>
      <c r="H18" s="23"/>
    </row>
    <row r="19" customFormat="false" ht="15" hidden="false" customHeight="false" outlineLevel="0" collapsed="false">
      <c r="B19" s="19" t="s">
        <v>138</v>
      </c>
      <c r="C19" s="20" t="s">
        <v>139</v>
      </c>
      <c r="D19" s="27" t="n">
        <f aca="false">COUNTIF(tsk_DeadlineCheck,"Late*")</f>
        <v>0</v>
      </c>
      <c r="E19" s="21" t="str">
        <f aca="false">CHOOSE(IF(N(StatusRAG[[#This Row],[Value]])&gt;0,2,0)+1,"Green","Amber","Red")</f>
        <v>Green</v>
      </c>
      <c r="F19" s="22"/>
      <c r="G19" s="21" t="str">
        <f aca="false">IF(StatusRAG[[#This Row],[PM RAG]]&lt;&gt;"",StatusRAG[[#This Row],[PM RAG]],StatusRAG[[#This Row],[Calculated]])</f>
        <v>Green</v>
      </c>
      <c r="H19" s="23"/>
    </row>
    <row r="20" customFormat="false" ht="15" hidden="false" customHeight="false" outlineLevel="0" collapsed="false">
      <c r="B20" s="19" t="s">
        <v>41</v>
      </c>
      <c r="C20" s="20" t="s">
        <v>140</v>
      </c>
      <c r="D20" s="27" t="n">
        <f aca="false">COUNTIFS(tsk_Critical,"Yes",tsk_IsLeaf,1,tsk_Variance,"&gt;0")</f>
        <v>3</v>
      </c>
      <c r="E20" s="21" t="str">
        <f aca="false">CHOOSE(IF(N(StatusRAG[[#This Row],[Value]])&gt;0,1,0)+1,"Green","Amber","Red")</f>
        <v>Amber</v>
      </c>
      <c r="F20" s="22"/>
      <c r="G20" s="21" t="str">
        <f aca="false">IF(StatusRAG[[#This Row],[PM RAG]]&lt;&gt;"",StatusRAG[[#This Row],[PM RAG]],StatusRAG[[#This Row],[Calculated]])</f>
        <v>Amber</v>
      </c>
      <c r="H20" s="23"/>
    </row>
    <row r="21" customFormat="false" ht="15" hidden="false" customHeight="false" outlineLevel="0" collapsed="false">
      <c r="B21" s="19" t="s">
        <v>141</v>
      </c>
      <c r="C21" s="20" t="s">
        <v>142</v>
      </c>
      <c r="D21" s="27" t="n">
        <f aca="false">COUNTIF(tsk_LinkCheck,"?*")+COUNTIF(tsk_WBS,"~?")</f>
        <v>0</v>
      </c>
      <c r="E21" s="21" t="str">
        <f aca="false">CHOOSE(IF(N(StatusRAG[[#This Row],[Value]])&gt;0,1,0)+1,"Green","Amber","Red")</f>
        <v>Green</v>
      </c>
      <c r="F21" s="22"/>
      <c r="G21" s="21" t="str">
        <f aca="false">IF(StatusRAG[[#This Row],[PM RAG]]&lt;&gt;"",StatusRAG[[#This Row],[PM RAG]],StatusRAG[[#This Row],[Calculated]])</f>
        <v>Green</v>
      </c>
      <c r="H21" s="23"/>
    </row>
    <row r="23" customFormat="false" ht="15" hidden="false" customHeight="false" outlineLevel="0" collapsed="false">
      <c r="B23" s="28" t="s">
        <v>143</v>
      </c>
    </row>
    <row r="24" customFormat="false" ht="48" hidden="false" customHeight="true" outlineLevel="0" collapsed="false">
      <c r="B24" s="29" t="str">
        <f aca="false">"Overall "&amp;UPPER(INDEX(ProjectRAG,1))&amp;". Forecast finish "&amp;TEXT(ProjectFinish,"dd-mmm-yyyy")&amp;IF(FinishVarianceDays&gt;0,", "&amp;FinishVarianceDays&amp;" working days later than planned",IF(FinishVarianceDays&lt;0,", "&amp;-FinishVarianceDays&amp;" working days ahead of plan",", on plan"))&amp;". "&amp;"Progress "&amp;TEXT(sch_Progress,"0%")&amp;" against "&amp;TEXT(sch_Planned,"0%")&amp;" planned. "&amp;IF(COUNT(tsk_LateKey)=0,"No tasks late. ",COUNT(tsk_LateKey)&amp;IF(COUNT(tsk_LateKey)=1," task"," tasks")&amp;" late. ")&amp;IFERROR("Next milestone: "&amp;INDEX(tsk_Name,MATCH(SMALL(tsk_MilestoneKey,1),tsk_MilestoneKey,0))&amp;" on "&amp;TEXT(INDEX(tsk_FcFinish,MATCH(SMALL(tsk_MilestoneKey,1),tsk_MilestoneKey,0)),"dd-mmm")&amp;". ","")&amp;IF(Sandbox="Yes","(SANDBOX: what-if dates.)","")</f>
        <v>Overall AMBER. Forecast finish 29-Oct-2026, 4 working days later than planned. Progress 91% against 100% planned. 3 tasks late. Next milestone: Go-live on 29-Oct. </v>
      </c>
      <c r="C24" s="29"/>
      <c r="D24" s="29"/>
      <c r="E24" s="29"/>
      <c r="F24" s="29"/>
      <c r="G24" s="29"/>
      <c r="H24" s="29"/>
    </row>
    <row r="26" customFormat="false" ht="15" hidden="false" customHeight="false" outlineLevel="0" collapsed="false">
      <c r="B26" s="28" t="s">
        <v>144</v>
      </c>
    </row>
    <row r="27" customFormat="false" ht="15" hidden="false" customHeight="false" outlineLevel="0" collapsed="false">
      <c r="B27" s="17" t="s">
        <v>126</v>
      </c>
      <c r="C27" s="17" t="s">
        <v>145</v>
      </c>
      <c r="D27" s="17" t="s">
        <v>127</v>
      </c>
      <c r="E27" s="17" t="s">
        <v>146</v>
      </c>
      <c r="F27" s="17" t="s">
        <v>147</v>
      </c>
    </row>
    <row r="28" customFormat="false" ht="15" hidden="false" customHeight="false" outlineLevel="0" collapsed="false">
      <c r="B28" s="19" t="s">
        <v>148</v>
      </c>
      <c r="C28" s="20" t="s">
        <v>149</v>
      </c>
      <c r="D28" s="30" t="n">
        <f aca="false">MIN(tsk_PlanStart)</f>
        <v>46272</v>
      </c>
      <c r="E28" s="31" t="s">
        <v>150</v>
      </c>
      <c r="F28" s="19" t="n">
        <f aca="false">COUNTIFS(tsk_Status,StatusSummary[[#This Row],[Status]],tsk_IsLeaf,1)</f>
        <v>6</v>
      </c>
    </row>
    <row r="29" customFormat="false" ht="15" hidden="false" customHeight="false" outlineLevel="0" collapsed="false">
      <c r="B29" s="19" t="s">
        <v>151</v>
      </c>
      <c r="C29" s="20" t="s">
        <v>152</v>
      </c>
      <c r="D29" s="30" t="n">
        <f aca="false">MAX(tsk_PlanFinish)</f>
        <v>46318</v>
      </c>
      <c r="E29" s="32" t="s">
        <v>153</v>
      </c>
      <c r="F29" s="19" t="n">
        <f aca="false">COUNTIFS(tsk_Status,StatusSummary[[#This Row],[Status]],tsk_IsLeaf,1)</f>
        <v>0</v>
      </c>
    </row>
    <row r="30" customFormat="false" ht="15" hidden="false" customHeight="false" outlineLevel="0" collapsed="false">
      <c r="B30" s="19" t="s">
        <v>154</v>
      </c>
      <c r="C30" s="20" t="s">
        <v>149</v>
      </c>
      <c r="D30" s="30" t="n">
        <f aca="false">MAX(tsk_FcFinish)</f>
        <v>46324</v>
      </c>
      <c r="E30" s="33" t="s">
        <v>155</v>
      </c>
      <c r="F30" s="19" t="n">
        <f aca="false">COUNTIFS(tsk_Status,StatusSummary[[#This Row],[Status]],tsk_IsLeaf,1)</f>
        <v>1</v>
      </c>
    </row>
    <row r="31" customFormat="false" ht="15" hidden="false" customHeight="false" outlineLevel="0" collapsed="false">
      <c r="B31" s="19" t="s">
        <v>156</v>
      </c>
      <c r="C31" s="20" t="s">
        <v>149</v>
      </c>
      <c r="D31" s="34" t="n">
        <f aca="false">IFERROR(SUM(tsk_WtDone)/SUM(tsk_WtDur),0)</f>
        <v>0.905099150141643</v>
      </c>
      <c r="E31" s="35" t="s">
        <v>157</v>
      </c>
      <c r="F31" s="19" t="n">
        <f aca="false">COUNTIFS(tsk_Status,StatusSummary[[#This Row],[Status]],tsk_IsLeaf,1)</f>
        <v>2</v>
      </c>
    </row>
    <row r="32" customFormat="false" ht="15" hidden="false" customHeight="false" outlineLevel="0" collapsed="false">
      <c r="B32" s="19" t="s">
        <v>158</v>
      </c>
      <c r="C32" s="20" t="s">
        <v>149</v>
      </c>
      <c r="D32" s="34" t="n">
        <f aca="false">IFERROR(SUM(tsk_WtPlanned)/SUM(tsk_WtDur),0)</f>
        <v>1</v>
      </c>
      <c r="E32" s="36" t="s">
        <v>159</v>
      </c>
      <c r="F32" s="19" t="n">
        <f aca="false">COUNTIFS(tsk_Status,StatusSummary[[#This Row],[Status]],tsk_IsLeaf,1)</f>
        <v>0</v>
      </c>
    </row>
    <row r="33" customFormat="false" ht="15" hidden="false" customHeight="false" outlineLevel="0" collapsed="false">
      <c r="B33" s="19" t="s">
        <v>160</v>
      </c>
      <c r="C33" s="20" t="s">
        <v>161</v>
      </c>
      <c r="D33" s="37" t="n">
        <f aca="false">IF(sch_Planned&gt;0,sch_Progress/sch_Planned,"")</f>
        <v>0.905099150141643</v>
      </c>
    </row>
    <row r="34" customFormat="false" ht="15" hidden="false" customHeight="false" outlineLevel="0" collapsed="false">
      <c r="B34" s="19" t="s">
        <v>162</v>
      </c>
      <c r="C34" s="20" t="s">
        <v>149</v>
      </c>
      <c r="D34" s="38" t="n">
        <f aca="false">SUM(tsk_IsLeaf)</f>
        <v>9</v>
      </c>
    </row>
    <row r="35" customFormat="false" ht="15" hidden="false" customHeight="false" outlineLevel="0" collapsed="false">
      <c r="B35" s="19" t="s">
        <v>163</v>
      </c>
      <c r="C35" s="20" t="s">
        <v>149</v>
      </c>
      <c r="D35" s="38" t="n">
        <f aca="false">SUMPRODUCT(tsk_IsLeaf*(tsk_Duration=0)*(tsk_Name&lt;&gt;""))</f>
        <v>3</v>
      </c>
    </row>
    <row r="36" customFormat="false" ht="15" hidden="false" customHeight="false" outlineLevel="0" collapsed="false">
      <c r="B36" s="19" t="s">
        <v>164</v>
      </c>
      <c r="C36" s="20" t="s">
        <v>149</v>
      </c>
      <c r="D36" s="39" t="n">
        <f aca="false">SUMPRODUCT(tsk_Work,tsk_IsLeaf)</f>
        <v>340</v>
      </c>
    </row>
    <row r="37" customFormat="false" ht="15" hidden="false" customHeight="false" outlineLevel="0" collapsed="false">
      <c r="B37" s="19" t="s">
        <v>165</v>
      </c>
      <c r="C37" s="20" t="s">
        <v>166</v>
      </c>
      <c r="D37" s="40" t="str">
        <f aca="false">IF(COUNT(tsk_BaseStart)=0,"Not set (planned = calculated)","Set on "&amp;COUNT(tsk_BaseStart)&amp;" tasks")</f>
        <v>Set on 12 tasks</v>
      </c>
    </row>
    <row r="38" customFormat="false" ht="15" hidden="false" customHeight="false" outlineLevel="0" collapsed="false">
      <c r="B38" s="19" t="s">
        <v>167</v>
      </c>
      <c r="C38" s="20" t="s">
        <v>149</v>
      </c>
      <c r="D38" s="38" t="n">
        <f aca="false">COUNTIFS(tsk_Critical,"Yes",tsk_IsLeaf,1)</f>
        <v>3</v>
      </c>
    </row>
    <row r="39" customFormat="false" ht="15" hidden="false" customHeight="false" outlineLevel="0" collapsed="false">
      <c r="B39" s="19" t="s">
        <v>168</v>
      </c>
      <c r="C39" s="20" t="s">
        <v>169</v>
      </c>
      <c r="D39" s="38" t="n">
        <f aca="false">COUNTIF(tsk_Issues,"?*")</f>
        <v>1</v>
      </c>
    </row>
    <row r="40" customFormat="false" ht="15" hidden="false" customHeight="false" outlineLevel="0" collapsed="false">
      <c r="B40" s="19" t="s">
        <v>170</v>
      </c>
      <c r="C40" s="20" t="s">
        <v>171</v>
      </c>
      <c r="D40" s="30" t="n">
        <f aca="false">PertP50</f>
        <v>46322</v>
      </c>
    </row>
    <row r="41" customFormat="false" ht="15" hidden="false" customHeight="false" outlineLevel="0" collapsed="false">
      <c r="B41" s="19" t="s">
        <v>172</v>
      </c>
      <c r="C41" s="20" t="s">
        <v>171</v>
      </c>
      <c r="D41" s="30" t="n">
        <f aca="false">PertP80</f>
        <v>46323</v>
      </c>
    </row>
    <row r="44" customFormat="false" ht="15" hidden="false" customHeight="false" outlineLevel="0" collapsed="false">
      <c r="B44" s="17" t="s">
        <v>173</v>
      </c>
      <c r="C44" s="17" t="s">
        <v>174</v>
      </c>
    </row>
    <row r="45" customFormat="false" ht="15" hidden="false" customHeight="false" outlineLevel="0" collapsed="false">
      <c r="B45" s="20" t="str">
        <f aca="false">IFERROR(INDEX(tsk_Name,MATCH(SMALL(tsk_MilestoneKey,(ROW()-ROW(NextMilestones[[#Headers],[Next milestones (forecast)]]))),tsk_MilestoneKey,0)),"")</f>
        <v>Go-live</v>
      </c>
      <c r="C45" s="41" t="n">
        <f aca="false">IFERROR(INDEX(tsk_FcFinish,MATCH(SMALL(tsk_MilestoneKey,(ROW()-ROW(NextMilestones[[#Headers],[Next milestones (forecast)]]))),tsk_MilestoneKey,0)),"")</f>
        <v>46324</v>
      </c>
    </row>
    <row r="46" customFormat="false" ht="15" hidden="false" customHeight="false" outlineLevel="0" collapsed="false">
      <c r="B46" s="20" t="str">
        <f aca="false">IFERROR(INDEX(tsk_Name,MATCH(SMALL(tsk_MilestoneKey,(ROW()-ROW(NextMilestones[[#Headers],[Next milestones (forecast)]]))),tsk_MilestoneKey,0)),"")</f>
        <v/>
      </c>
      <c r="C46" s="41" t="str">
        <f aca="false">IFERROR(INDEX(tsk_FcFinish,MATCH(SMALL(tsk_MilestoneKey,(ROW()-ROW(NextMilestones[[#Headers],[Next milestones (forecast)]]))),tsk_MilestoneKey,0)),"")</f>
        <v/>
      </c>
    </row>
    <row r="47" customFormat="false" ht="15" hidden="false" customHeight="false" outlineLevel="0" collapsed="false">
      <c r="B47" s="20" t="str">
        <f aca="false">IFERROR(INDEX(tsk_Name,MATCH(SMALL(tsk_MilestoneKey,(ROW()-ROW(NextMilestones[[#Headers],[Next milestones (forecast)]]))),tsk_MilestoneKey,0)),"")</f>
        <v/>
      </c>
      <c r="C47" s="41" t="str">
        <f aca="false">IFERROR(INDEX(tsk_FcFinish,MATCH(SMALL(tsk_MilestoneKey,(ROW()-ROW(NextMilestones[[#Headers],[Next milestones (forecast)]]))),tsk_MilestoneKey,0)),"")</f>
        <v/>
      </c>
    </row>
    <row r="48" customFormat="false" ht="15" hidden="false" customHeight="false" outlineLevel="0" collapsed="false">
      <c r="B48" s="20" t="str">
        <f aca="false">IFERROR(INDEX(tsk_Name,MATCH(SMALL(tsk_MilestoneKey,(ROW()-ROW(NextMilestones[[#Headers],[Next milestones (forecast)]]))),tsk_MilestoneKey,0)),"")</f>
        <v/>
      </c>
      <c r="C48" s="41" t="str">
        <f aca="false">IFERROR(INDEX(tsk_FcFinish,MATCH(SMALL(tsk_MilestoneKey,(ROW()-ROW(NextMilestones[[#Headers],[Next milestones (forecast)]]))),tsk_MilestoneKey,0)),"")</f>
        <v/>
      </c>
    </row>
    <row r="49" customFormat="false" ht="15" hidden="false" customHeight="false" outlineLevel="0" collapsed="false">
      <c r="B49" s="20" t="str">
        <f aca="false">IFERROR(INDEX(tsk_Name,MATCH(SMALL(tsk_MilestoneKey,(ROW()-ROW(NextMilestones[[#Headers],[Next milestones (forecast)]]))),tsk_MilestoneKey,0)),"")</f>
        <v/>
      </c>
      <c r="C49" s="41" t="str">
        <f aca="false">IFERROR(INDEX(tsk_FcFinish,MATCH(SMALL(tsk_MilestoneKey,(ROW()-ROW(NextMilestones[[#Headers],[Next milestones (forecast)]]))),tsk_MilestoneKey,0)),"")</f>
        <v/>
      </c>
    </row>
    <row r="51" customFormat="false" ht="15" hidden="false" customHeight="false" outlineLevel="0" collapsed="false">
      <c r="B51" s="28" t="str">
        <f aca="false">"LATE TASKS (most days late first)"&amp;": "&amp;COUNT(tsk_LateKey)&amp;IF(COUNT(tsk_LateKey)&gt;ROWS(LateTasks[_Task])," (showing the first "&amp;ROWS(LateTasks[_Task])&amp;")","")</f>
        <v>LATE TASKS (most days late first): 3</v>
      </c>
    </row>
    <row r="52" customFormat="false" ht="23.85" hidden="false" customHeight="false" outlineLevel="0" collapsed="false">
      <c r="A52" s="42" t="s">
        <v>175</v>
      </c>
      <c r="B52" s="17" t="s">
        <v>176</v>
      </c>
      <c r="C52" s="17" t="s">
        <v>177</v>
      </c>
      <c r="D52" s="17" t="s">
        <v>178</v>
      </c>
      <c r="E52" s="17" t="s">
        <v>179</v>
      </c>
      <c r="F52" s="17" t="s">
        <v>146</v>
      </c>
      <c r="G52" s="17" t="s">
        <v>180</v>
      </c>
    </row>
    <row r="53" customFormat="false" ht="15" hidden="false" customHeight="false" outlineLevel="0" collapsed="false">
      <c r="A53" s="43" t="n">
        <f aca="false">IFERROR(MATCH(LARGE(tsk_LateKey,ROW()-ROW(LateTasks[[#Headers],[_Task]])),tsk_LateKey,0),"")</f>
        <v>10</v>
      </c>
      <c r="B53" s="20" t="str">
        <f aca="false">IF(LateTasks[[#This Row],[_Task]]="","",INDEX(tsk_Name,LateTasks[[#This Row],[_Task]])&amp;"")</f>
        <v>System integration testing</v>
      </c>
      <c r="C53" s="20" t="str">
        <f aca="false">IF(LateTasks[[#This Row],[_Task]]="","",INDEX(tsk_ResourceNames,LateTasks[[#This Row],[_Task]])&amp;"")</f>
        <v>Taylor Morgan, Sam Rivera[50%]</v>
      </c>
      <c r="D53" s="44" t="n">
        <f aca="false">IF(LateTasks[[#This Row],[_Task]]="","",IF(N(INDEX(tsk_FcFinish,LateTasks[[#This Row],[_Task]]))=0,"",INDEX(tsk_FcFinish,LateTasks[[#This Row],[_Task]])))</f>
        <v>46323</v>
      </c>
      <c r="E53" s="45" t="n">
        <f aca="false">IF(LateTasks[[#This Row],[_Task]]="","",INDEX(tsk_Variance,LateTasks[[#This Row],[_Task]]))</f>
        <v>4</v>
      </c>
      <c r="F53" s="20" t="str">
        <f aca="false">IF(LateTasks[[#This Row],[_Task]]="","",INDEX(tsk_Status,LateTasks[[#This Row],[_Task]])&amp;"")</f>
        <v>Behind</v>
      </c>
      <c r="G53" s="20" t="str">
        <f aca="false">IF(LateTasks[[#This Row],[_Task]]="","",INDEX(tsk_Critical,LateTasks[[#This Row],[_Task]])&amp;"")</f>
        <v>Yes</v>
      </c>
    </row>
    <row r="54" customFormat="false" ht="15" hidden="false" customHeight="false" outlineLevel="0" collapsed="false">
      <c r="A54" s="43" t="n">
        <f aca="false">IFERROR(MATCH(LARGE(tsk_LateKey,ROW()-ROW(LateTasks[[#Headers],[_Task]])),tsk_LateKey,0),"")</f>
        <v>11</v>
      </c>
      <c r="B54" s="20" t="str">
        <f aca="false">IF(LateTasks[[#This Row],[_Task]]="","",INDEX(tsk_Name,LateTasks[[#This Row],[_Task]])&amp;"")</f>
        <v>Go-live readiness review</v>
      </c>
      <c r="C54" s="20" t="str">
        <f aca="false">IF(LateTasks[[#This Row],[_Task]]="","",INDEX(tsk_ResourceNames,LateTasks[[#This Row],[_Task]])&amp;"")</f>
        <v>Priya Sharma</v>
      </c>
      <c r="D54" s="44" t="n">
        <f aca="false">IF(LateTasks[[#This Row],[_Task]]="","",IF(N(INDEX(tsk_FcFinish,LateTasks[[#This Row],[_Task]]))=0,"",INDEX(tsk_FcFinish,LateTasks[[#This Row],[_Task]])))</f>
        <v>46324</v>
      </c>
      <c r="E54" s="45" t="n">
        <f aca="false">IF(LateTasks[[#This Row],[_Task]]="","",INDEX(tsk_Variance,LateTasks[[#This Row],[_Task]]))</f>
        <v>4</v>
      </c>
      <c r="F54" s="20" t="str">
        <f aca="false">IF(LateTasks[[#This Row],[_Task]]="","",INDEX(tsk_Status,LateTasks[[#This Row],[_Task]])&amp;"")</f>
        <v>Late Start</v>
      </c>
      <c r="G54" s="20" t="str">
        <f aca="false">IF(LateTasks[[#This Row],[_Task]]="","",INDEX(tsk_Critical,LateTasks[[#This Row],[_Task]])&amp;"")</f>
        <v>Yes</v>
      </c>
    </row>
    <row r="55" customFormat="false" ht="15" hidden="false" customHeight="false" outlineLevel="0" collapsed="false">
      <c r="A55" s="43" t="n">
        <f aca="false">IFERROR(MATCH(LARGE(tsk_LateKey,ROW()-ROW(LateTasks[[#Headers],[_Task]])),tsk_LateKey,0),"")</f>
        <v>12</v>
      </c>
      <c r="B55" s="20" t="str">
        <f aca="false">IF(LateTasks[[#This Row],[_Task]]="","",INDEX(tsk_Name,LateTasks[[#This Row],[_Task]])&amp;"")</f>
        <v>Go-live</v>
      </c>
      <c r="C55" s="20" t="str">
        <f aca="false">IF(LateTasks[[#This Row],[_Task]]="","",INDEX(tsk_ResourceNames,LateTasks[[#This Row],[_Task]])&amp;"")</f>
        <v/>
      </c>
      <c r="D55" s="44" t="n">
        <f aca="false">IF(LateTasks[[#This Row],[_Task]]="","",IF(N(INDEX(tsk_FcFinish,LateTasks[[#This Row],[_Task]]))=0,"",INDEX(tsk_FcFinish,LateTasks[[#This Row],[_Task]])))</f>
        <v>46324</v>
      </c>
      <c r="E55" s="45" t="n">
        <f aca="false">IF(LateTasks[[#This Row],[_Task]]="","",INDEX(tsk_Variance,LateTasks[[#This Row],[_Task]]))</f>
        <v>4</v>
      </c>
      <c r="F55" s="20" t="str">
        <f aca="false">IF(LateTasks[[#This Row],[_Task]]="","",INDEX(tsk_Status,LateTasks[[#This Row],[_Task]])&amp;"")</f>
        <v>Late Start</v>
      </c>
      <c r="G55" s="20" t="str">
        <f aca="false">IF(LateTasks[[#This Row],[_Task]]="","",INDEX(tsk_Critical,LateTasks[[#This Row],[_Task]])&amp;"")</f>
        <v>Yes</v>
      </c>
    </row>
    <row r="56" customFormat="false" ht="15" hidden="false" customHeight="false" outlineLevel="0" collapsed="false">
      <c r="A56" s="43" t="str">
        <f aca="false">IFERROR(MATCH(LARGE(tsk_LateKey,ROW()-ROW(LateTasks[[#Headers],[_Task]])),tsk_LateKey,0),"")</f>
        <v/>
      </c>
      <c r="B56" s="20" t="str">
        <f aca="false">IF(LateTasks[[#This Row],[_Task]]="","",INDEX(tsk_Name,LateTasks[[#This Row],[_Task]])&amp;"")</f>
        <v/>
      </c>
      <c r="C56" s="20" t="str">
        <f aca="false">IF(LateTasks[[#This Row],[_Task]]="","",INDEX(tsk_ResourceNames,LateTasks[[#This Row],[_Task]])&amp;"")</f>
        <v/>
      </c>
      <c r="D56" s="44" t="str">
        <f aca="false">IF(LateTasks[[#This Row],[_Task]]="","",IF(N(INDEX(tsk_FcFinish,LateTasks[[#This Row],[_Task]]))=0,"",INDEX(tsk_FcFinish,LateTasks[[#This Row],[_Task]])))</f>
        <v/>
      </c>
      <c r="E56" s="45" t="str">
        <f aca="false">IF(LateTasks[[#This Row],[_Task]]="","",INDEX(tsk_Variance,LateTasks[[#This Row],[_Task]]))</f>
        <v/>
      </c>
      <c r="F56" s="20" t="str">
        <f aca="false">IF(LateTasks[[#This Row],[_Task]]="","",INDEX(tsk_Status,LateTasks[[#This Row],[_Task]])&amp;"")</f>
        <v/>
      </c>
      <c r="G56" s="20" t="str">
        <f aca="false">IF(LateTasks[[#This Row],[_Task]]="","",INDEX(tsk_Critical,LateTasks[[#This Row],[_Task]])&amp;"")</f>
        <v/>
      </c>
    </row>
    <row r="57" customFormat="false" ht="15" hidden="false" customHeight="false" outlineLevel="0" collapsed="false">
      <c r="A57" s="43" t="str">
        <f aca="false">IFERROR(MATCH(LARGE(tsk_LateKey,ROW()-ROW(LateTasks[[#Headers],[_Task]])),tsk_LateKey,0),"")</f>
        <v/>
      </c>
      <c r="B57" s="20" t="str">
        <f aca="false">IF(LateTasks[[#This Row],[_Task]]="","",INDEX(tsk_Name,LateTasks[[#This Row],[_Task]])&amp;"")</f>
        <v/>
      </c>
      <c r="C57" s="20" t="str">
        <f aca="false">IF(LateTasks[[#This Row],[_Task]]="","",INDEX(tsk_ResourceNames,LateTasks[[#This Row],[_Task]])&amp;"")</f>
        <v/>
      </c>
      <c r="D57" s="44" t="str">
        <f aca="false">IF(LateTasks[[#This Row],[_Task]]="","",IF(N(INDEX(tsk_FcFinish,LateTasks[[#This Row],[_Task]]))=0,"",INDEX(tsk_FcFinish,LateTasks[[#This Row],[_Task]])))</f>
        <v/>
      </c>
      <c r="E57" s="45" t="str">
        <f aca="false">IF(LateTasks[[#This Row],[_Task]]="","",INDEX(tsk_Variance,LateTasks[[#This Row],[_Task]]))</f>
        <v/>
      </c>
      <c r="F57" s="20" t="str">
        <f aca="false">IF(LateTasks[[#This Row],[_Task]]="","",INDEX(tsk_Status,LateTasks[[#This Row],[_Task]])&amp;"")</f>
        <v/>
      </c>
      <c r="G57" s="20" t="str">
        <f aca="false">IF(LateTasks[[#This Row],[_Task]]="","",INDEX(tsk_Critical,LateTasks[[#This Row],[_Task]])&amp;"")</f>
        <v/>
      </c>
    </row>
    <row r="59" customFormat="false" ht="15" hidden="false" customHeight="false" outlineLevel="0" collapsed="false">
      <c r="B59" s="28" t="str">
        <f aca="false">"DUE BY "&amp;UPPER(TEXT(LookaheadEnd,"ddd dd-mmm"))&amp;": "&amp;COUNT(tsk_DueSoonKey)&amp;IF(COUNT(tsk_DueSoonKey)&gt;ROWS(DueSoon[_Task])," (showing the first "&amp;ROWS(DueSoon[_Task])&amp;")","")</f>
        <v>DUE BY FRI 06-NOV: 3</v>
      </c>
    </row>
    <row r="60" customFormat="false" ht="23.85" hidden="false" customHeight="false" outlineLevel="0" collapsed="false">
      <c r="A60" s="42" t="s">
        <v>175</v>
      </c>
      <c r="B60" s="17" t="s">
        <v>176</v>
      </c>
      <c r="C60" s="17" t="s">
        <v>177</v>
      </c>
      <c r="D60" s="17" t="s">
        <v>178</v>
      </c>
      <c r="E60" s="17" t="s">
        <v>181</v>
      </c>
      <c r="F60" s="17" t="s">
        <v>182</v>
      </c>
      <c r="G60" s="17" t="s">
        <v>180</v>
      </c>
    </row>
    <row r="61" customFormat="false" ht="15" hidden="false" customHeight="false" outlineLevel="0" collapsed="false">
      <c r="A61" s="43" t="n">
        <f aca="false">IFERROR(MATCH(SMALL(tsk_DueSoonKey,ROW()-ROW(DueSoon[[#Headers],[_Task]])),tsk_DueSoonKey,0),"")</f>
        <v>10</v>
      </c>
      <c r="B61" s="20" t="str">
        <f aca="false">IF(DueSoon[[#This Row],[_Task]]="","",INDEX(tsk_Name,DueSoon[[#This Row],[_Task]])&amp;"")</f>
        <v>System integration testing</v>
      </c>
      <c r="C61" s="20" t="str">
        <f aca="false">IF(DueSoon[[#This Row],[_Task]]="","",INDEX(tsk_ResourceNames,DueSoon[[#This Row],[_Task]])&amp;"")</f>
        <v>Taylor Morgan, Sam Rivera[50%]</v>
      </c>
      <c r="D61" s="44" t="n">
        <f aca="false">IF(DueSoon[[#This Row],[_Task]]="","",IF(N(INDEX(tsk_FcFinish,DueSoon[[#This Row],[_Task]]))=0,"",INDEX(tsk_FcFinish,DueSoon[[#This Row],[_Task]])))</f>
        <v>46323</v>
      </c>
      <c r="E61" s="46" t="n">
        <f aca="false">IF(DueSoon[[#This Row],[_Task]]="","",INDEX(tsk_Progress,DueSoon[[#This Row],[_Task]]))</f>
        <v>0.85</v>
      </c>
      <c r="F61" s="20" t="str">
        <f aca="false">IF(DueSoon[[#This Row],[_Task]]="","",INDEX(tsk_DeadlineCheck,DueSoon[[#This Row],[_Task]])&amp;"")</f>
        <v/>
      </c>
      <c r="G61" s="20" t="str">
        <f aca="false">IF(DueSoon[[#This Row],[_Task]]="","",INDEX(tsk_Critical,DueSoon[[#This Row],[_Task]])&amp;"")</f>
        <v>Yes</v>
      </c>
    </row>
    <row r="62" customFormat="false" ht="15" hidden="false" customHeight="false" outlineLevel="0" collapsed="false">
      <c r="A62" s="43" t="n">
        <f aca="false">IFERROR(MATCH(SMALL(tsk_DueSoonKey,ROW()-ROW(DueSoon[[#Headers],[_Task]])),tsk_DueSoonKey,0),"")</f>
        <v>11</v>
      </c>
      <c r="B62" s="20" t="str">
        <f aca="false">IF(DueSoon[[#This Row],[_Task]]="","",INDEX(tsk_Name,DueSoon[[#This Row],[_Task]])&amp;"")</f>
        <v>Go-live readiness review</v>
      </c>
      <c r="C62" s="20" t="str">
        <f aca="false">IF(DueSoon[[#This Row],[_Task]]="","",INDEX(tsk_ResourceNames,DueSoon[[#This Row],[_Task]])&amp;"")</f>
        <v>Priya Sharma</v>
      </c>
      <c r="D62" s="44" t="n">
        <f aca="false">IF(DueSoon[[#This Row],[_Task]]="","",IF(N(INDEX(tsk_FcFinish,DueSoon[[#This Row],[_Task]]))=0,"",INDEX(tsk_FcFinish,DueSoon[[#This Row],[_Task]])))</f>
        <v>46324</v>
      </c>
      <c r="E62" s="46" t="n">
        <f aca="false">IF(DueSoon[[#This Row],[_Task]]="","",INDEX(tsk_Progress,DueSoon[[#This Row],[_Task]]))</f>
        <v>0</v>
      </c>
      <c r="F62" s="20" t="str">
        <f aca="false">IF(DueSoon[[#This Row],[_Task]]="","",INDEX(tsk_DeadlineCheck,DueSoon[[#This Row],[_Task]])&amp;"")</f>
        <v/>
      </c>
      <c r="G62" s="20" t="str">
        <f aca="false">IF(DueSoon[[#This Row],[_Task]]="","",INDEX(tsk_Critical,DueSoon[[#This Row],[_Task]])&amp;"")</f>
        <v>Yes</v>
      </c>
    </row>
    <row r="63" customFormat="false" ht="15" hidden="false" customHeight="false" outlineLevel="0" collapsed="false">
      <c r="A63" s="43" t="n">
        <f aca="false">IFERROR(MATCH(SMALL(tsk_DueSoonKey,ROW()-ROW(DueSoon[[#Headers],[_Task]])),tsk_DueSoonKey,0),"")</f>
        <v>12</v>
      </c>
      <c r="B63" s="20" t="str">
        <f aca="false">IF(DueSoon[[#This Row],[_Task]]="","",INDEX(tsk_Name,DueSoon[[#This Row],[_Task]])&amp;"")</f>
        <v>Go-live</v>
      </c>
      <c r="C63" s="20" t="str">
        <f aca="false">IF(DueSoon[[#This Row],[_Task]]="","",INDEX(tsk_ResourceNames,DueSoon[[#This Row],[_Task]])&amp;"")</f>
        <v/>
      </c>
      <c r="D63" s="44" t="n">
        <f aca="false">IF(DueSoon[[#This Row],[_Task]]="","",IF(N(INDEX(tsk_FcFinish,DueSoon[[#This Row],[_Task]]))=0,"",INDEX(tsk_FcFinish,DueSoon[[#This Row],[_Task]])))</f>
        <v>46324</v>
      </c>
      <c r="E63" s="46" t="n">
        <f aca="false">IF(DueSoon[[#This Row],[_Task]]="","",INDEX(tsk_Progress,DueSoon[[#This Row],[_Task]]))</f>
        <v>0</v>
      </c>
      <c r="F63" s="20" t="str">
        <f aca="false">IF(DueSoon[[#This Row],[_Task]]="","",INDEX(tsk_DeadlineCheck,DueSoon[[#This Row],[_Task]])&amp;"")</f>
        <v>OK</v>
      </c>
      <c r="G63" s="20" t="str">
        <f aca="false">IF(DueSoon[[#This Row],[_Task]]="","",INDEX(tsk_Critical,DueSoon[[#This Row],[_Task]])&amp;"")</f>
        <v>Yes</v>
      </c>
    </row>
    <row r="64" customFormat="false" ht="15" hidden="false" customHeight="false" outlineLevel="0" collapsed="false">
      <c r="A64" s="43" t="str">
        <f aca="false">IFERROR(MATCH(SMALL(tsk_DueSoonKey,ROW()-ROW(DueSoon[[#Headers],[_Task]])),tsk_DueSoonKey,0),"")</f>
        <v/>
      </c>
      <c r="B64" s="20" t="str">
        <f aca="false">IF(DueSoon[[#This Row],[_Task]]="","",INDEX(tsk_Name,DueSoon[[#This Row],[_Task]])&amp;"")</f>
        <v/>
      </c>
      <c r="C64" s="20" t="str">
        <f aca="false">IF(DueSoon[[#This Row],[_Task]]="","",INDEX(tsk_ResourceNames,DueSoon[[#This Row],[_Task]])&amp;"")</f>
        <v/>
      </c>
      <c r="D64" s="44" t="str">
        <f aca="false">IF(DueSoon[[#This Row],[_Task]]="","",IF(N(INDEX(tsk_FcFinish,DueSoon[[#This Row],[_Task]]))=0,"",INDEX(tsk_FcFinish,DueSoon[[#This Row],[_Task]])))</f>
        <v/>
      </c>
      <c r="E64" s="46" t="str">
        <f aca="false">IF(DueSoon[[#This Row],[_Task]]="","",INDEX(tsk_Progress,DueSoon[[#This Row],[_Task]]))</f>
        <v/>
      </c>
      <c r="F64" s="20" t="str">
        <f aca="false">IF(DueSoon[[#This Row],[_Task]]="","",INDEX(tsk_DeadlineCheck,DueSoon[[#This Row],[_Task]])&amp;"")</f>
        <v/>
      </c>
      <c r="G64" s="20" t="str">
        <f aca="false">IF(DueSoon[[#This Row],[_Task]]="","",INDEX(tsk_Critical,DueSoon[[#This Row],[_Task]])&amp;"")</f>
        <v/>
      </c>
    </row>
    <row r="65" customFormat="false" ht="15" hidden="false" customHeight="false" outlineLevel="0" collapsed="false">
      <c r="A65" s="43" t="str">
        <f aca="false">IFERROR(MATCH(SMALL(tsk_DueSoonKey,ROW()-ROW(DueSoon[[#Headers],[_Task]])),tsk_DueSoonKey,0),"")</f>
        <v/>
      </c>
      <c r="B65" s="20" t="str">
        <f aca="false">IF(DueSoon[[#This Row],[_Task]]="","",INDEX(tsk_Name,DueSoon[[#This Row],[_Task]])&amp;"")</f>
        <v/>
      </c>
      <c r="C65" s="20" t="str">
        <f aca="false">IF(DueSoon[[#This Row],[_Task]]="","",INDEX(tsk_ResourceNames,DueSoon[[#This Row],[_Task]])&amp;"")</f>
        <v/>
      </c>
      <c r="D65" s="44" t="str">
        <f aca="false">IF(DueSoon[[#This Row],[_Task]]="","",IF(N(INDEX(tsk_FcFinish,DueSoon[[#This Row],[_Task]]))=0,"",INDEX(tsk_FcFinish,DueSoon[[#This Row],[_Task]])))</f>
        <v/>
      </c>
      <c r="E65" s="46" t="str">
        <f aca="false">IF(DueSoon[[#This Row],[_Task]]="","",INDEX(tsk_Progress,DueSoon[[#This Row],[_Task]]))</f>
        <v/>
      </c>
      <c r="F65" s="20" t="str">
        <f aca="false">IF(DueSoon[[#This Row],[_Task]]="","",INDEX(tsk_DeadlineCheck,DueSoon[[#This Row],[_Task]])&amp;"")</f>
        <v/>
      </c>
      <c r="G65" s="20" t="str">
        <f aca="false">IF(DueSoon[[#This Row],[_Task]]="","",INDEX(tsk_Critical,DueSoon[[#This Row],[_Task]])&amp;"")</f>
        <v/>
      </c>
    </row>
    <row r="67" customFormat="false" ht="15" hidden="false" customHeight="false" outlineLevel="0" collapsed="false">
      <c r="B67" s="28" t="str">
        <f aca="false">"STARTING BY "&amp;UPPER(TEXT(LookaheadEnd,"ddd dd-mmm"))&amp;" (look-ahead "&amp;LookaheadDays&amp;" working days)"&amp;": "&amp;COUNT(tsk_StartSoonKey)&amp;IF(COUNT(tsk_StartSoonKey)&gt;ROWS(StartingSoon[_Task])," (showing the first "&amp;ROWS(StartingSoon[_Task])&amp;")","")</f>
        <v>STARTING BY FRI 06-NOV (look-ahead 10 working days): 2</v>
      </c>
    </row>
    <row r="68" customFormat="false" ht="23.85" hidden="false" customHeight="false" outlineLevel="0" collapsed="false">
      <c r="A68" s="42" t="s">
        <v>175</v>
      </c>
      <c r="B68" s="17" t="s">
        <v>176</v>
      </c>
      <c r="C68" s="17" t="s">
        <v>177</v>
      </c>
      <c r="D68" s="17" t="s">
        <v>183</v>
      </c>
      <c r="E68" s="17" t="s">
        <v>60</v>
      </c>
      <c r="F68" s="17" t="s">
        <v>83</v>
      </c>
      <c r="G68" s="17" t="s">
        <v>180</v>
      </c>
    </row>
    <row r="69" customFormat="false" ht="15" hidden="false" customHeight="false" outlineLevel="0" collapsed="false">
      <c r="A69" s="43" t="n">
        <f aca="false">IFERROR(MATCH(SMALL(tsk_StartSoonKey,ROW()-ROW(StartingSoon[[#Headers],[_Task]])),tsk_StartSoonKey,0),"")</f>
        <v>11</v>
      </c>
      <c r="B69" s="20" t="str">
        <f aca="false">IF(StartingSoon[[#This Row],[_Task]]="","",INDEX(tsk_Name,StartingSoon[[#This Row],[_Task]])&amp;"")</f>
        <v>Go-live readiness review</v>
      </c>
      <c r="C69" s="20" t="str">
        <f aca="false">IF(StartingSoon[[#This Row],[_Task]]="","",INDEX(tsk_ResourceNames,StartingSoon[[#This Row],[_Task]])&amp;"")</f>
        <v>Priya Sharma</v>
      </c>
      <c r="D69" s="44" t="n">
        <f aca="false">IF(StartingSoon[[#This Row],[_Task]]="","",IF(N(INDEX(tsk_FcStart,StartingSoon[[#This Row],[_Task]]))=0,"",INDEX(tsk_FcStart,StartingSoon[[#This Row],[_Task]])))</f>
        <v>46324</v>
      </c>
      <c r="E69" s="47" t="n">
        <f aca="false">IF(StartingSoon[[#This Row],[_Task]]="","",INDEX(tsk_Duration,StartingSoon[[#This Row],[_Task]]))</f>
        <v>1</v>
      </c>
      <c r="F69" s="20" t="str">
        <f aca="false">IF(StartingSoon[[#This Row],[_Task]]="","",INDEX(tsk_Predecessors,StartingSoon[[#This Row],[_Task]])&amp;"")</f>
        <v>10</v>
      </c>
      <c r="G69" s="20" t="str">
        <f aca="false">IF(StartingSoon[[#This Row],[_Task]]="","",INDEX(tsk_Critical,StartingSoon[[#This Row],[_Task]])&amp;"")</f>
        <v>Yes</v>
      </c>
    </row>
    <row r="70" customFormat="false" ht="15" hidden="false" customHeight="false" outlineLevel="0" collapsed="false">
      <c r="A70" s="43" t="n">
        <f aca="false">IFERROR(MATCH(SMALL(tsk_StartSoonKey,ROW()-ROW(StartingSoon[[#Headers],[_Task]])),tsk_StartSoonKey,0),"")</f>
        <v>12</v>
      </c>
      <c r="B70" s="20" t="str">
        <f aca="false">IF(StartingSoon[[#This Row],[_Task]]="","",INDEX(tsk_Name,StartingSoon[[#This Row],[_Task]])&amp;"")</f>
        <v>Go-live</v>
      </c>
      <c r="C70" s="20" t="str">
        <f aca="false">IF(StartingSoon[[#This Row],[_Task]]="","",INDEX(tsk_ResourceNames,StartingSoon[[#This Row],[_Task]])&amp;"")</f>
        <v/>
      </c>
      <c r="D70" s="44" t="n">
        <f aca="false">IF(StartingSoon[[#This Row],[_Task]]="","",IF(N(INDEX(tsk_FcStart,StartingSoon[[#This Row],[_Task]]))=0,"",INDEX(tsk_FcStart,StartingSoon[[#This Row],[_Task]])))</f>
        <v>46324</v>
      </c>
      <c r="E70" s="47" t="n">
        <f aca="false">IF(StartingSoon[[#This Row],[_Task]]="","",INDEX(tsk_Duration,StartingSoon[[#This Row],[_Task]]))</f>
        <v>0</v>
      </c>
      <c r="F70" s="20" t="str">
        <f aca="false">IF(StartingSoon[[#This Row],[_Task]]="","",INDEX(tsk_Predecessors,StartingSoon[[#This Row],[_Task]])&amp;"")</f>
        <v>11</v>
      </c>
      <c r="G70" s="20" t="str">
        <f aca="false">IF(StartingSoon[[#This Row],[_Task]]="","",INDEX(tsk_Critical,StartingSoon[[#This Row],[_Task]])&amp;"")</f>
        <v>Yes</v>
      </c>
    </row>
    <row r="71" customFormat="false" ht="15" hidden="false" customHeight="false" outlineLevel="0" collapsed="false">
      <c r="A71" s="43" t="str">
        <f aca="false">IFERROR(MATCH(SMALL(tsk_StartSoonKey,ROW()-ROW(StartingSoon[[#Headers],[_Task]])),tsk_StartSoonKey,0),"")</f>
        <v/>
      </c>
      <c r="B71" s="20" t="str">
        <f aca="false">IF(StartingSoon[[#This Row],[_Task]]="","",INDEX(tsk_Name,StartingSoon[[#This Row],[_Task]])&amp;"")</f>
        <v/>
      </c>
      <c r="C71" s="20" t="str">
        <f aca="false">IF(StartingSoon[[#This Row],[_Task]]="","",INDEX(tsk_ResourceNames,StartingSoon[[#This Row],[_Task]])&amp;"")</f>
        <v/>
      </c>
      <c r="D71" s="44" t="str">
        <f aca="false">IF(StartingSoon[[#This Row],[_Task]]="","",IF(N(INDEX(tsk_FcStart,StartingSoon[[#This Row],[_Task]]))=0,"",INDEX(tsk_FcStart,StartingSoon[[#This Row],[_Task]])))</f>
        <v/>
      </c>
      <c r="E71" s="47" t="str">
        <f aca="false">IF(StartingSoon[[#This Row],[_Task]]="","",INDEX(tsk_Duration,StartingSoon[[#This Row],[_Task]]))</f>
        <v/>
      </c>
      <c r="F71" s="20" t="str">
        <f aca="false">IF(StartingSoon[[#This Row],[_Task]]="","",INDEX(tsk_Predecessors,StartingSoon[[#This Row],[_Task]])&amp;"")</f>
        <v/>
      </c>
      <c r="G71" s="20" t="str">
        <f aca="false">IF(StartingSoon[[#This Row],[_Task]]="","",INDEX(tsk_Critical,StartingSoon[[#This Row],[_Task]])&amp;"")</f>
        <v/>
      </c>
    </row>
    <row r="72" customFormat="false" ht="15" hidden="false" customHeight="false" outlineLevel="0" collapsed="false">
      <c r="A72" s="43" t="str">
        <f aca="false">IFERROR(MATCH(SMALL(tsk_StartSoonKey,ROW()-ROW(StartingSoon[[#Headers],[_Task]])),tsk_StartSoonKey,0),"")</f>
        <v/>
      </c>
      <c r="B72" s="20" t="str">
        <f aca="false">IF(StartingSoon[[#This Row],[_Task]]="","",INDEX(tsk_Name,StartingSoon[[#This Row],[_Task]])&amp;"")</f>
        <v/>
      </c>
      <c r="C72" s="20" t="str">
        <f aca="false">IF(StartingSoon[[#This Row],[_Task]]="","",INDEX(tsk_ResourceNames,StartingSoon[[#This Row],[_Task]])&amp;"")</f>
        <v/>
      </c>
      <c r="D72" s="44" t="str">
        <f aca="false">IF(StartingSoon[[#This Row],[_Task]]="","",IF(N(INDEX(tsk_FcStart,StartingSoon[[#This Row],[_Task]]))=0,"",INDEX(tsk_FcStart,StartingSoon[[#This Row],[_Task]])))</f>
        <v/>
      </c>
      <c r="E72" s="47" t="str">
        <f aca="false">IF(StartingSoon[[#This Row],[_Task]]="","",INDEX(tsk_Duration,StartingSoon[[#This Row],[_Task]]))</f>
        <v/>
      </c>
      <c r="F72" s="20" t="str">
        <f aca="false">IF(StartingSoon[[#This Row],[_Task]]="","",INDEX(tsk_Predecessors,StartingSoon[[#This Row],[_Task]])&amp;"")</f>
        <v/>
      </c>
      <c r="G72" s="20" t="str">
        <f aca="false">IF(StartingSoon[[#This Row],[_Task]]="","",INDEX(tsk_Critical,StartingSoon[[#This Row],[_Task]])&amp;"")</f>
        <v/>
      </c>
    </row>
    <row r="73" customFormat="false" ht="15" hidden="false" customHeight="false" outlineLevel="0" collapsed="false">
      <c r="A73" s="43" t="str">
        <f aca="false">IFERROR(MATCH(SMALL(tsk_StartSoonKey,ROW()-ROW(StartingSoon[[#Headers],[_Task]])),tsk_StartSoonKey,0),"")</f>
        <v/>
      </c>
      <c r="B73" s="20" t="str">
        <f aca="false">IF(StartingSoon[[#This Row],[_Task]]="","",INDEX(tsk_Name,StartingSoon[[#This Row],[_Task]])&amp;"")</f>
        <v/>
      </c>
      <c r="C73" s="20" t="str">
        <f aca="false">IF(StartingSoon[[#This Row],[_Task]]="","",INDEX(tsk_ResourceNames,StartingSoon[[#This Row],[_Task]])&amp;"")</f>
        <v/>
      </c>
      <c r="D73" s="44" t="str">
        <f aca="false">IF(StartingSoon[[#This Row],[_Task]]="","",IF(N(INDEX(tsk_FcStart,StartingSoon[[#This Row],[_Task]]))=0,"",INDEX(tsk_FcStart,StartingSoon[[#This Row],[_Task]])))</f>
        <v/>
      </c>
      <c r="E73" s="47" t="str">
        <f aca="false">IF(StartingSoon[[#This Row],[_Task]]="","",INDEX(tsk_Duration,StartingSoon[[#This Row],[_Task]]))</f>
        <v/>
      </c>
      <c r="F73" s="20" t="str">
        <f aca="false">IF(StartingSoon[[#This Row],[_Task]]="","",INDEX(tsk_Predecessors,StartingSoon[[#This Row],[_Task]])&amp;"")</f>
        <v/>
      </c>
      <c r="G73" s="20" t="str">
        <f aca="false">IF(StartingSoon[[#This Row],[_Task]]="","",INDEX(tsk_Critical,StartingSoon[[#This Row],[_Task]])&amp;"")</f>
        <v/>
      </c>
    </row>
    <row r="75" customFormat="false" ht="15" hidden="false" customHeight="false" outlineLevel="0" collapsed="false">
      <c r="B75" s="28" t="str">
        <f aca="false">"OPEN CRITICAL TASKS (by start)"&amp;": "&amp;COUNT(tsk_CriticalKey)&amp;IF(COUNT(tsk_CriticalKey)&gt;ROWS(CriticalTasks[_Task])," (showing the first "&amp;ROWS(CriticalTasks[_Task])&amp;")","")</f>
        <v>OPEN CRITICAL TASKS (by start): 3</v>
      </c>
    </row>
    <row r="76" customFormat="false" ht="23.85" hidden="false" customHeight="false" outlineLevel="0" collapsed="false">
      <c r="A76" s="42" t="s">
        <v>175</v>
      </c>
      <c r="B76" s="17" t="s">
        <v>176</v>
      </c>
      <c r="C76" s="17" t="s">
        <v>177</v>
      </c>
      <c r="D76" s="17" t="s">
        <v>183</v>
      </c>
      <c r="E76" s="17" t="s">
        <v>184</v>
      </c>
      <c r="F76" s="17" t="s">
        <v>182</v>
      </c>
      <c r="G76" s="17" t="s">
        <v>178</v>
      </c>
    </row>
    <row r="77" customFormat="false" ht="15" hidden="false" customHeight="false" outlineLevel="0" collapsed="false">
      <c r="A77" s="43" t="n">
        <f aca="false">IFERROR(MATCH(SMALL(tsk_CriticalKey,ROW()-ROW(CriticalTasks[[#Headers],[_Task]])),tsk_CriticalKey,0),"")</f>
        <v>10</v>
      </c>
      <c r="B77" s="20" t="str">
        <f aca="false">IF(CriticalTasks[[#This Row],[_Task]]="","",INDEX(tsk_Name,CriticalTasks[[#This Row],[_Task]])&amp;"")</f>
        <v>System integration testing</v>
      </c>
      <c r="C77" s="20" t="str">
        <f aca="false">IF(CriticalTasks[[#This Row],[_Task]]="","",INDEX(tsk_ResourceNames,CriticalTasks[[#This Row],[_Task]])&amp;"")</f>
        <v>Taylor Morgan, Sam Rivera[50%]</v>
      </c>
      <c r="D77" s="44" t="n">
        <f aca="false">IF(CriticalTasks[[#This Row],[_Task]]="","",IF(N(INDEX(tsk_FcStart,CriticalTasks[[#This Row],[_Task]]))=0,"",INDEX(tsk_FcStart,CriticalTasks[[#This Row],[_Task]])))</f>
        <v>46302</v>
      </c>
      <c r="E77" s="47" t="n">
        <f aca="false">IF(CriticalTasks[[#This Row],[_Task]]="","",INDEX(tsk_TotalSlack,CriticalTasks[[#This Row],[_Task]]))</f>
        <v>0</v>
      </c>
      <c r="F77" s="20" t="str">
        <f aca="false">IF(CriticalTasks[[#This Row],[_Task]]="","",INDEX(tsk_DeadlineCheck,CriticalTasks[[#This Row],[_Task]])&amp;"")</f>
        <v/>
      </c>
      <c r="G77" s="44" t="n">
        <f aca="false">IF(CriticalTasks[[#This Row],[_Task]]="","",IF(N(INDEX(tsk_FcFinish,CriticalTasks[[#This Row],[_Task]]))=0,"",INDEX(tsk_FcFinish,CriticalTasks[[#This Row],[_Task]])))</f>
        <v>46323</v>
      </c>
    </row>
    <row r="78" customFormat="false" ht="15" hidden="false" customHeight="false" outlineLevel="0" collapsed="false">
      <c r="A78" s="43" t="n">
        <f aca="false">IFERROR(MATCH(SMALL(tsk_CriticalKey,ROW()-ROW(CriticalTasks[[#Headers],[_Task]])),tsk_CriticalKey,0),"")</f>
        <v>11</v>
      </c>
      <c r="B78" s="20" t="str">
        <f aca="false">IF(CriticalTasks[[#This Row],[_Task]]="","",INDEX(tsk_Name,CriticalTasks[[#This Row],[_Task]])&amp;"")</f>
        <v>Go-live readiness review</v>
      </c>
      <c r="C78" s="20" t="str">
        <f aca="false">IF(CriticalTasks[[#This Row],[_Task]]="","",INDEX(tsk_ResourceNames,CriticalTasks[[#This Row],[_Task]])&amp;"")</f>
        <v>Priya Sharma</v>
      </c>
      <c r="D78" s="44" t="n">
        <f aca="false">IF(CriticalTasks[[#This Row],[_Task]]="","",IF(N(INDEX(tsk_FcStart,CriticalTasks[[#This Row],[_Task]]))=0,"",INDEX(tsk_FcStart,CriticalTasks[[#This Row],[_Task]])))</f>
        <v>46324</v>
      </c>
      <c r="E78" s="47" t="n">
        <f aca="false">IF(CriticalTasks[[#This Row],[_Task]]="","",INDEX(tsk_TotalSlack,CriticalTasks[[#This Row],[_Task]]))</f>
        <v>0</v>
      </c>
      <c r="F78" s="20" t="str">
        <f aca="false">IF(CriticalTasks[[#This Row],[_Task]]="","",INDEX(tsk_DeadlineCheck,CriticalTasks[[#This Row],[_Task]])&amp;"")</f>
        <v/>
      </c>
      <c r="G78" s="44" t="n">
        <f aca="false">IF(CriticalTasks[[#This Row],[_Task]]="","",IF(N(INDEX(tsk_FcFinish,CriticalTasks[[#This Row],[_Task]]))=0,"",INDEX(tsk_FcFinish,CriticalTasks[[#This Row],[_Task]])))</f>
        <v>46324</v>
      </c>
    </row>
    <row r="79" customFormat="false" ht="15" hidden="false" customHeight="false" outlineLevel="0" collapsed="false">
      <c r="A79" s="43" t="n">
        <f aca="false">IFERROR(MATCH(SMALL(tsk_CriticalKey,ROW()-ROW(CriticalTasks[[#Headers],[_Task]])),tsk_CriticalKey,0),"")</f>
        <v>12</v>
      </c>
      <c r="B79" s="20" t="str">
        <f aca="false">IF(CriticalTasks[[#This Row],[_Task]]="","",INDEX(tsk_Name,CriticalTasks[[#This Row],[_Task]])&amp;"")</f>
        <v>Go-live</v>
      </c>
      <c r="C79" s="20" t="str">
        <f aca="false">IF(CriticalTasks[[#This Row],[_Task]]="","",INDEX(tsk_ResourceNames,CriticalTasks[[#This Row],[_Task]])&amp;"")</f>
        <v/>
      </c>
      <c r="D79" s="44" t="n">
        <f aca="false">IF(CriticalTasks[[#This Row],[_Task]]="","",IF(N(INDEX(tsk_FcStart,CriticalTasks[[#This Row],[_Task]]))=0,"",INDEX(tsk_FcStart,CriticalTasks[[#This Row],[_Task]])))</f>
        <v>46324</v>
      </c>
      <c r="E79" s="47" t="n">
        <f aca="false">IF(CriticalTasks[[#This Row],[_Task]]="","",INDEX(tsk_TotalSlack,CriticalTasks[[#This Row],[_Task]]))</f>
        <v>0</v>
      </c>
      <c r="F79" s="20" t="str">
        <f aca="false">IF(CriticalTasks[[#This Row],[_Task]]="","",INDEX(tsk_DeadlineCheck,CriticalTasks[[#This Row],[_Task]])&amp;"")</f>
        <v>OK</v>
      </c>
      <c r="G79" s="44" t="n">
        <f aca="false">IF(CriticalTasks[[#This Row],[_Task]]="","",IF(N(INDEX(tsk_FcFinish,CriticalTasks[[#This Row],[_Task]]))=0,"",INDEX(tsk_FcFinish,CriticalTasks[[#This Row],[_Task]])))</f>
        <v>46324</v>
      </c>
    </row>
    <row r="80" customFormat="false" ht="15" hidden="false" customHeight="false" outlineLevel="0" collapsed="false">
      <c r="A80" s="43" t="str">
        <f aca="false">IFERROR(MATCH(SMALL(tsk_CriticalKey,ROW()-ROW(CriticalTasks[[#Headers],[_Task]])),tsk_CriticalKey,0),"")</f>
        <v/>
      </c>
      <c r="B80" s="20" t="str">
        <f aca="false">IF(CriticalTasks[[#This Row],[_Task]]="","",INDEX(tsk_Name,CriticalTasks[[#This Row],[_Task]])&amp;"")</f>
        <v/>
      </c>
      <c r="C80" s="20" t="str">
        <f aca="false">IF(CriticalTasks[[#This Row],[_Task]]="","",INDEX(tsk_ResourceNames,CriticalTasks[[#This Row],[_Task]])&amp;"")</f>
        <v/>
      </c>
      <c r="D80" s="44" t="str">
        <f aca="false">IF(CriticalTasks[[#This Row],[_Task]]="","",IF(N(INDEX(tsk_FcStart,CriticalTasks[[#This Row],[_Task]]))=0,"",INDEX(tsk_FcStart,CriticalTasks[[#This Row],[_Task]])))</f>
        <v/>
      </c>
      <c r="E80" s="47" t="str">
        <f aca="false">IF(CriticalTasks[[#This Row],[_Task]]="","",INDEX(tsk_TotalSlack,CriticalTasks[[#This Row],[_Task]]))</f>
        <v/>
      </c>
      <c r="F80" s="20" t="str">
        <f aca="false">IF(CriticalTasks[[#This Row],[_Task]]="","",INDEX(tsk_DeadlineCheck,CriticalTasks[[#This Row],[_Task]])&amp;"")</f>
        <v/>
      </c>
      <c r="G80" s="44" t="str">
        <f aca="false">IF(CriticalTasks[[#This Row],[_Task]]="","",IF(N(INDEX(tsk_FcFinish,CriticalTasks[[#This Row],[_Task]]))=0,"",INDEX(tsk_FcFinish,CriticalTasks[[#This Row],[_Task]])))</f>
        <v/>
      </c>
    </row>
    <row r="81" customFormat="false" ht="15" hidden="false" customHeight="false" outlineLevel="0" collapsed="false">
      <c r="A81" s="43" t="str">
        <f aca="false">IFERROR(MATCH(SMALL(tsk_CriticalKey,ROW()-ROW(CriticalTasks[[#Headers],[_Task]])),tsk_CriticalKey,0),"")</f>
        <v/>
      </c>
      <c r="B81" s="20" t="str">
        <f aca="false">IF(CriticalTasks[[#This Row],[_Task]]="","",INDEX(tsk_Name,CriticalTasks[[#This Row],[_Task]])&amp;"")</f>
        <v/>
      </c>
      <c r="C81" s="20" t="str">
        <f aca="false">IF(CriticalTasks[[#This Row],[_Task]]="","",INDEX(tsk_ResourceNames,CriticalTasks[[#This Row],[_Task]])&amp;"")</f>
        <v/>
      </c>
      <c r="D81" s="44" t="str">
        <f aca="false">IF(CriticalTasks[[#This Row],[_Task]]="","",IF(N(INDEX(tsk_FcStart,CriticalTasks[[#This Row],[_Task]]))=0,"",INDEX(tsk_FcStart,CriticalTasks[[#This Row],[_Task]])))</f>
        <v/>
      </c>
      <c r="E81" s="47" t="str">
        <f aca="false">IF(CriticalTasks[[#This Row],[_Task]]="","",INDEX(tsk_TotalSlack,CriticalTasks[[#This Row],[_Task]]))</f>
        <v/>
      </c>
      <c r="F81" s="20" t="str">
        <f aca="false">IF(CriticalTasks[[#This Row],[_Task]]="","",INDEX(tsk_DeadlineCheck,CriticalTasks[[#This Row],[_Task]])&amp;"")</f>
        <v/>
      </c>
      <c r="G81" s="44" t="str">
        <f aca="false">IF(CriticalTasks[[#This Row],[_Task]]="","",IF(N(INDEX(tsk_FcFinish,CriticalTasks[[#This Row],[_Task]]))=0,"",INDEX(tsk_FcFinish,CriticalTasks[[#This Row],[_Task]])))</f>
        <v/>
      </c>
    </row>
    <row r="83" customFormat="false" ht="15" hidden="false" customHeight="false" outlineLevel="0" collapsed="false">
      <c r="B83" s="28" t="s">
        <v>185</v>
      </c>
    </row>
    <row r="84" customFormat="false" ht="15" hidden="false" customHeight="false" outlineLevel="0" collapsed="false">
      <c r="B84" s="17" t="s">
        <v>186</v>
      </c>
      <c r="C84" s="18" t="s">
        <v>187</v>
      </c>
    </row>
    <row r="85" customFormat="false" ht="36" hidden="false" customHeight="true" outlineLevel="0" collapsed="false">
      <c r="B85" s="48" t="s">
        <v>74</v>
      </c>
      <c r="C85" s="49"/>
    </row>
    <row r="86" customFormat="false" ht="36" hidden="false" customHeight="true" outlineLevel="0" collapsed="false">
      <c r="B86" s="48" t="s">
        <v>188</v>
      </c>
      <c r="C86" s="49"/>
    </row>
    <row r="87" customFormat="false" ht="36" hidden="false" customHeight="true" outlineLevel="0" collapsed="false">
      <c r="B87" s="48" t="s">
        <v>189</v>
      </c>
      <c r="C87" s="49"/>
    </row>
    <row r="88" customFormat="false" ht="36" hidden="false" customHeight="true" outlineLevel="0" collapsed="false">
      <c r="B88" s="48" t="s">
        <v>190</v>
      </c>
      <c r="C88" s="49"/>
    </row>
    <row r="89" customFormat="false" ht="36" hidden="false" customHeight="true" outlineLevel="0" collapsed="false">
      <c r="B89" s="48" t="s">
        <v>191</v>
      </c>
      <c r="C89" s="49"/>
    </row>
    <row r="90" customFormat="false" ht="36" hidden="false" customHeight="true" outlineLevel="0" collapsed="false">
      <c r="B90" s="48" t="s">
        <v>192</v>
      </c>
      <c r="C90" s="49"/>
    </row>
  </sheetData>
  <sheetProtection sheet="true" formatColumns="false" formatRows="false" sort="false" autoFilter="false"/>
  <mergeCells count="1">
    <mergeCell ref="B24:H24"/>
  </mergeCells>
  <conditionalFormatting sqref="C5">
    <cfRule type="expression" priority="2" aboveAverage="0" equalAverage="0" bottom="0" percent="0" rank="0" text="" dxfId="0">
      <formula>N(C5)=0</formula>
    </cfRule>
  </conditionalFormatting>
  <conditionalFormatting sqref="E14:G21">
    <cfRule type="expression" priority="3" aboveAverage="0" equalAverage="0" bottom="0" percent="0" rank="0" text="" dxfId="19">
      <formula>E14="Green"</formula>
    </cfRule>
    <cfRule type="expression" priority="4" aboveAverage="0" equalAverage="0" bottom="0" percent="0" rank="0" text="" dxfId="20">
      <formula>E14="Amber"</formula>
    </cfRule>
    <cfRule type="expression" priority="5" aboveAverage="0" equalAverage="0" bottom="0" percent="0" rank="0" text="" dxfId="21">
      <formula>E14="Red"</formula>
    </cfRule>
  </conditionalFormatting>
  <conditionalFormatting sqref="D39">
    <cfRule type="expression" priority="6" aboveAverage="0" equalAverage="0" bottom="0" percent="0" rank="0" text="" dxfId="22">
      <formula>D39&gt;0</formula>
    </cfRule>
    <cfRule type="expression" priority="7" aboveAverage="0" equalAverage="0" bottom="0" percent="0" rank="0" text="" dxfId="23">
      <formula>D39&lt;=0</formula>
    </cfRule>
  </conditionalFormatting>
  <conditionalFormatting sqref="E53:E57">
    <cfRule type="expression" priority="8" aboveAverage="0" equalAverage="0" bottom="0" percent="0" rank="0" text="" dxfId="24">
      <formula>AND(ISNUMBER(E53),E53&gt;0)</formula>
    </cfRule>
  </conditionalFormatting>
  <conditionalFormatting sqref="G53:G57">
    <cfRule type="expression" priority="9" aboveAverage="0" equalAverage="0" bottom="0" percent="0" rank="0" text="" dxfId="25">
      <formula>G53="Yes"</formula>
    </cfRule>
  </conditionalFormatting>
  <conditionalFormatting sqref="G61:G65">
    <cfRule type="expression" priority="10" aboveAverage="0" equalAverage="0" bottom="0" percent="0" rank="0" text="" dxfId="25">
      <formula>G61="Yes"</formula>
    </cfRule>
  </conditionalFormatting>
  <conditionalFormatting sqref="F61:F65">
    <cfRule type="expression" priority="11" aboveAverage="0" equalAverage="0" bottom="0" percent="0" rank="0" text="" dxfId="24">
      <formula>LEFT(F61,4)="Late"</formula>
    </cfRule>
  </conditionalFormatting>
  <conditionalFormatting sqref="G69:G73">
    <cfRule type="expression" priority="12" aboveAverage="0" equalAverage="0" bottom="0" percent="0" rank="0" text="" dxfId="25">
      <formula>G69="Yes"</formula>
    </cfRule>
  </conditionalFormatting>
  <conditionalFormatting sqref="F77:F81">
    <cfRule type="expression" priority="13" aboveAverage="0" equalAverage="0" bottom="0" percent="0" rank="0" text="" dxfId="24">
      <formula>LEFT(F77,4)="Late"</formula>
    </cfRule>
  </conditionalFormatting>
  <dataValidations count="2">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5" type="none">
      <formula1>0</formula1>
      <formula2>0</formula2>
    </dataValidation>
    <dataValidation allowBlank="false" errorStyle="stop" operator="between" showDropDown="false" showErrorMessage="false" showInputMessage="false" sqref="F14 F17:F21" type="list">
      <formula1>L_RAG</formula1>
      <formula2>0</formula2>
    </dataValidation>
  </dataValidations>
  <hyperlinks>
    <hyperlink ref="C6" location="'Tasks'!A1" display="On Tasks: the Stage, Actual Start and Actual Finish for the tasks that moved.  Go to Tasks."/>
  </hyperlinks>
  <printOptions headings="false" gridLines="false" gridLinesSet="true" horizontalCentered="true" verticalCentered="false"/>
  <pageMargins left="0.75" right="0.75" top="0.6" bottom="0.6" header="0.3" footer="0.3"/>
  <pageSetup paperSize="1" scale="100" fitToWidth="1" fitToHeight="1" pageOrder="downThenOver" orientation="portrait" blackAndWhite="false" draft="false" cellComments="none" horizontalDpi="300" verticalDpi="300" copies="1"/>
  <headerFooter differentFirst="false" differentOddEven="false">
    <oddHeader>&amp;L&amp;"Arial,Regular"&amp;8 &amp;A&amp;R&amp;"Arial,Regular"&amp;8 &amp;F</oddHeader>
    <oddFooter>&amp;L&amp;"Arial,Regular"&amp;8 Project Planner template 1.1&amp;R&amp;"Arial,Regular"&amp;8 Page &amp;P of &amp;N</oddFooter>
  </headerFooter>
  <drawing r:id="rId2"/>
  <legacyDrawing r:id="rId3"/>
  <tableParts>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5" min="5" style="0" width="14"/>
    <col collapsed="false" customWidth="true" hidden="false" outlineLevel="0" max="9" min="6" style="0" width="10"/>
    <col collapsed="false" customWidth="true" hidden="false" outlineLevel="0" max="10" min="10" style="0" width="9"/>
    <col collapsed="false" customWidth="true" hidden="false" outlineLevel="0" max="11" min="11" style="0" width="8"/>
    <col collapsed="false" customWidth="true" hidden="false" outlineLevel="0" max="12" min="12" style="0" width="10"/>
    <col collapsed="false" customWidth="true" hidden="false" outlineLevel="0" max="13" min="13" style="0" width="7"/>
    <col collapsed="false" customWidth="true" hidden="false" outlineLevel="0" max="14" min="14" style="0" width="26"/>
    <col collapsed="false" customWidth="true" hidden="false" outlineLevel="0" max="15" min="15" style="0" width="10"/>
    <col collapsed="false" customWidth="true" hidden="true" outlineLevel="0" max="16" min="16" style="0" width="4"/>
    <col collapsed="false" customWidth="true" hidden="false" outlineLevel="0" max="17" min="17" style="0" width="1"/>
    <col collapsed="false" customWidth="true" hidden="false" outlineLevel="0" max="35" min="18" style="0" width="4.6"/>
  </cols>
  <sheetData>
    <row r="1" customFormat="false" ht="19.7" hidden="false" customHeight="false" outlineLevel="0" collapsed="false">
      <c r="A1" s="14" t="str">
        <f aca="false">ProjectName&amp;"  -  Roadmap"</f>
        <v>Customer Portal Implementation  -  Roadmap</v>
      </c>
    </row>
    <row r="2" customFormat="false" ht="15" hidden="false" customHeight="false" outlineLevel="0" collapsed="false">
      <c r="A2" s="50" t="str">
        <f aca="false">"Status date "&amp;TEXT(StatusDate,"dd-mmm-yyyy")&amp;"   Forecast finish "&amp;TEXT(ProjectFinish,"dd-mmm-yyyy")&amp;" ("&amp;TEXT(FinishVarianceDays,"+0;-0;0")&amp;" working days vs plan)"</f>
        <v>Status date 25-Oct-2026   Forecast finish 29-Oct-2026 (+4 working days vs plan)</v>
      </c>
    </row>
    <row r="4" customFormat="false" ht="15" hidden="false" customHeight="false" outlineLevel="0" collapsed="false">
      <c r="R4" s="51" t="str">
        <f aca="false">IF(OR(COLUMN()-COLUMN(rm_Origin)=1,MONTH(EDATE(RoadmapStart,COLUMN()-COLUMN(rm_Origin)-1))=1),TEXT(EDATE(RoadmapStart,COLUMN()-COLUMN(rm_Origin)-1),"yyyy"),"")</f>
        <v>2026</v>
      </c>
      <c r="S4" s="51" t="str">
        <f aca="false">IF(OR(COLUMN()-COLUMN(rm_Origin)=1,MONTH(EDATE(RoadmapStart,COLUMN()-COLUMN(rm_Origin)-1))=1),TEXT(EDATE(RoadmapStart,COLUMN()-COLUMN(rm_Origin)-1),"yyyy"),"")</f>
        <v/>
      </c>
      <c r="T4" s="51" t="str">
        <f aca="false">IF(OR(COLUMN()-COLUMN(rm_Origin)=1,MONTH(EDATE(RoadmapStart,COLUMN()-COLUMN(rm_Origin)-1))=1),TEXT(EDATE(RoadmapStart,COLUMN()-COLUMN(rm_Origin)-1),"yyyy"),"")</f>
        <v/>
      </c>
      <c r="U4" s="51" t="str">
        <f aca="false">IF(OR(COLUMN()-COLUMN(rm_Origin)=1,MONTH(EDATE(RoadmapStart,COLUMN()-COLUMN(rm_Origin)-1))=1),TEXT(EDATE(RoadmapStart,COLUMN()-COLUMN(rm_Origin)-1),"yyyy"),"")</f>
        <v/>
      </c>
      <c r="V4" s="51" t="str">
        <f aca="false">IF(OR(COLUMN()-COLUMN(rm_Origin)=1,MONTH(EDATE(RoadmapStart,COLUMN()-COLUMN(rm_Origin)-1))=1),TEXT(EDATE(RoadmapStart,COLUMN()-COLUMN(rm_Origin)-1),"yyyy"),"")</f>
        <v>2027</v>
      </c>
      <c r="W4" s="51" t="str">
        <f aca="false">IF(OR(COLUMN()-COLUMN(rm_Origin)=1,MONTH(EDATE(RoadmapStart,COLUMN()-COLUMN(rm_Origin)-1))=1),TEXT(EDATE(RoadmapStart,COLUMN()-COLUMN(rm_Origin)-1),"yyyy"),"")</f>
        <v/>
      </c>
      <c r="X4" s="51" t="str">
        <f aca="false">IF(OR(COLUMN()-COLUMN(rm_Origin)=1,MONTH(EDATE(RoadmapStart,COLUMN()-COLUMN(rm_Origin)-1))=1),TEXT(EDATE(RoadmapStart,COLUMN()-COLUMN(rm_Origin)-1),"yyyy"),"")</f>
        <v/>
      </c>
      <c r="Y4" s="51" t="str">
        <f aca="false">IF(OR(COLUMN()-COLUMN(rm_Origin)=1,MONTH(EDATE(RoadmapStart,COLUMN()-COLUMN(rm_Origin)-1))=1),TEXT(EDATE(RoadmapStart,COLUMN()-COLUMN(rm_Origin)-1),"yyyy"),"")</f>
        <v/>
      </c>
      <c r="Z4" s="51" t="str">
        <f aca="false">IF(OR(COLUMN()-COLUMN(rm_Origin)=1,MONTH(EDATE(RoadmapStart,COLUMN()-COLUMN(rm_Origin)-1))=1),TEXT(EDATE(RoadmapStart,COLUMN()-COLUMN(rm_Origin)-1),"yyyy"),"")</f>
        <v/>
      </c>
      <c r="AA4" s="51" t="str">
        <f aca="false">IF(OR(COLUMN()-COLUMN(rm_Origin)=1,MONTH(EDATE(RoadmapStart,COLUMN()-COLUMN(rm_Origin)-1))=1),TEXT(EDATE(RoadmapStart,COLUMN()-COLUMN(rm_Origin)-1),"yyyy"),"")</f>
        <v/>
      </c>
      <c r="AB4" s="51" t="str">
        <f aca="false">IF(OR(COLUMN()-COLUMN(rm_Origin)=1,MONTH(EDATE(RoadmapStart,COLUMN()-COLUMN(rm_Origin)-1))=1),TEXT(EDATE(RoadmapStart,COLUMN()-COLUMN(rm_Origin)-1),"yyyy"),"")</f>
        <v/>
      </c>
      <c r="AC4" s="51" t="str">
        <f aca="false">IF(OR(COLUMN()-COLUMN(rm_Origin)=1,MONTH(EDATE(RoadmapStart,COLUMN()-COLUMN(rm_Origin)-1))=1),TEXT(EDATE(RoadmapStart,COLUMN()-COLUMN(rm_Origin)-1),"yyyy"),"")</f>
        <v/>
      </c>
      <c r="AD4" s="51" t="str">
        <f aca="false">IF(OR(COLUMN()-COLUMN(rm_Origin)=1,MONTH(EDATE(RoadmapStart,COLUMN()-COLUMN(rm_Origin)-1))=1),TEXT(EDATE(RoadmapStart,COLUMN()-COLUMN(rm_Origin)-1),"yyyy"),"")</f>
        <v/>
      </c>
      <c r="AE4" s="51" t="str">
        <f aca="false">IF(OR(COLUMN()-COLUMN(rm_Origin)=1,MONTH(EDATE(RoadmapStart,COLUMN()-COLUMN(rm_Origin)-1))=1),TEXT(EDATE(RoadmapStart,COLUMN()-COLUMN(rm_Origin)-1),"yyyy"),"")</f>
        <v/>
      </c>
      <c r="AF4" s="51" t="str">
        <f aca="false">IF(OR(COLUMN()-COLUMN(rm_Origin)=1,MONTH(EDATE(RoadmapStart,COLUMN()-COLUMN(rm_Origin)-1))=1),TEXT(EDATE(RoadmapStart,COLUMN()-COLUMN(rm_Origin)-1),"yyyy"),"")</f>
        <v/>
      </c>
      <c r="AG4" s="51" t="str">
        <f aca="false">IF(OR(COLUMN()-COLUMN(rm_Origin)=1,MONTH(EDATE(RoadmapStart,COLUMN()-COLUMN(rm_Origin)-1))=1),TEXT(EDATE(RoadmapStart,COLUMN()-COLUMN(rm_Origin)-1),"yyyy"),"")</f>
        <v/>
      </c>
      <c r="AH4" s="51" t="str">
        <f aca="false">IF(OR(COLUMN()-COLUMN(rm_Origin)=1,MONTH(EDATE(RoadmapStart,COLUMN()-COLUMN(rm_Origin)-1))=1),TEXT(EDATE(RoadmapStart,COLUMN()-COLUMN(rm_Origin)-1),"yyyy"),"")</f>
        <v>2028</v>
      </c>
      <c r="AI4" s="51" t="str">
        <f aca="false">IF(OR(COLUMN()-COLUMN(rm_Origin)=1,MONTH(EDATE(RoadmapStart,COLUMN()-COLUMN(rm_Origin)-1))=1),TEXT(EDATE(RoadmapStart,COLUMN()-COLUMN(rm_Origin)-1),"yyyy"),"")</f>
        <v/>
      </c>
    </row>
    <row r="5" customFormat="false" ht="15" hidden="false" customHeight="false" outlineLevel="0" collapsed="false">
      <c r="R5" s="52" t="n">
        <f aca="false">EDATE(RoadmapStart,COLUMN()-COLUMN(rm_Origin)-1)</f>
        <v>46266</v>
      </c>
      <c r="S5" s="52" t="n">
        <f aca="false">EDATE(RoadmapStart,COLUMN()-COLUMN(rm_Origin)-1)</f>
        <v>46296</v>
      </c>
      <c r="T5" s="52" t="n">
        <f aca="false">EDATE(RoadmapStart,COLUMN()-COLUMN(rm_Origin)-1)</f>
        <v>46327</v>
      </c>
      <c r="U5" s="52" t="n">
        <f aca="false">EDATE(RoadmapStart,COLUMN()-COLUMN(rm_Origin)-1)</f>
        <v>46357</v>
      </c>
      <c r="V5" s="52" t="n">
        <f aca="false">EDATE(RoadmapStart,COLUMN()-COLUMN(rm_Origin)-1)</f>
        <v>46388</v>
      </c>
      <c r="W5" s="52" t="n">
        <f aca="false">EDATE(RoadmapStart,COLUMN()-COLUMN(rm_Origin)-1)</f>
        <v>46419</v>
      </c>
      <c r="X5" s="52" t="n">
        <f aca="false">EDATE(RoadmapStart,COLUMN()-COLUMN(rm_Origin)-1)</f>
        <v>46447</v>
      </c>
      <c r="Y5" s="52" t="n">
        <f aca="false">EDATE(RoadmapStart,COLUMN()-COLUMN(rm_Origin)-1)</f>
        <v>46478</v>
      </c>
      <c r="Z5" s="52" t="n">
        <f aca="false">EDATE(RoadmapStart,COLUMN()-COLUMN(rm_Origin)-1)</f>
        <v>46508</v>
      </c>
      <c r="AA5" s="52" t="n">
        <f aca="false">EDATE(RoadmapStart,COLUMN()-COLUMN(rm_Origin)-1)</f>
        <v>46539</v>
      </c>
      <c r="AB5" s="52" t="n">
        <f aca="false">EDATE(RoadmapStart,COLUMN()-COLUMN(rm_Origin)-1)</f>
        <v>46569</v>
      </c>
      <c r="AC5" s="52" t="n">
        <f aca="false">EDATE(RoadmapStart,COLUMN()-COLUMN(rm_Origin)-1)</f>
        <v>46600</v>
      </c>
      <c r="AD5" s="52" t="n">
        <f aca="false">EDATE(RoadmapStart,COLUMN()-COLUMN(rm_Origin)-1)</f>
        <v>46631</v>
      </c>
      <c r="AE5" s="52" t="n">
        <f aca="false">EDATE(RoadmapStart,COLUMN()-COLUMN(rm_Origin)-1)</f>
        <v>46661</v>
      </c>
      <c r="AF5" s="52" t="n">
        <f aca="false">EDATE(RoadmapStart,COLUMN()-COLUMN(rm_Origin)-1)</f>
        <v>46692</v>
      </c>
      <c r="AG5" s="52" t="n">
        <f aca="false">EDATE(RoadmapStart,COLUMN()-COLUMN(rm_Origin)-1)</f>
        <v>46722</v>
      </c>
      <c r="AH5" s="52" t="n">
        <f aca="false">EDATE(RoadmapStart,COLUMN()-COLUMN(rm_Origin)-1)</f>
        <v>46753</v>
      </c>
      <c r="AI5" s="52" t="n">
        <f aca="false">EDATE(RoadmapStart,COLUMN()-COLUMN(rm_Origin)-1)</f>
        <v>46784</v>
      </c>
    </row>
    <row r="6" customFormat="false" ht="15" hidden="false" customHeight="false" outlineLevel="0" collapsed="false">
      <c r="C6" s="28" t="str">
        <f aca="false">"Phases"&amp;": "&amp;COUNT(tsk_PhaseKey)&amp;IF(COUNT(tsk_PhaseKey)&gt;ROWS(RoadmapPhases[_Task])," (showing the first "&amp;ROWS(RoadmapPhases[_Task])&amp;")","")</f>
        <v>Phases: 3</v>
      </c>
    </row>
    <row r="7" customFormat="false" ht="35.05" hidden="false" customHeight="false" outlineLevel="0" collapsed="false">
      <c r="B7" s="42" t="s">
        <v>175</v>
      </c>
      <c r="C7" s="17" t="s">
        <v>193</v>
      </c>
      <c r="D7" s="17" t="s">
        <v>194</v>
      </c>
      <c r="E7" s="17" t="s">
        <v>195</v>
      </c>
      <c r="F7" s="17" t="s">
        <v>196</v>
      </c>
      <c r="G7" s="17" t="s">
        <v>197</v>
      </c>
      <c r="H7" s="17" t="s">
        <v>183</v>
      </c>
      <c r="I7" s="17" t="s">
        <v>178</v>
      </c>
      <c r="J7" s="17" t="s">
        <v>181</v>
      </c>
      <c r="K7" s="17" t="s">
        <v>179</v>
      </c>
      <c r="L7" s="17" t="s">
        <v>198</v>
      </c>
      <c r="M7" s="17" t="s">
        <v>130</v>
      </c>
      <c r="N7" s="17" t="s">
        <v>199</v>
      </c>
      <c r="O7" s="17" t="s">
        <v>200</v>
      </c>
      <c r="P7" s="42" t="s">
        <v>201</v>
      </c>
    </row>
    <row r="8" customFormat="false" ht="15" hidden="false" customHeight="false" outlineLevel="0" collapsed="false">
      <c r="B8" s="43" t="n">
        <f aca="false">IFERROR(MATCH(SMALL(tsk_PhaseKey,ROW()-ROW(RoadmapPhases[[#Headers],[_Task]])),tsk_PhaseKey,0),"")</f>
        <v>1</v>
      </c>
      <c r="C8" s="20" t="str">
        <f aca="false">IF(RoadmapPhases[[#This Row],[_Task]]="","",INDEX(tsk_WBS,RoadmapPhases[[#This Row],[_Task]])&amp;"")</f>
        <v>1</v>
      </c>
      <c r="D8" s="20" t="str">
        <f aca="false">IF(RoadmapPhases[[#This Row],[_Task]]="","",INDEX(tsk_Name,RoadmapPhases[[#This Row],[_Task]])&amp;"")</f>
        <v>Initiation</v>
      </c>
      <c r="E8" s="20" t="str">
        <f aca="false">IF(RoadmapPhases[[#This Row],[_Task]]="","",INDEX(tsk_Owner,RoadmapPhases[[#This Row],[_Task]])&amp;"")</f>
        <v>Priya Sharma</v>
      </c>
      <c r="F8" s="53" t="n">
        <f aca="false">IF(RoadmapPhases[[#This Row],[_Task]]="","",IF(N(INDEX(tsk_PlanStart,RoadmapPhases[[#This Row],[_Task]]))=0,"",INDEX(tsk_PlanStart,RoadmapPhases[[#This Row],[_Task]])))</f>
        <v>46272</v>
      </c>
      <c r="G8" s="53" t="n">
        <f aca="false">IF(RoadmapPhases[[#This Row],[_Task]]="","",IF(N(INDEX(tsk_PlanFinish,RoadmapPhases[[#This Row],[_Task]]))=0,"",INDEX(tsk_PlanFinish,RoadmapPhases[[#This Row],[_Task]])))</f>
        <v>46276</v>
      </c>
      <c r="H8" s="53" t="n">
        <f aca="false">IF(RoadmapPhases[[#This Row],[_Task]]="","",IF(N(INDEX(tsk_FcStart,RoadmapPhases[[#This Row],[_Task]]))=0,"",INDEX(tsk_FcStart,RoadmapPhases[[#This Row],[_Task]])))</f>
        <v>46272</v>
      </c>
      <c r="I8" s="53" t="n">
        <f aca="false">IF(RoadmapPhases[[#This Row],[_Task]]="","",IF(N(INDEX(tsk_FcFinish,RoadmapPhases[[#This Row],[_Task]]))=0,"",INDEX(tsk_FcFinish,RoadmapPhases[[#This Row],[_Task]])))</f>
        <v>46279</v>
      </c>
      <c r="J8" s="46" t="n">
        <f aca="false">IF(RoadmapPhases[[#This Row],[_Task]]="","",INDEX(tsk_Progress,RoadmapPhases[[#This Row],[_Task]]))</f>
        <v>1</v>
      </c>
      <c r="K8" s="45" t="n">
        <f aca="false">IF(RoadmapPhases[[#This Row],[_Task]]="","",INDEX(tsk_Variance,RoadmapPhases[[#This Row],[_Task]]))</f>
        <v>1</v>
      </c>
      <c r="L8" s="47" t="str">
        <f aca="false">IF(RoadmapPhases[[#This Row],[_Task]]="","",COUNTIFS(tsk_Phase,RoadmapPhases[[#This Row],[WBS]],tsk_IsLeaf,1,tsk_Duration,"&gt;0",tsk_Progress,"&gt;=1")&amp;" of "&amp;COUNTIFS(tsk_Phase,RoadmapPhases[[#This Row],[WBS]],tsk_IsLeaf,1,tsk_Duration,"&gt;0")&amp;" done")</f>
        <v>2 of 2 done</v>
      </c>
      <c r="M8" s="21" t="str">
        <f aca="false">IF(RoadmapPhases[[#This Row],[_Task]]="","",CHOOSE(IF(N(RoadmapPhases[[#This Row],[Finish Var]])&gt;=RAGRedSlipDays,2,IF(N(RoadmapPhases[[#This Row],[Finish Var]])&gt;=RAGAmberSlipDays,1,0))+1,"Green","Amber","Red"))</f>
        <v>Green</v>
      </c>
      <c r="N8" s="20" t="str">
        <f aca="false">IF(OR(RoadmapPhases[[#This Row],[_Task]]="",RoadmapPhases[[#This Row],[_Milestone]]=""),"",INDEX(tsk_Name,RoadmapPhases[[#This Row],[_Milestone]])&amp;" ("&amp;TEXT(INDEX(tsk_FcFinish,RoadmapPhases[[#This Row],[_Milestone]]),"dd-mmm")&amp;")")</f>
        <v/>
      </c>
      <c r="O8" s="20" t="str">
        <f aca="false">IF(RoadmapPhases[[#This Row],[_Task]]="","",HYPERLINK("#"&amp;ADDRESS(ROW(Tasks[[#Headers],[Task Name]])+RoadmapPhases[[#This Row],[_Task]],COLUMN(Tasks[[#Headers],[Task Name]]),1,1,"Tasks"),"Go to phase"))</f>
        <v>Go to phase</v>
      </c>
      <c r="P8" s="43" t="str">
        <f aca="false">IF(RoadmapPhases[[#This Row],[_Task]]="","",IFERROR(MATCH(_xlfn.MINIFS(tsk_MilestoneKey,tsk_Phase,RoadmapPhases[[#This Row],[WBS]]),tsk_MilestoneKey,0),""))</f>
        <v/>
      </c>
    </row>
    <row r="9" customFormat="false" ht="15" hidden="false" customHeight="false" outlineLevel="0" collapsed="false">
      <c r="B9" s="43" t="n">
        <f aca="false">IFERROR(MATCH(SMALL(tsk_PhaseKey,ROW()-ROW(RoadmapPhases[[#Headers],[_Task]])),tsk_PhaseKey,0),"")</f>
        <v>5</v>
      </c>
      <c r="C9" s="20" t="str">
        <f aca="false">IF(RoadmapPhases[[#This Row],[_Task]]="","",INDEX(tsk_WBS,RoadmapPhases[[#This Row],[_Task]])&amp;"")</f>
        <v>2</v>
      </c>
      <c r="D9" s="20" t="str">
        <f aca="false">IF(RoadmapPhases[[#This Row],[_Task]]="","",INDEX(tsk_Name,RoadmapPhases[[#This Row],[_Task]])&amp;"")</f>
        <v>Requirements &amp; Design</v>
      </c>
      <c r="E9" s="20" t="str">
        <f aca="false">IF(RoadmapPhases[[#This Row],[_Task]]="","",INDEX(tsk_Owner,RoadmapPhases[[#This Row],[_Task]])&amp;"")</f>
        <v>Morgan Patel</v>
      </c>
      <c r="F9" s="53" t="n">
        <f aca="false">IF(RoadmapPhases[[#This Row],[_Task]]="","",IF(N(INDEX(tsk_PlanStart,RoadmapPhases[[#This Row],[_Task]]))=0,"",INDEX(tsk_PlanStart,RoadmapPhases[[#This Row],[_Task]])))</f>
        <v>46279</v>
      </c>
      <c r="G9" s="53" t="n">
        <f aca="false">IF(RoadmapPhases[[#This Row],[_Task]]="","",IF(N(INDEX(tsk_PlanFinish,RoadmapPhases[[#This Row],[_Task]]))=0,"",INDEX(tsk_PlanFinish,RoadmapPhases[[#This Row],[_Task]])))</f>
        <v>46296</v>
      </c>
      <c r="H9" s="53" t="n">
        <f aca="false">IF(RoadmapPhases[[#This Row],[_Task]]="","",IF(N(INDEX(tsk_FcStart,RoadmapPhases[[#This Row],[_Task]]))=0,"",INDEX(tsk_FcStart,RoadmapPhases[[#This Row],[_Task]])))</f>
        <v>46280</v>
      </c>
      <c r="I9" s="53" t="n">
        <f aca="false">IF(RoadmapPhases[[#This Row],[_Task]]="","",IF(N(INDEX(tsk_FcFinish,RoadmapPhases[[#This Row],[_Task]]))=0,"",INDEX(tsk_FcFinish,RoadmapPhases[[#This Row],[_Task]])))</f>
        <v>46301</v>
      </c>
      <c r="J9" s="46" t="n">
        <f aca="false">IF(RoadmapPhases[[#This Row],[_Task]]="","",INDEX(tsk_Progress,RoadmapPhases[[#This Row],[_Task]]))</f>
        <v>1</v>
      </c>
      <c r="K9" s="45" t="n">
        <f aca="false">IF(RoadmapPhases[[#This Row],[_Task]]="","",INDEX(tsk_Variance,RoadmapPhases[[#This Row],[_Task]]))</f>
        <v>3</v>
      </c>
      <c r="L9" s="47" t="str">
        <f aca="false">IF(RoadmapPhases[[#This Row],[_Task]]="","",COUNTIFS(tsk_Phase,RoadmapPhases[[#This Row],[WBS]],tsk_IsLeaf,1,tsk_Duration,"&gt;0",tsk_Progress,"&gt;=1")&amp;" of "&amp;COUNTIFS(tsk_Phase,RoadmapPhases[[#This Row],[WBS]],tsk_IsLeaf,1,tsk_Duration,"&gt;0")&amp;" done")</f>
        <v>2 of 2 done</v>
      </c>
      <c r="M9" s="21" t="str">
        <f aca="false">IF(RoadmapPhases[[#This Row],[_Task]]="","",CHOOSE(IF(N(RoadmapPhases[[#This Row],[Finish Var]])&gt;=RAGRedSlipDays,2,IF(N(RoadmapPhases[[#This Row],[Finish Var]])&gt;=RAGAmberSlipDays,1,0))+1,"Green","Amber","Red"))</f>
        <v>Amber</v>
      </c>
      <c r="N9" s="20" t="str">
        <f aca="false">IF(OR(RoadmapPhases[[#This Row],[_Task]]="",RoadmapPhases[[#This Row],[_Milestone]]=""),"",INDEX(tsk_Name,RoadmapPhases[[#This Row],[_Milestone]])&amp;" ("&amp;TEXT(INDEX(tsk_FcFinish,RoadmapPhases[[#This Row],[_Milestone]]),"dd-mmm")&amp;")")</f>
        <v/>
      </c>
      <c r="O9" s="20" t="str">
        <f aca="false">IF(RoadmapPhases[[#This Row],[_Task]]="","",HYPERLINK("#"&amp;ADDRESS(ROW(Tasks[[#Headers],[Task Name]])+RoadmapPhases[[#This Row],[_Task]],COLUMN(Tasks[[#Headers],[Task Name]]),1,1,"Tasks"),"Go to phase"))</f>
        <v>Go to phase</v>
      </c>
      <c r="P9" s="43" t="str">
        <f aca="false">IF(RoadmapPhases[[#This Row],[_Task]]="","",IFERROR(MATCH(_xlfn.MINIFS(tsk_MilestoneKey,tsk_Phase,RoadmapPhases[[#This Row],[WBS]]),tsk_MilestoneKey,0),""))</f>
        <v/>
      </c>
    </row>
    <row r="10" customFormat="false" ht="15" hidden="false" customHeight="false" outlineLevel="0" collapsed="false">
      <c r="B10" s="43" t="n">
        <f aca="false">IFERROR(MATCH(SMALL(tsk_PhaseKey,ROW()-ROW(RoadmapPhases[[#Headers],[_Task]])),tsk_PhaseKey,0),"")</f>
        <v>9</v>
      </c>
      <c r="C10" s="20" t="str">
        <f aca="false">IF(RoadmapPhases[[#This Row],[_Task]]="","",INDEX(tsk_WBS,RoadmapPhases[[#This Row],[_Task]])&amp;"")</f>
        <v>3</v>
      </c>
      <c r="D10" s="20" t="str">
        <f aca="false">IF(RoadmapPhases[[#This Row],[_Task]]="","",INDEX(tsk_Name,RoadmapPhases[[#This Row],[_Task]])&amp;"")</f>
        <v>Test &amp; Release</v>
      </c>
      <c r="E10" s="20" t="str">
        <f aca="false">IF(RoadmapPhases[[#This Row],[_Task]]="","",INDEX(tsk_Owner,RoadmapPhases[[#This Row],[_Task]])&amp;"")</f>
        <v>Taylor Morgan</v>
      </c>
      <c r="F10" s="53" t="n">
        <f aca="false">IF(RoadmapPhases[[#This Row],[_Task]]="","",IF(N(INDEX(tsk_PlanStart,RoadmapPhases[[#This Row],[_Task]]))=0,"",INDEX(tsk_PlanStart,RoadmapPhases[[#This Row],[_Task]])))</f>
        <v>46297</v>
      </c>
      <c r="G10" s="53" t="n">
        <f aca="false">IF(RoadmapPhases[[#This Row],[_Task]]="","",IF(N(INDEX(tsk_PlanFinish,RoadmapPhases[[#This Row],[_Task]]))=0,"",INDEX(tsk_PlanFinish,RoadmapPhases[[#This Row],[_Task]])))</f>
        <v>46318</v>
      </c>
      <c r="H10" s="53" t="n">
        <f aca="false">IF(RoadmapPhases[[#This Row],[_Task]]="","",IF(N(INDEX(tsk_FcStart,RoadmapPhases[[#This Row],[_Task]]))=0,"",INDEX(tsk_FcStart,RoadmapPhases[[#This Row],[_Task]])))</f>
        <v>46302</v>
      </c>
      <c r="I10" s="53" t="n">
        <f aca="false">IF(RoadmapPhases[[#This Row],[_Task]]="","",IF(N(INDEX(tsk_FcFinish,RoadmapPhases[[#This Row],[_Task]]))=0,"",INDEX(tsk_FcFinish,RoadmapPhases[[#This Row],[_Task]])))</f>
        <v>46324</v>
      </c>
      <c r="J10" s="46" t="n">
        <f aca="false">IF(RoadmapPhases[[#This Row],[_Task]]="","",INDEX(tsk_Progress,RoadmapPhases[[#This Row],[_Task]]))</f>
        <v>0.791925465838509</v>
      </c>
      <c r="K10" s="45" t="n">
        <f aca="false">IF(RoadmapPhases[[#This Row],[_Task]]="","",INDEX(tsk_Variance,RoadmapPhases[[#This Row],[_Task]]))</f>
        <v>4</v>
      </c>
      <c r="L10" s="47" t="str">
        <f aca="false">IF(RoadmapPhases[[#This Row],[_Task]]="","",COUNTIFS(tsk_Phase,RoadmapPhases[[#This Row],[WBS]],tsk_IsLeaf,1,tsk_Duration,"&gt;0",tsk_Progress,"&gt;=1")&amp;" of "&amp;COUNTIFS(tsk_Phase,RoadmapPhases[[#This Row],[WBS]],tsk_IsLeaf,1,tsk_Duration,"&gt;0")&amp;" done")</f>
        <v>0 of 2 done</v>
      </c>
      <c r="M10" s="21" t="str">
        <f aca="false">IF(RoadmapPhases[[#This Row],[_Task]]="","",CHOOSE(IF(N(RoadmapPhases[[#This Row],[Finish Var]])&gt;=RAGRedSlipDays,2,IF(N(RoadmapPhases[[#This Row],[Finish Var]])&gt;=RAGAmberSlipDays,1,0))+1,"Green","Amber","Red"))</f>
        <v>Amber</v>
      </c>
      <c r="N10" s="20" t="str">
        <f aca="false">IF(OR(RoadmapPhases[[#This Row],[_Task]]="",RoadmapPhases[[#This Row],[_Milestone]]=""),"",INDEX(tsk_Name,RoadmapPhases[[#This Row],[_Milestone]])&amp;" ("&amp;TEXT(INDEX(tsk_FcFinish,RoadmapPhases[[#This Row],[_Milestone]]),"dd-mmm")&amp;")")</f>
        <v>Go-live (29-Oct)</v>
      </c>
      <c r="O10" s="20" t="str">
        <f aca="false">IF(RoadmapPhases[[#This Row],[_Task]]="","",HYPERLINK("#"&amp;ADDRESS(ROW(Tasks[[#Headers],[Task Name]])+RoadmapPhases[[#This Row],[_Task]],COLUMN(Tasks[[#Headers],[Task Name]]),1,1,"Tasks"),"Go to phase"))</f>
        <v>Go to phase</v>
      </c>
      <c r="P10" s="43" t="n">
        <f aca="false">IF(RoadmapPhases[[#This Row],[_Task]]="","",IFERROR(MATCH(_xlfn.MINIFS(tsk_MilestoneKey,tsk_Phase,RoadmapPhases[[#This Row],[WBS]]),tsk_MilestoneKey,0),""))</f>
        <v>12</v>
      </c>
    </row>
    <row r="11" customFormat="false" ht="15" hidden="false" customHeight="false" outlineLevel="0" collapsed="false">
      <c r="B11" s="43" t="str">
        <f aca="false">IFERROR(MATCH(SMALL(tsk_PhaseKey,ROW()-ROW(RoadmapPhases[[#Headers],[_Task]])),tsk_PhaseKey,0),"")</f>
        <v/>
      </c>
      <c r="C11" s="20" t="str">
        <f aca="false">IF(RoadmapPhases[[#This Row],[_Task]]="","",INDEX(tsk_WBS,RoadmapPhases[[#This Row],[_Task]])&amp;"")</f>
        <v/>
      </c>
      <c r="D11" s="20" t="str">
        <f aca="false">IF(RoadmapPhases[[#This Row],[_Task]]="","",INDEX(tsk_Name,RoadmapPhases[[#This Row],[_Task]])&amp;"")</f>
        <v/>
      </c>
      <c r="E11" s="20" t="str">
        <f aca="false">IF(RoadmapPhases[[#This Row],[_Task]]="","",INDEX(tsk_Owner,RoadmapPhases[[#This Row],[_Task]])&amp;"")</f>
        <v/>
      </c>
      <c r="F11" s="53" t="str">
        <f aca="false">IF(RoadmapPhases[[#This Row],[_Task]]="","",IF(N(INDEX(tsk_PlanStart,RoadmapPhases[[#This Row],[_Task]]))=0,"",INDEX(tsk_PlanStart,RoadmapPhases[[#This Row],[_Task]])))</f>
        <v/>
      </c>
      <c r="G11" s="53" t="str">
        <f aca="false">IF(RoadmapPhases[[#This Row],[_Task]]="","",IF(N(INDEX(tsk_PlanFinish,RoadmapPhases[[#This Row],[_Task]]))=0,"",INDEX(tsk_PlanFinish,RoadmapPhases[[#This Row],[_Task]])))</f>
        <v/>
      </c>
      <c r="H11" s="53" t="str">
        <f aca="false">IF(RoadmapPhases[[#This Row],[_Task]]="","",IF(N(INDEX(tsk_FcStart,RoadmapPhases[[#This Row],[_Task]]))=0,"",INDEX(tsk_FcStart,RoadmapPhases[[#This Row],[_Task]])))</f>
        <v/>
      </c>
      <c r="I11" s="53" t="str">
        <f aca="false">IF(RoadmapPhases[[#This Row],[_Task]]="","",IF(N(INDEX(tsk_FcFinish,RoadmapPhases[[#This Row],[_Task]]))=0,"",INDEX(tsk_FcFinish,RoadmapPhases[[#This Row],[_Task]])))</f>
        <v/>
      </c>
      <c r="J11" s="46" t="str">
        <f aca="false">IF(RoadmapPhases[[#This Row],[_Task]]="","",INDEX(tsk_Progress,RoadmapPhases[[#This Row],[_Task]]))</f>
        <v/>
      </c>
      <c r="K11" s="45" t="str">
        <f aca="false">IF(RoadmapPhases[[#This Row],[_Task]]="","",INDEX(tsk_Variance,RoadmapPhases[[#This Row],[_Task]]))</f>
        <v/>
      </c>
      <c r="L11" s="47" t="str">
        <f aca="false">IF(RoadmapPhases[[#This Row],[_Task]]="","",COUNTIFS(tsk_Phase,RoadmapPhases[[#This Row],[WBS]],tsk_IsLeaf,1,tsk_Duration,"&gt;0",tsk_Progress,"&gt;=1")&amp;" of "&amp;COUNTIFS(tsk_Phase,RoadmapPhases[[#This Row],[WBS]],tsk_IsLeaf,1,tsk_Duration,"&gt;0")&amp;" done")</f>
        <v/>
      </c>
      <c r="M11" s="21" t="str">
        <f aca="false">IF(RoadmapPhases[[#This Row],[_Task]]="","",CHOOSE(IF(N(RoadmapPhases[[#This Row],[Finish Var]])&gt;=RAGRedSlipDays,2,IF(N(RoadmapPhases[[#This Row],[Finish Var]])&gt;=RAGAmberSlipDays,1,0))+1,"Green","Amber","Red"))</f>
        <v/>
      </c>
      <c r="N11" s="20" t="str">
        <f aca="false">IF(OR(RoadmapPhases[[#This Row],[_Task]]="",RoadmapPhases[[#This Row],[_Milestone]]=""),"",INDEX(tsk_Name,RoadmapPhases[[#This Row],[_Milestone]])&amp;" ("&amp;TEXT(INDEX(tsk_FcFinish,RoadmapPhases[[#This Row],[_Milestone]]),"dd-mmm")&amp;")")</f>
        <v/>
      </c>
      <c r="O11" s="20" t="str">
        <f aca="false">IF(RoadmapPhases[[#This Row],[_Task]]="","",HYPERLINK("#"&amp;ADDRESS(ROW(Tasks[[#Headers],[Task Name]])+RoadmapPhases[[#This Row],[_Task]],COLUMN(Tasks[[#Headers],[Task Name]]),1,1,"Tasks"),"Go to phase"))</f>
        <v/>
      </c>
      <c r="P11" s="43" t="str">
        <f aca="false">IF(RoadmapPhases[[#This Row],[_Task]]="","",IFERROR(MATCH(_xlfn.MINIFS(tsk_MilestoneKey,tsk_Phase,RoadmapPhases[[#This Row],[WBS]]),tsk_MilestoneKey,0),""))</f>
        <v/>
      </c>
    </row>
    <row r="12" customFormat="false" ht="15" hidden="false" customHeight="false" outlineLevel="0" collapsed="false">
      <c r="B12" s="43" t="str">
        <f aca="false">IFERROR(MATCH(SMALL(tsk_PhaseKey,ROW()-ROW(RoadmapPhases[[#Headers],[_Task]])),tsk_PhaseKey,0),"")</f>
        <v/>
      </c>
      <c r="C12" s="20" t="str">
        <f aca="false">IF(RoadmapPhases[[#This Row],[_Task]]="","",INDEX(tsk_WBS,RoadmapPhases[[#This Row],[_Task]])&amp;"")</f>
        <v/>
      </c>
      <c r="D12" s="20" t="str">
        <f aca="false">IF(RoadmapPhases[[#This Row],[_Task]]="","",INDEX(tsk_Name,RoadmapPhases[[#This Row],[_Task]])&amp;"")</f>
        <v/>
      </c>
      <c r="E12" s="20" t="str">
        <f aca="false">IF(RoadmapPhases[[#This Row],[_Task]]="","",INDEX(tsk_Owner,RoadmapPhases[[#This Row],[_Task]])&amp;"")</f>
        <v/>
      </c>
      <c r="F12" s="53" t="str">
        <f aca="false">IF(RoadmapPhases[[#This Row],[_Task]]="","",IF(N(INDEX(tsk_PlanStart,RoadmapPhases[[#This Row],[_Task]]))=0,"",INDEX(tsk_PlanStart,RoadmapPhases[[#This Row],[_Task]])))</f>
        <v/>
      </c>
      <c r="G12" s="53" t="str">
        <f aca="false">IF(RoadmapPhases[[#This Row],[_Task]]="","",IF(N(INDEX(tsk_PlanFinish,RoadmapPhases[[#This Row],[_Task]]))=0,"",INDEX(tsk_PlanFinish,RoadmapPhases[[#This Row],[_Task]])))</f>
        <v/>
      </c>
      <c r="H12" s="53" t="str">
        <f aca="false">IF(RoadmapPhases[[#This Row],[_Task]]="","",IF(N(INDEX(tsk_FcStart,RoadmapPhases[[#This Row],[_Task]]))=0,"",INDEX(tsk_FcStart,RoadmapPhases[[#This Row],[_Task]])))</f>
        <v/>
      </c>
      <c r="I12" s="53" t="str">
        <f aca="false">IF(RoadmapPhases[[#This Row],[_Task]]="","",IF(N(INDEX(tsk_FcFinish,RoadmapPhases[[#This Row],[_Task]]))=0,"",INDEX(tsk_FcFinish,RoadmapPhases[[#This Row],[_Task]])))</f>
        <v/>
      </c>
      <c r="J12" s="46" t="str">
        <f aca="false">IF(RoadmapPhases[[#This Row],[_Task]]="","",INDEX(tsk_Progress,RoadmapPhases[[#This Row],[_Task]]))</f>
        <v/>
      </c>
      <c r="K12" s="45" t="str">
        <f aca="false">IF(RoadmapPhases[[#This Row],[_Task]]="","",INDEX(tsk_Variance,RoadmapPhases[[#This Row],[_Task]]))</f>
        <v/>
      </c>
      <c r="L12" s="47" t="str">
        <f aca="false">IF(RoadmapPhases[[#This Row],[_Task]]="","",COUNTIFS(tsk_Phase,RoadmapPhases[[#This Row],[WBS]],tsk_IsLeaf,1,tsk_Duration,"&gt;0",tsk_Progress,"&gt;=1")&amp;" of "&amp;COUNTIFS(tsk_Phase,RoadmapPhases[[#This Row],[WBS]],tsk_IsLeaf,1,tsk_Duration,"&gt;0")&amp;" done")</f>
        <v/>
      </c>
      <c r="M12" s="21" t="str">
        <f aca="false">IF(RoadmapPhases[[#This Row],[_Task]]="","",CHOOSE(IF(N(RoadmapPhases[[#This Row],[Finish Var]])&gt;=RAGRedSlipDays,2,IF(N(RoadmapPhases[[#This Row],[Finish Var]])&gt;=RAGAmberSlipDays,1,0))+1,"Green","Amber","Red"))</f>
        <v/>
      </c>
      <c r="N12" s="20" t="str">
        <f aca="false">IF(OR(RoadmapPhases[[#This Row],[_Task]]="",RoadmapPhases[[#This Row],[_Milestone]]=""),"",INDEX(tsk_Name,RoadmapPhases[[#This Row],[_Milestone]])&amp;" ("&amp;TEXT(INDEX(tsk_FcFinish,RoadmapPhases[[#This Row],[_Milestone]]),"dd-mmm")&amp;")")</f>
        <v/>
      </c>
      <c r="O12" s="20" t="str">
        <f aca="false">IF(RoadmapPhases[[#This Row],[_Task]]="","",HYPERLINK("#"&amp;ADDRESS(ROW(Tasks[[#Headers],[Task Name]])+RoadmapPhases[[#This Row],[_Task]],COLUMN(Tasks[[#Headers],[Task Name]]),1,1,"Tasks"),"Go to phase"))</f>
        <v/>
      </c>
      <c r="P12" s="43" t="str">
        <f aca="false">IF(RoadmapPhases[[#This Row],[_Task]]="","",IFERROR(MATCH(_xlfn.MINIFS(tsk_MilestoneKey,tsk_Phase,RoadmapPhases[[#This Row],[WBS]]),tsk_MilestoneKey,0),""))</f>
        <v/>
      </c>
    </row>
    <row r="13" customFormat="false" ht="15" hidden="false" customHeight="false" outlineLevel="0" collapsed="false">
      <c r="B13" s="43" t="str">
        <f aca="false">IFERROR(MATCH(SMALL(tsk_PhaseKey,ROW()-ROW(RoadmapPhases[[#Headers],[_Task]])),tsk_PhaseKey,0),"")</f>
        <v/>
      </c>
      <c r="C13" s="20" t="str">
        <f aca="false">IF(RoadmapPhases[[#This Row],[_Task]]="","",INDEX(tsk_WBS,RoadmapPhases[[#This Row],[_Task]])&amp;"")</f>
        <v/>
      </c>
      <c r="D13" s="20" t="str">
        <f aca="false">IF(RoadmapPhases[[#This Row],[_Task]]="","",INDEX(tsk_Name,RoadmapPhases[[#This Row],[_Task]])&amp;"")</f>
        <v/>
      </c>
      <c r="E13" s="20" t="str">
        <f aca="false">IF(RoadmapPhases[[#This Row],[_Task]]="","",INDEX(tsk_Owner,RoadmapPhases[[#This Row],[_Task]])&amp;"")</f>
        <v/>
      </c>
      <c r="F13" s="53" t="str">
        <f aca="false">IF(RoadmapPhases[[#This Row],[_Task]]="","",IF(N(INDEX(tsk_PlanStart,RoadmapPhases[[#This Row],[_Task]]))=0,"",INDEX(tsk_PlanStart,RoadmapPhases[[#This Row],[_Task]])))</f>
        <v/>
      </c>
      <c r="G13" s="53" t="str">
        <f aca="false">IF(RoadmapPhases[[#This Row],[_Task]]="","",IF(N(INDEX(tsk_PlanFinish,RoadmapPhases[[#This Row],[_Task]]))=0,"",INDEX(tsk_PlanFinish,RoadmapPhases[[#This Row],[_Task]])))</f>
        <v/>
      </c>
      <c r="H13" s="53" t="str">
        <f aca="false">IF(RoadmapPhases[[#This Row],[_Task]]="","",IF(N(INDEX(tsk_FcStart,RoadmapPhases[[#This Row],[_Task]]))=0,"",INDEX(tsk_FcStart,RoadmapPhases[[#This Row],[_Task]])))</f>
        <v/>
      </c>
      <c r="I13" s="53" t="str">
        <f aca="false">IF(RoadmapPhases[[#This Row],[_Task]]="","",IF(N(INDEX(tsk_FcFinish,RoadmapPhases[[#This Row],[_Task]]))=0,"",INDEX(tsk_FcFinish,RoadmapPhases[[#This Row],[_Task]])))</f>
        <v/>
      </c>
      <c r="J13" s="46" t="str">
        <f aca="false">IF(RoadmapPhases[[#This Row],[_Task]]="","",INDEX(tsk_Progress,RoadmapPhases[[#This Row],[_Task]]))</f>
        <v/>
      </c>
      <c r="K13" s="45" t="str">
        <f aca="false">IF(RoadmapPhases[[#This Row],[_Task]]="","",INDEX(tsk_Variance,RoadmapPhases[[#This Row],[_Task]]))</f>
        <v/>
      </c>
      <c r="L13" s="47" t="str">
        <f aca="false">IF(RoadmapPhases[[#This Row],[_Task]]="","",COUNTIFS(tsk_Phase,RoadmapPhases[[#This Row],[WBS]],tsk_IsLeaf,1,tsk_Duration,"&gt;0",tsk_Progress,"&gt;=1")&amp;" of "&amp;COUNTIFS(tsk_Phase,RoadmapPhases[[#This Row],[WBS]],tsk_IsLeaf,1,tsk_Duration,"&gt;0")&amp;" done")</f>
        <v/>
      </c>
      <c r="M13" s="21" t="str">
        <f aca="false">IF(RoadmapPhases[[#This Row],[_Task]]="","",CHOOSE(IF(N(RoadmapPhases[[#This Row],[Finish Var]])&gt;=RAGRedSlipDays,2,IF(N(RoadmapPhases[[#This Row],[Finish Var]])&gt;=RAGAmberSlipDays,1,0))+1,"Green","Amber","Red"))</f>
        <v/>
      </c>
      <c r="N13" s="20" t="str">
        <f aca="false">IF(OR(RoadmapPhases[[#This Row],[_Task]]="",RoadmapPhases[[#This Row],[_Milestone]]=""),"",INDEX(tsk_Name,RoadmapPhases[[#This Row],[_Milestone]])&amp;" ("&amp;TEXT(INDEX(tsk_FcFinish,RoadmapPhases[[#This Row],[_Milestone]]),"dd-mmm")&amp;")")</f>
        <v/>
      </c>
      <c r="O13" s="20" t="str">
        <f aca="false">IF(RoadmapPhases[[#This Row],[_Task]]="","",HYPERLINK("#"&amp;ADDRESS(ROW(Tasks[[#Headers],[Task Name]])+RoadmapPhases[[#This Row],[_Task]],COLUMN(Tasks[[#Headers],[Task Name]]),1,1,"Tasks"),"Go to phase"))</f>
        <v/>
      </c>
      <c r="P13" s="43" t="str">
        <f aca="false">IF(RoadmapPhases[[#This Row],[_Task]]="","",IFERROR(MATCH(_xlfn.MINIFS(tsk_MilestoneKey,tsk_Phase,RoadmapPhases[[#This Row],[WBS]]),tsk_MilestoneKey,0),""))</f>
        <v/>
      </c>
    </row>
    <row r="14" customFormat="false" ht="15" hidden="false" customHeight="false" outlineLevel="0" collapsed="false">
      <c r="B14" s="43" t="str">
        <f aca="false">IFERROR(MATCH(SMALL(tsk_PhaseKey,ROW()-ROW(RoadmapPhases[[#Headers],[_Task]])),tsk_PhaseKey,0),"")</f>
        <v/>
      </c>
      <c r="C14" s="20" t="str">
        <f aca="false">IF(RoadmapPhases[[#This Row],[_Task]]="","",INDEX(tsk_WBS,RoadmapPhases[[#This Row],[_Task]])&amp;"")</f>
        <v/>
      </c>
      <c r="D14" s="20" t="str">
        <f aca="false">IF(RoadmapPhases[[#This Row],[_Task]]="","",INDEX(tsk_Name,RoadmapPhases[[#This Row],[_Task]])&amp;"")</f>
        <v/>
      </c>
      <c r="E14" s="20" t="str">
        <f aca="false">IF(RoadmapPhases[[#This Row],[_Task]]="","",INDEX(tsk_Owner,RoadmapPhases[[#This Row],[_Task]])&amp;"")</f>
        <v/>
      </c>
      <c r="F14" s="53" t="str">
        <f aca="false">IF(RoadmapPhases[[#This Row],[_Task]]="","",IF(N(INDEX(tsk_PlanStart,RoadmapPhases[[#This Row],[_Task]]))=0,"",INDEX(tsk_PlanStart,RoadmapPhases[[#This Row],[_Task]])))</f>
        <v/>
      </c>
      <c r="G14" s="53" t="str">
        <f aca="false">IF(RoadmapPhases[[#This Row],[_Task]]="","",IF(N(INDEX(tsk_PlanFinish,RoadmapPhases[[#This Row],[_Task]]))=0,"",INDEX(tsk_PlanFinish,RoadmapPhases[[#This Row],[_Task]])))</f>
        <v/>
      </c>
      <c r="H14" s="53" t="str">
        <f aca="false">IF(RoadmapPhases[[#This Row],[_Task]]="","",IF(N(INDEX(tsk_FcStart,RoadmapPhases[[#This Row],[_Task]]))=0,"",INDEX(tsk_FcStart,RoadmapPhases[[#This Row],[_Task]])))</f>
        <v/>
      </c>
      <c r="I14" s="53" t="str">
        <f aca="false">IF(RoadmapPhases[[#This Row],[_Task]]="","",IF(N(INDEX(tsk_FcFinish,RoadmapPhases[[#This Row],[_Task]]))=0,"",INDEX(tsk_FcFinish,RoadmapPhases[[#This Row],[_Task]])))</f>
        <v/>
      </c>
      <c r="J14" s="46" t="str">
        <f aca="false">IF(RoadmapPhases[[#This Row],[_Task]]="","",INDEX(tsk_Progress,RoadmapPhases[[#This Row],[_Task]]))</f>
        <v/>
      </c>
      <c r="K14" s="45" t="str">
        <f aca="false">IF(RoadmapPhases[[#This Row],[_Task]]="","",INDEX(tsk_Variance,RoadmapPhases[[#This Row],[_Task]]))</f>
        <v/>
      </c>
      <c r="L14" s="47" t="str">
        <f aca="false">IF(RoadmapPhases[[#This Row],[_Task]]="","",COUNTIFS(tsk_Phase,RoadmapPhases[[#This Row],[WBS]],tsk_IsLeaf,1,tsk_Duration,"&gt;0",tsk_Progress,"&gt;=1")&amp;" of "&amp;COUNTIFS(tsk_Phase,RoadmapPhases[[#This Row],[WBS]],tsk_IsLeaf,1,tsk_Duration,"&gt;0")&amp;" done")</f>
        <v/>
      </c>
      <c r="M14" s="21" t="str">
        <f aca="false">IF(RoadmapPhases[[#This Row],[_Task]]="","",CHOOSE(IF(N(RoadmapPhases[[#This Row],[Finish Var]])&gt;=RAGRedSlipDays,2,IF(N(RoadmapPhases[[#This Row],[Finish Var]])&gt;=RAGAmberSlipDays,1,0))+1,"Green","Amber","Red"))</f>
        <v/>
      </c>
      <c r="N14" s="20" t="str">
        <f aca="false">IF(OR(RoadmapPhases[[#This Row],[_Task]]="",RoadmapPhases[[#This Row],[_Milestone]]=""),"",INDEX(tsk_Name,RoadmapPhases[[#This Row],[_Milestone]])&amp;" ("&amp;TEXT(INDEX(tsk_FcFinish,RoadmapPhases[[#This Row],[_Milestone]]),"dd-mmm")&amp;")")</f>
        <v/>
      </c>
      <c r="O14" s="20" t="str">
        <f aca="false">IF(RoadmapPhases[[#This Row],[_Task]]="","",HYPERLINK("#"&amp;ADDRESS(ROW(Tasks[[#Headers],[Task Name]])+RoadmapPhases[[#This Row],[_Task]],COLUMN(Tasks[[#Headers],[Task Name]]),1,1,"Tasks"),"Go to phase"))</f>
        <v/>
      </c>
      <c r="P14" s="43" t="str">
        <f aca="false">IF(RoadmapPhases[[#This Row],[_Task]]="","",IFERROR(MATCH(_xlfn.MINIFS(tsk_MilestoneKey,tsk_Phase,RoadmapPhases[[#This Row],[WBS]]),tsk_MilestoneKey,0),""))</f>
        <v/>
      </c>
    </row>
    <row r="15" customFormat="false" ht="15" hidden="false" customHeight="false" outlineLevel="0" collapsed="false">
      <c r="B15" s="43" t="str">
        <f aca="false">IFERROR(MATCH(SMALL(tsk_PhaseKey,ROW()-ROW(RoadmapPhases[[#Headers],[_Task]])),tsk_PhaseKey,0),"")</f>
        <v/>
      </c>
      <c r="C15" s="20" t="str">
        <f aca="false">IF(RoadmapPhases[[#This Row],[_Task]]="","",INDEX(tsk_WBS,RoadmapPhases[[#This Row],[_Task]])&amp;"")</f>
        <v/>
      </c>
      <c r="D15" s="20" t="str">
        <f aca="false">IF(RoadmapPhases[[#This Row],[_Task]]="","",INDEX(tsk_Name,RoadmapPhases[[#This Row],[_Task]])&amp;"")</f>
        <v/>
      </c>
      <c r="E15" s="20" t="str">
        <f aca="false">IF(RoadmapPhases[[#This Row],[_Task]]="","",INDEX(tsk_Owner,RoadmapPhases[[#This Row],[_Task]])&amp;"")</f>
        <v/>
      </c>
      <c r="F15" s="53" t="str">
        <f aca="false">IF(RoadmapPhases[[#This Row],[_Task]]="","",IF(N(INDEX(tsk_PlanStart,RoadmapPhases[[#This Row],[_Task]]))=0,"",INDEX(tsk_PlanStart,RoadmapPhases[[#This Row],[_Task]])))</f>
        <v/>
      </c>
      <c r="G15" s="53" t="str">
        <f aca="false">IF(RoadmapPhases[[#This Row],[_Task]]="","",IF(N(INDEX(tsk_PlanFinish,RoadmapPhases[[#This Row],[_Task]]))=0,"",INDEX(tsk_PlanFinish,RoadmapPhases[[#This Row],[_Task]])))</f>
        <v/>
      </c>
      <c r="H15" s="53" t="str">
        <f aca="false">IF(RoadmapPhases[[#This Row],[_Task]]="","",IF(N(INDEX(tsk_FcStart,RoadmapPhases[[#This Row],[_Task]]))=0,"",INDEX(tsk_FcStart,RoadmapPhases[[#This Row],[_Task]])))</f>
        <v/>
      </c>
      <c r="I15" s="53" t="str">
        <f aca="false">IF(RoadmapPhases[[#This Row],[_Task]]="","",IF(N(INDEX(tsk_FcFinish,RoadmapPhases[[#This Row],[_Task]]))=0,"",INDEX(tsk_FcFinish,RoadmapPhases[[#This Row],[_Task]])))</f>
        <v/>
      </c>
      <c r="J15" s="46" t="str">
        <f aca="false">IF(RoadmapPhases[[#This Row],[_Task]]="","",INDEX(tsk_Progress,RoadmapPhases[[#This Row],[_Task]]))</f>
        <v/>
      </c>
      <c r="K15" s="45" t="str">
        <f aca="false">IF(RoadmapPhases[[#This Row],[_Task]]="","",INDEX(tsk_Variance,RoadmapPhases[[#This Row],[_Task]]))</f>
        <v/>
      </c>
      <c r="L15" s="47" t="str">
        <f aca="false">IF(RoadmapPhases[[#This Row],[_Task]]="","",COUNTIFS(tsk_Phase,RoadmapPhases[[#This Row],[WBS]],tsk_IsLeaf,1,tsk_Duration,"&gt;0",tsk_Progress,"&gt;=1")&amp;" of "&amp;COUNTIFS(tsk_Phase,RoadmapPhases[[#This Row],[WBS]],tsk_IsLeaf,1,tsk_Duration,"&gt;0")&amp;" done")</f>
        <v/>
      </c>
      <c r="M15" s="21" t="str">
        <f aca="false">IF(RoadmapPhases[[#This Row],[_Task]]="","",CHOOSE(IF(N(RoadmapPhases[[#This Row],[Finish Var]])&gt;=RAGRedSlipDays,2,IF(N(RoadmapPhases[[#This Row],[Finish Var]])&gt;=RAGAmberSlipDays,1,0))+1,"Green","Amber","Red"))</f>
        <v/>
      </c>
      <c r="N15" s="20" t="str">
        <f aca="false">IF(OR(RoadmapPhases[[#This Row],[_Task]]="",RoadmapPhases[[#This Row],[_Milestone]]=""),"",INDEX(tsk_Name,RoadmapPhases[[#This Row],[_Milestone]])&amp;" ("&amp;TEXT(INDEX(tsk_FcFinish,RoadmapPhases[[#This Row],[_Milestone]]),"dd-mmm")&amp;")")</f>
        <v/>
      </c>
      <c r="O15" s="20" t="str">
        <f aca="false">IF(RoadmapPhases[[#This Row],[_Task]]="","",HYPERLINK("#"&amp;ADDRESS(ROW(Tasks[[#Headers],[Task Name]])+RoadmapPhases[[#This Row],[_Task]],COLUMN(Tasks[[#Headers],[Task Name]]),1,1,"Tasks"),"Go to phase"))</f>
        <v/>
      </c>
      <c r="P15" s="43" t="str">
        <f aca="false">IF(RoadmapPhases[[#This Row],[_Task]]="","",IFERROR(MATCH(_xlfn.MINIFS(tsk_MilestoneKey,tsk_Phase,RoadmapPhases[[#This Row],[WBS]]),tsk_MilestoneKey,0),""))</f>
        <v/>
      </c>
    </row>
    <row r="16" customFormat="false" ht="15" hidden="false" customHeight="false" outlineLevel="0" collapsed="false">
      <c r="B16" s="43" t="str">
        <f aca="false">IFERROR(MATCH(SMALL(tsk_PhaseKey,ROW()-ROW(RoadmapPhases[[#Headers],[_Task]])),tsk_PhaseKey,0),"")</f>
        <v/>
      </c>
      <c r="C16" s="20" t="str">
        <f aca="false">IF(RoadmapPhases[[#This Row],[_Task]]="","",INDEX(tsk_WBS,RoadmapPhases[[#This Row],[_Task]])&amp;"")</f>
        <v/>
      </c>
      <c r="D16" s="20" t="str">
        <f aca="false">IF(RoadmapPhases[[#This Row],[_Task]]="","",INDEX(tsk_Name,RoadmapPhases[[#This Row],[_Task]])&amp;"")</f>
        <v/>
      </c>
      <c r="E16" s="20" t="str">
        <f aca="false">IF(RoadmapPhases[[#This Row],[_Task]]="","",INDEX(tsk_Owner,RoadmapPhases[[#This Row],[_Task]])&amp;"")</f>
        <v/>
      </c>
      <c r="F16" s="53" t="str">
        <f aca="false">IF(RoadmapPhases[[#This Row],[_Task]]="","",IF(N(INDEX(tsk_PlanStart,RoadmapPhases[[#This Row],[_Task]]))=0,"",INDEX(tsk_PlanStart,RoadmapPhases[[#This Row],[_Task]])))</f>
        <v/>
      </c>
      <c r="G16" s="53" t="str">
        <f aca="false">IF(RoadmapPhases[[#This Row],[_Task]]="","",IF(N(INDEX(tsk_PlanFinish,RoadmapPhases[[#This Row],[_Task]]))=0,"",INDEX(tsk_PlanFinish,RoadmapPhases[[#This Row],[_Task]])))</f>
        <v/>
      </c>
      <c r="H16" s="53" t="str">
        <f aca="false">IF(RoadmapPhases[[#This Row],[_Task]]="","",IF(N(INDEX(tsk_FcStart,RoadmapPhases[[#This Row],[_Task]]))=0,"",INDEX(tsk_FcStart,RoadmapPhases[[#This Row],[_Task]])))</f>
        <v/>
      </c>
      <c r="I16" s="53" t="str">
        <f aca="false">IF(RoadmapPhases[[#This Row],[_Task]]="","",IF(N(INDEX(tsk_FcFinish,RoadmapPhases[[#This Row],[_Task]]))=0,"",INDEX(tsk_FcFinish,RoadmapPhases[[#This Row],[_Task]])))</f>
        <v/>
      </c>
      <c r="J16" s="46" t="str">
        <f aca="false">IF(RoadmapPhases[[#This Row],[_Task]]="","",INDEX(tsk_Progress,RoadmapPhases[[#This Row],[_Task]]))</f>
        <v/>
      </c>
      <c r="K16" s="45" t="str">
        <f aca="false">IF(RoadmapPhases[[#This Row],[_Task]]="","",INDEX(tsk_Variance,RoadmapPhases[[#This Row],[_Task]]))</f>
        <v/>
      </c>
      <c r="L16" s="47" t="str">
        <f aca="false">IF(RoadmapPhases[[#This Row],[_Task]]="","",COUNTIFS(tsk_Phase,RoadmapPhases[[#This Row],[WBS]],tsk_IsLeaf,1,tsk_Duration,"&gt;0",tsk_Progress,"&gt;=1")&amp;" of "&amp;COUNTIFS(tsk_Phase,RoadmapPhases[[#This Row],[WBS]],tsk_IsLeaf,1,tsk_Duration,"&gt;0")&amp;" done")</f>
        <v/>
      </c>
      <c r="M16" s="21" t="str">
        <f aca="false">IF(RoadmapPhases[[#This Row],[_Task]]="","",CHOOSE(IF(N(RoadmapPhases[[#This Row],[Finish Var]])&gt;=RAGRedSlipDays,2,IF(N(RoadmapPhases[[#This Row],[Finish Var]])&gt;=RAGAmberSlipDays,1,0))+1,"Green","Amber","Red"))</f>
        <v/>
      </c>
      <c r="N16" s="20" t="str">
        <f aca="false">IF(OR(RoadmapPhases[[#This Row],[_Task]]="",RoadmapPhases[[#This Row],[_Milestone]]=""),"",INDEX(tsk_Name,RoadmapPhases[[#This Row],[_Milestone]])&amp;" ("&amp;TEXT(INDEX(tsk_FcFinish,RoadmapPhases[[#This Row],[_Milestone]]),"dd-mmm")&amp;")")</f>
        <v/>
      </c>
      <c r="O16" s="20" t="str">
        <f aca="false">IF(RoadmapPhases[[#This Row],[_Task]]="","",HYPERLINK("#"&amp;ADDRESS(ROW(Tasks[[#Headers],[Task Name]])+RoadmapPhases[[#This Row],[_Task]],COLUMN(Tasks[[#Headers],[Task Name]]),1,1,"Tasks"),"Go to phase"))</f>
        <v/>
      </c>
      <c r="P16" s="43" t="str">
        <f aca="false">IF(RoadmapPhases[[#This Row],[_Task]]="","",IFERROR(MATCH(_xlfn.MINIFS(tsk_MilestoneKey,tsk_Phase,RoadmapPhases[[#This Row],[WBS]]),tsk_MilestoneKey,0),""))</f>
        <v/>
      </c>
    </row>
    <row r="17" customFormat="false" ht="15" hidden="false" customHeight="false" outlineLevel="0" collapsed="false">
      <c r="B17" s="43" t="str">
        <f aca="false">IFERROR(MATCH(SMALL(tsk_PhaseKey,ROW()-ROW(RoadmapPhases[[#Headers],[_Task]])),tsk_PhaseKey,0),"")</f>
        <v/>
      </c>
      <c r="C17" s="20" t="str">
        <f aca="false">IF(RoadmapPhases[[#This Row],[_Task]]="","",INDEX(tsk_WBS,RoadmapPhases[[#This Row],[_Task]])&amp;"")</f>
        <v/>
      </c>
      <c r="D17" s="20" t="str">
        <f aca="false">IF(RoadmapPhases[[#This Row],[_Task]]="","",INDEX(tsk_Name,RoadmapPhases[[#This Row],[_Task]])&amp;"")</f>
        <v/>
      </c>
      <c r="E17" s="20" t="str">
        <f aca="false">IF(RoadmapPhases[[#This Row],[_Task]]="","",INDEX(tsk_Owner,RoadmapPhases[[#This Row],[_Task]])&amp;"")</f>
        <v/>
      </c>
      <c r="F17" s="53" t="str">
        <f aca="false">IF(RoadmapPhases[[#This Row],[_Task]]="","",IF(N(INDEX(tsk_PlanStart,RoadmapPhases[[#This Row],[_Task]]))=0,"",INDEX(tsk_PlanStart,RoadmapPhases[[#This Row],[_Task]])))</f>
        <v/>
      </c>
      <c r="G17" s="53" t="str">
        <f aca="false">IF(RoadmapPhases[[#This Row],[_Task]]="","",IF(N(INDEX(tsk_PlanFinish,RoadmapPhases[[#This Row],[_Task]]))=0,"",INDEX(tsk_PlanFinish,RoadmapPhases[[#This Row],[_Task]])))</f>
        <v/>
      </c>
      <c r="H17" s="53" t="str">
        <f aca="false">IF(RoadmapPhases[[#This Row],[_Task]]="","",IF(N(INDEX(tsk_FcStart,RoadmapPhases[[#This Row],[_Task]]))=0,"",INDEX(tsk_FcStart,RoadmapPhases[[#This Row],[_Task]])))</f>
        <v/>
      </c>
      <c r="I17" s="53" t="str">
        <f aca="false">IF(RoadmapPhases[[#This Row],[_Task]]="","",IF(N(INDEX(tsk_FcFinish,RoadmapPhases[[#This Row],[_Task]]))=0,"",INDEX(tsk_FcFinish,RoadmapPhases[[#This Row],[_Task]])))</f>
        <v/>
      </c>
      <c r="J17" s="46" t="str">
        <f aca="false">IF(RoadmapPhases[[#This Row],[_Task]]="","",INDEX(tsk_Progress,RoadmapPhases[[#This Row],[_Task]]))</f>
        <v/>
      </c>
      <c r="K17" s="45" t="str">
        <f aca="false">IF(RoadmapPhases[[#This Row],[_Task]]="","",INDEX(tsk_Variance,RoadmapPhases[[#This Row],[_Task]]))</f>
        <v/>
      </c>
      <c r="L17" s="47" t="str">
        <f aca="false">IF(RoadmapPhases[[#This Row],[_Task]]="","",COUNTIFS(tsk_Phase,RoadmapPhases[[#This Row],[WBS]],tsk_IsLeaf,1,tsk_Duration,"&gt;0",tsk_Progress,"&gt;=1")&amp;" of "&amp;COUNTIFS(tsk_Phase,RoadmapPhases[[#This Row],[WBS]],tsk_IsLeaf,1,tsk_Duration,"&gt;0")&amp;" done")</f>
        <v/>
      </c>
      <c r="M17" s="21" t="str">
        <f aca="false">IF(RoadmapPhases[[#This Row],[_Task]]="","",CHOOSE(IF(N(RoadmapPhases[[#This Row],[Finish Var]])&gt;=RAGRedSlipDays,2,IF(N(RoadmapPhases[[#This Row],[Finish Var]])&gt;=RAGAmberSlipDays,1,0))+1,"Green","Amber","Red"))</f>
        <v/>
      </c>
      <c r="N17" s="20" t="str">
        <f aca="false">IF(OR(RoadmapPhases[[#This Row],[_Task]]="",RoadmapPhases[[#This Row],[_Milestone]]=""),"",INDEX(tsk_Name,RoadmapPhases[[#This Row],[_Milestone]])&amp;" ("&amp;TEXT(INDEX(tsk_FcFinish,RoadmapPhases[[#This Row],[_Milestone]]),"dd-mmm")&amp;")")</f>
        <v/>
      </c>
      <c r="O17" s="20" t="str">
        <f aca="false">IF(RoadmapPhases[[#This Row],[_Task]]="","",HYPERLINK("#"&amp;ADDRESS(ROW(Tasks[[#Headers],[Task Name]])+RoadmapPhases[[#This Row],[_Task]],COLUMN(Tasks[[#Headers],[Task Name]]),1,1,"Tasks"),"Go to phase"))</f>
        <v/>
      </c>
      <c r="P17" s="43" t="str">
        <f aca="false">IF(RoadmapPhases[[#This Row],[_Task]]="","",IFERROR(MATCH(_xlfn.MINIFS(tsk_MilestoneKey,tsk_Phase,RoadmapPhases[[#This Row],[WBS]]),tsk_MilestoneKey,0),""))</f>
        <v/>
      </c>
    </row>
    <row r="19" customFormat="false" ht="15" hidden="false" customHeight="false" outlineLevel="0" collapsed="false">
      <c r="C19" s="28" t="str">
        <f aca="false">"Milestones (in planned order)"&amp;": "&amp;COUNT(tsk_MilestoneOrder)&amp;IF(COUNT(tsk_MilestoneOrder)&gt;ROWS(RoadmapMilestones[_Task])," (showing the first "&amp;ROWS(RoadmapMilestones[_Task])&amp;")","")</f>
        <v>Milestones (in planned order): 3</v>
      </c>
    </row>
    <row r="20" customFormat="false" ht="23.85" hidden="false" customHeight="false" outlineLevel="0" collapsed="false">
      <c r="B20" s="42" t="s">
        <v>175</v>
      </c>
      <c r="C20" s="17" t="s">
        <v>193</v>
      </c>
      <c r="D20" s="17" t="s">
        <v>202</v>
      </c>
      <c r="E20" s="17" t="s">
        <v>203</v>
      </c>
      <c r="F20" s="17" t="s">
        <v>204</v>
      </c>
      <c r="G20" s="17" t="s">
        <v>205</v>
      </c>
      <c r="H20" s="17" t="s">
        <v>182</v>
      </c>
      <c r="I20" s="17" t="s">
        <v>146</v>
      </c>
      <c r="J20" s="17" t="s">
        <v>179</v>
      </c>
    </row>
    <row r="21" customFormat="false" ht="15" hidden="false" customHeight="false" outlineLevel="0" collapsed="false">
      <c r="B21" s="43" t="n">
        <f aca="false">IFERROR(MATCH(SMALL(tsk_MilestoneOrder,ROW()-ROW(RoadmapMilestones[[#Headers],[_Task]])),tsk_MilestoneOrder,0),"")</f>
        <v>4</v>
      </c>
      <c r="C21" s="20" t="str">
        <f aca="false">IF(RoadmapMilestones[[#This Row],[_Task]]="","",INDEX(tsk_WBS,RoadmapMilestones[[#This Row],[_Task]])&amp;"")</f>
        <v>1.3</v>
      </c>
      <c r="D21" s="20" t="str">
        <f aca="false">IF(RoadmapMilestones[[#This Row],[_Task]]="","",INDEX(tsk_Name,RoadmapMilestones[[#This Row],[_Task]])&amp;"")</f>
        <v>Kickoff complete</v>
      </c>
      <c r="E21" s="53" t="n">
        <f aca="false">IF(RoadmapMilestones[[#This Row],[_Task]]="","",IF(N(INDEX(tsk_PlanFinish,RoadmapMilestones[[#This Row],[_Task]]))=0,"",INDEX(tsk_PlanFinish,RoadmapMilestones[[#This Row],[_Task]])))</f>
        <v>46276</v>
      </c>
      <c r="F21" s="53" t="str">
        <f aca="false">IF(RoadmapMilestones[[#This Row],[_Task]]="","",IF(N(INDEX(tsk_Deadline,RoadmapMilestones[[#This Row],[_Task]]))=0,"",INDEX(tsk_Deadline,RoadmapMilestones[[#This Row],[_Task]])))</f>
        <v/>
      </c>
      <c r="G21" s="53" t="n">
        <f aca="false">IF(RoadmapMilestones[[#This Row],[_Task]]="","",IF(N(INDEX(tsk_FcFinish,RoadmapMilestones[[#This Row],[_Task]]))=0,"",INDEX(tsk_FcFinish,RoadmapMilestones[[#This Row],[_Task]])))</f>
        <v>46279</v>
      </c>
      <c r="H21" s="20" t="str">
        <f aca="false">IF(RoadmapMilestones[[#This Row],[_Task]]="","",INDEX(tsk_DeadlineCheck,RoadmapMilestones[[#This Row],[_Task]])&amp;"")</f>
        <v/>
      </c>
      <c r="I21" s="20" t="str">
        <f aca="false">IF(RoadmapMilestones[[#This Row],[_Task]]="","",INDEX(tsk_Status,RoadmapMilestones[[#This Row],[_Task]])&amp;"")</f>
        <v>Complete</v>
      </c>
      <c r="J21" s="45" t="n">
        <f aca="false">IF(RoadmapMilestones[[#This Row],[_Task]]="","",INDEX(tsk_Variance,RoadmapMilestones[[#This Row],[_Task]]))</f>
        <v>1</v>
      </c>
    </row>
    <row r="22" customFormat="false" ht="15" hidden="false" customHeight="false" outlineLevel="0" collapsed="false">
      <c r="B22" s="43" t="n">
        <f aca="false">IFERROR(MATCH(SMALL(tsk_MilestoneOrder,ROW()-ROW(RoadmapMilestones[[#Headers],[_Task]])),tsk_MilestoneOrder,0),"")</f>
        <v>8</v>
      </c>
      <c r="C22" s="20" t="str">
        <f aca="false">IF(RoadmapMilestones[[#This Row],[_Task]]="","",INDEX(tsk_WBS,RoadmapMilestones[[#This Row],[_Task]])&amp;"")</f>
        <v>2.3</v>
      </c>
      <c r="D22" s="20" t="str">
        <f aca="false">IF(RoadmapMilestones[[#This Row],[_Task]]="","",INDEX(tsk_Name,RoadmapMilestones[[#This Row],[_Task]])&amp;"")</f>
        <v>Design sign-off</v>
      </c>
      <c r="E22" s="53" t="n">
        <f aca="false">IF(RoadmapMilestones[[#This Row],[_Task]]="","",IF(N(INDEX(tsk_PlanFinish,RoadmapMilestones[[#This Row],[_Task]]))=0,"",INDEX(tsk_PlanFinish,RoadmapMilestones[[#This Row],[_Task]])))</f>
        <v>46296</v>
      </c>
      <c r="F22" s="53" t="str">
        <f aca="false">IF(RoadmapMilestones[[#This Row],[_Task]]="","",IF(N(INDEX(tsk_Deadline,RoadmapMilestones[[#This Row],[_Task]]))=0,"",INDEX(tsk_Deadline,RoadmapMilestones[[#This Row],[_Task]])))</f>
        <v/>
      </c>
      <c r="G22" s="53" t="n">
        <f aca="false">IF(RoadmapMilestones[[#This Row],[_Task]]="","",IF(N(INDEX(tsk_FcFinish,RoadmapMilestones[[#This Row],[_Task]]))=0,"",INDEX(tsk_FcFinish,RoadmapMilestones[[#This Row],[_Task]])))</f>
        <v>46301</v>
      </c>
      <c r="H22" s="20" t="str">
        <f aca="false">IF(RoadmapMilestones[[#This Row],[_Task]]="","",INDEX(tsk_DeadlineCheck,RoadmapMilestones[[#This Row],[_Task]])&amp;"")</f>
        <v/>
      </c>
      <c r="I22" s="20" t="str">
        <f aca="false">IF(RoadmapMilestones[[#This Row],[_Task]]="","",INDEX(tsk_Status,RoadmapMilestones[[#This Row],[_Task]])&amp;"")</f>
        <v>Complete</v>
      </c>
      <c r="J22" s="45" t="n">
        <f aca="false">IF(RoadmapMilestones[[#This Row],[_Task]]="","",INDEX(tsk_Variance,RoadmapMilestones[[#This Row],[_Task]]))</f>
        <v>3</v>
      </c>
    </row>
    <row r="23" customFormat="false" ht="15" hidden="false" customHeight="false" outlineLevel="0" collapsed="false">
      <c r="B23" s="43" t="n">
        <f aca="false">IFERROR(MATCH(SMALL(tsk_MilestoneOrder,ROW()-ROW(RoadmapMilestones[[#Headers],[_Task]])),tsk_MilestoneOrder,0),"")</f>
        <v>12</v>
      </c>
      <c r="C23" s="20" t="str">
        <f aca="false">IF(RoadmapMilestones[[#This Row],[_Task]]="","",INDEX(tsk_WBS,RoadmapMilestones[[#This Row],[_Task]])&amp;"")</f>
        <v>3.3</v>
      </c>
      <c r="D23" s="20" t="str">
        <f aca="false">IF(RoadmapMilestones[[#This Row],[_Task]]="","",INDEX(tsk_Name,RoadmapMilestones[[#This Row],[_Task]])&amp;"")</f>
        <v>Go-live</v>
      </c>
      <c r="E23" s="53" t="n">
        <f aca="false">IF(RoadmapMilestones[[#This Row],[_Task]]="","",IF(N(INDEX(tsk_PlanFinish,RoadmapMilestones[[#This Row],[_Task]]))=0,"",INDEX(tsk_PlanFinish,RoadmapMilestones[[#This Row],[_Task]])))</f>
        <v>46318</v>
      </c>
      <c r="F23" s="53" t="n">
        <f aca="false">IF(RoadmapMilestones[[#This Row],[_Task]]="","",IF(N(INDEX(tsk_Deadline,RoadmapMilestones[[#This Row],[_Task]]))=0,"",INDEX(tsk_Deadline,RoadmapMilestones[[#This Row],[_Task]])))</f>
        <v>46374</v>
      </c>
      <c r="G23" s="53" t="n">
        <f aca="false">IF(RoadmapMilestones[[#This Row],[_Task]]="","",IF(N(INDEX(tsk_FcFinish,RoadmapMilestones[[#This Row],[_Task]]))=0,"",INDEX(tsk_FcFinish,RoadmapMilestones[[#This Row],[_Task]])))</f>
        <v>46324</v>
      </c>
      <c r="H23" s="20" t="str">
        <f aca="false">IF(RoadmapMilestones[[#This Row],[_Task]]="","",INDEX(tsk_DeadlineCheck,RoadmapMilestones[[#This Row],[_Task]])&amp;"")</f>
        <v>OK</v>
      </c>
      <c r="I23" s="20" t="str">
        <f aca="false">IF(RoadmapMilestones[[#This Row],[_Task]]="","",INDEX(tsk_Status,RoadmapMilestones[[#This Row],[_Task]])&amp;"")</f>
        <v>Late Start</v>
      </c>
      <c r="J23" s="45" t="n">
        <f aca="false">IF(RoadmapMilestones[[#This Row],[_Task]]="","",INDEX(tsk_Variance,RoadmapMilestones[[#This Row],[_Task]]))</f>
        <v>4</v>
      </c>
    </row>
    <row r="24" customFormat="false" ht="15" hidden="false" customHeight="false" outlineLevel="0" collapsed="false">
      <c r="B24" s="43" t="str">
        <f aca="false">IFERROR(MATCH(SMALL(tsk_MilestoneOrder,ROW()-ROW(RoadmapMilestones[[#Headers],[_Task]])),tsk_MilestoneOrder,0),"")</f>
        <v/>
      </c>
      <c r="C24" s="20" t="str">
        <f aca="false">IF(RoadmapMilestones[[#This Row],[_Task]]="","",INDEX(tsk_WBS,RoadmapMilestones[[#This Row],[_Task]])&amp;"")</f>
        <v/>
      </c>
      <c r="D24" s="20" t="str">
        <f aca="false">IF(RoadmapMilestones[[#This Row],[_Task]]="","",INDEX(tsk_Name,RoadmapMilestones[[#This Row],[_Task]])&amp;"")</f>
        <v/>
      </c>
      <c r="E24" s="53" t="str">
        <f aca="false">IF(RoadmapMilestones[[#This Row],[_Task]]="","",IF(N(INDEX(tsk_PlanFinish,RoadmapMilestones[[#This Row],[_Task]]))=0,"",INDEX(tsk_PlanFinish,RoadmapMilestones[[#This Row],[_Task]])))</f>
        <v/>
      </c>
      <c r="F24" s="53" t="str">
        <f aca="false">IF(RoadmapMilestones[[#This Row],[_Task]]="","",IF(N(INDEX(tsk_Deadline,RoadmapMilestones[[#This Row],[_Task]]))=0,"",INDEX(tsk_Deadline,RoadmapMilestones[[#This Row],[_Task]])))</f>
        <v/>
      </c>
      <c r="G24" s="53" t="str">
        <f aca="false">IF(RoadmapMilestones[[#This Row],[_Task]]="","",IF(N(INDEX(tsk_FcFinish,RoadmapMilestones[[#This Row],[_Task]]))=0,"",INDEX(tsk_FcFinish,RoadmapMilestones[[#This Row],[_Task]])))</f>
        <v/>
      </c>
      <c r="H24" s="20" t="str">
        <f aca="false">IF(RoadmapMilestones[[#This Row],[_Task]]="","",INDEX(tsk_DeadlineCheck,RoadmapMilestones[[#This Row],[_Task]])&amp;"")</f>
        <v/>
      </c>
      <c r="I24" s="20" t="str">
        <f aca="false">IF(RoadmapMilestones[[#This Row],[_Task]]="","",INDEX(tsk_Status,RoadmapMilestones[[#This Row],[_Task]])&amp;"")</f>
        <v/>
      </c>
      <c r="J24" s="45" t="str">
        <f aca="false">IF(RoadmapMilestones[[#This Row],[_Task]]="","",INDEX(tsk_Variance,RoadmapMilestones[[#This Row],[_Task]]))</f>
        <v/>
      </c>
    </row>
    <row r="25" customFormat="false" ht="15" hidden="false" customHeight="false" outlineLevel="0" collapsed="false">
      <c r="B25" s="43" t="str">
        <f aca="false">IFERROR(MATCH(SMALL(tsk_MilestoneOrder,ROW()-ROW(RoadmapMilestones[[#Headers],[_Task]])),tsk_MilestoneOrder,0),"")</f>
        <v/>
      </c>
      <c r="C25" s="20" t="str">
        <f aca="false">IF(RoadmapMilestones[[#This Row],[_Task]]="","",INDEX(tsk_WBS,RoadmapMilestones[[#This Row],[_Task]])&amp;"")</f>
        <v/>
      </c>
      <c r="D25" s="20" t="str">
        <f aca="false">IF(RoadmapMilestones[[#This Row],[_Task]]="","",INDEX(tsk_Name,RoadmapMilestones[[#This Row],[_Task]])&amp;"")</f>
        <v/>
      </c>
      <c r="E25" s="53" t="str">
        <f aca="false">IF(RoadmapMilestones[[#This Row],[_Task]]="","",IF(N(INDEX(tsk_PlanFinish,RoadmapMilestones[[#This Row],[_Task]]))=0,"",INDEX(tsk_PlanFinish,RoadmapMilestones[[#This Row],[_Task]])))</f>
        <v/>
      </c>
      <c r="F25" s="53" t="str">
        <f aca="false">IF(RoadmapMilestones[[#This Row],[_Task]]="","",IF(N(INDEX(tsk_Deadline,RoadmapMilestones[[#This Row],[_Task]]))=0,"",INDEX(tsk_Deadline,RoadmapMilestones[[#This Row],[_Task]])))</f>
        <v/>
      </c>
      <c r="G25" s="53" t="str">
        <f aca="false">IF(RoadmapMilestones[[#This Row],[_Task]]="","",IF(N(INDEX(tsk_FcFinish,RoadmapMilestones[[#This Row],[_Task]]))=0,"",INDEX(tsk_FcFinish,RoadmapMilestones[[#This Row],[_Task]])))</f>
        <v/>
      </c>
      <c r="H25" s="20" t="str">
        <f aca="false">IF(RoadmapMilestones[[#This Row],[_Task]]="","",INDEX(tsk_DeadlineCheck,RoadmapMilestones[[#This Row],[_Task]])&amp;"")</f>
        <v/>
      </c>
      <c r="I25" s="20" t="str">
        <f aca="false">IF(RoadmapMilestones[[#This Row],[_Task]]="","",INDEX(tsk_Status,RoadmapMilestones[[#This Row],[_Task]])&amp;"")</f>
        <v/>
      </c>
      <c r="J25" s="45" t="str">
        <f aca="false">IF(RoadmapMilestones[[#This Row],[_Task]]="","",INDEX(tsk_Variance,RoadmapMilestones[[#This Row],[_Task]]))</f>
        <v/>
      </c>
    </row>
    <row r="26" customFormat="false" ht="15" hidden="false" customHeight="false" outlineLevel="0" collapsed="false">
      <c r="B26" s="43" t="str">
        <f aca="false">IFERROR(MATCH(SMALL(tsk_MilestoneOrder,ROW()-ROW(RoadmapMilestones[[#Headers],[_Task]])),tsk_MilestoneOrder,0),"")</f>
        <v/>
      </c>
      <c r="C26" s="20" t="str">
        <f aca="false">IF(RoadmapMilestones[[#This Row],[_Task]]="","",INDEX(tsk_WBS,RoadmapMilestones[[#This Row],[_Task]])&amp;"")</f>
        <v/>
      </c>
      <c r="D26" s="20" t="str">
        <f aca="false">IF(RoadmapMilestones[[#This Row],[_Task]]="","",INDEX(tsk_Name,RoadmapMilestones[[#This Row],[_Task]])&amp;"")</f>
        <v/>
      </c>
      <c r="E26" s="53" t="str">
        <f aca="false">IF(RoadmapMilestones[[#This Row],[_Task]]="","",IF(N(INDEX(tsk_PlanFinish,RoadmapMilestones[[#This Row],[_Task]]))=0,"",INDEX(tsk_PlanFinish,RoadmapMilestones[[#This Row],[_Task]])))</f>
        <v/>
      </c>
      <c r="F26" s="53" t="str">
        <f aca="false">IF(RoadmapMilestones[[#This Row],[_Task]]="","",IF(N(INDEX(tsk_Deadline,RoadmapMilestones[[#This Row],[_Task]]))=0,"",INDEX(tsk_Deadline,RoadmapMilestones[[#This Row],[_Task]])))</f>
        <v/>
      </c>
      <c r="G26" s="53" t="str">
        <f aca="false">IF(RoadmapMilestones[[#This Row],[_Task]]="","",IF(N(INDEX(tsk_FcFinish,RoadmapMilestones[[#This Row],[_Task]]))=0,"",INDEX(tsk_FcFinish,RoadmapMilestones[[#This Row],[_Task]])))</f>
        <v/>
      </c>
      <c r="H26" s="20" t="str">
        <f aca="false">IF(RoadmapMilestones[[#This Row],[_Task]]="","",INDEX(tsk_DeadlineCheck,RoadmapMilestones[[#This Row],[_Task]])&amp;"")</f>
        <v/>
      </c>
      <c r="I26" s="20" t="str">
        <f aca="false">IF(RoadmapMilestones[[#This Row],[_Task]]="","",INDEX(tsk_Status,RoadmapMilestones[[#This Row],[_Task]])&amp;"")</f>
        <v/>
      </c>
      <c r="J26" s="45" t="str">
        <f aca="false">IF(RoadmapMilestones[[#This Row],[_Task]]="","",INDEX(tsk_Variance,RoadmapMilestones[[#This Row],[_Task]]))</f>
        <v/>
      </c>
    </row>
    <row r="27" customFormat="false" ht="15" hidden="false" customHeight="false" outlineLevel="0" collapsed="false">
      <c r="B27" s="43" t="str">
        <f aca="false">IFERROR(MATCH(SMALL(tsk_MilestoneOrder,ROW()-ROW(RoadmapMilestones[[#Headers],[_Task]])),tsk_MilestoneOrder,0),"")</f>
        <v/>
      </c>
      <c r="C27" s="20" t="str">
        <f aca="false">IF(RoadmapMilestones[[#This Row],[_Task]]="","",INDEX(tsk_WBS,RoadmapMilestones[[#This Row],[_Task]])&amp;"")</f>
        <v/>
      </c>
      <c r="D27" s="20" t="str">
        <f aca="false">IF(RoadmapMilestones[[#This Row],[_Task]]="","",INDEX(tsk_Name,RoadmapMilestones[[#This Row],[_Task]])&amp;"")</f>
        <v/>
      </c>
      <c r="E27" s="53" t="str">
        <f aca="false">IF(RoadmapMilestones[[#This Row],[_Task]]="","",IF(N(INDEX(tsk_PlanFinish,RoadmapMilestones[[#This Row],[_Task]]))=0,"",INDEX(tsk_PlanFinish,RoadmapMilestones[[#This Row],[_Task]])))</f>
        <v/>
      </c>
      <c r="F27" s="53" t="str">
        <f aca="false">IF(RoadmapMilestones[[#This Row],[_Task]]="","",IF(N(INDEX(tsk_Deadline,RoadmapMilestones[[#This Row],[_Task]]))=0,"",INDEX(tsk_Deadline,RoadmapMilestones[[#This Row],[_Task]])))</f>
        <v/>
      </c>
      <c r="G27" s="53" t="str">
        <f aca="false">IF(RoadmapMilestones[[#This Row],[_Task]]="","",IF(N(INDEX(tsk_FcFinish,RoadmapMilestones[[#This Row],[_Task]]))=0,"",INDEX(tsk_FcFinish,RoadmapMilestones[[#This Row],[_Task]])))</f>
        <v/>
      </c>
      <c r="H27" s="20" t="str">
        <f aca="false">IF(RoadmapMilestones[[#This Row],[_Task]]="","",INDEX(tsk_DeadlineCheck,RoadmapMilestones[[#This Row],[_Task]])&amp;"")</f>
        <v/>
      </c>
      <c r="I27" s="20" t="str">
        <f aca="false">IF(RoadmapMilestones[[#This Row],[_Task]]="","",INDEX(tsk_Status,RoadmapMilestones[[#This Row],[_Task]])&amp;"")</f>
        <v/>
      </c>
      <c r="J27" s="45" t="str">
        <f aca="false">IF(RoadmapMilestones[[#This Row],[_Task]]="","",INDEX(tsk_Variance,RoadmapMilestones[[#This Row],[_Task]]))</f>
        <v/>
      </c>
    </row>
    <row r="28" customFormat="false" ht="15" hidden="false" customHeight="false" outlineLevel="0" collapsed="false">
      <c r="B28" s="43" t="str">
        <f aca="false">IFERROR(MATCH(SMALL(tsk_MilestoneOrder,ROW()-ROW(RoadmapMilestones[[#Headers],[_Task]])),tsk_MilestoneOrder,0),"")</f>
        <v/>
      </c>
      <c r="C28" s="20" t="str">
        <f aca="false">IF(RoadmapMilestones[[#This Row],[_Task]]="","",INDEX(tsk_WBS,RoadmapMilestones[[#This Row],[_Task]])&amp;"")</f>
        <v/>
      </c>
      <c r="D28" s="20" t="str">
        <f aca="false">IF(RoadmapMilestones[[#This Row],[_Task]]="","",INDEX(tsk_Name,RoadmapMilestones[[#This Row],[_Task]])&amp;"")</f>
        <v/>
      </c>
      <c r="E28" s="53" t="str">
        <f aca="false">IF(RoadmapMilestones[[#This Row],[_Task]]="","",IF(N(INDEX(tsk_PlanFinish,RoadmapMilestones[[#This Row],[_Task]]))=0,"",INDEX(tsk_PlanFinish,RoadmapMilestones[[#This Row],[_Task]])))</f>
        <v/>
      </c>
      <c r="F28" s="53" t="str">
        <f aca="false">IF(RoadmapMilestones[[#This Row],[_Task]]="","",IF(N(INDEX(tsk_Deadline,RoadmapMilestones[[#This Row],[_Task]]))=0,"",INDEX(tsk_Deadline,RoadmapMilestones[[#This Row],[_Task]])))</f>
        <v/>
      </c>
      <c r="G28" s="53" t="str">
        <f aca="false">IF(RoadmapMilestones[[#This Row],[_Task]]="","",IF(N(INDEX(tsk_FcFinish,RoadmapMilestones[[#This Row],[_Task]]))=0,"",INDEX(tsk_FcFinish,RoadmapMilestones[[#This Row],[_Task]])))</f>
        <v/>
      </c>
      <c r="H28" s="20" t="str">
        <f aca="false">IF(RoadmapMilestones[[#This Row],[_Task]]="","",INDEX(tsk_DeadlineCheck,RoadmapMilestones[[#This Row],[_Task]])&amp;"")</f>
        <v/>
      </c>
      <c r="I28" s="20" t="str">
        <f aca="false">IF(RoadmapMilestones[[#This Row],[_Task]]="","",INDEX(tsk_Status,RoadmapMilestones[[#This Row],[_Task]])&amp;"")</f>
        <v/>
      </c>
      <c r="J28" s="45" t="str">
        <f aca="false">IF(RoadmapMilestones[[#This Row],[_Task]]="","",INDEX(tsk_Variance,RoadmapMilestones[[#This Row],[_Task]]))</f>
        <v/>
      </c>
    </row>
    <row r="29" customFormat="false" ht="15" hidden="false" customHeight="false" outlineLevel="0" collapsed="false">
      <c r="B29" s="43" t="str">
        <f aca="false">IFERROR(MATCH(SMALL(tsk_MilestoneOrder,ROW()-ROW(RoadmapMilestones[[#Headers],[_Task]])),tsk_MilestoneOrder,0),"")</f>
        <v/>
      </c>
      <c r="C29" s="20" t="str">
        <f aca="false">IF(RoadmapMilestones[[#This Row],[_Task]]="","",INDEX(tsk_WBS,RoadmapMilestones[[#This Row],[_Task]])&amp;"")</f>
        <v/>
      </c>
      <c r="D29" s="20" t="str">
        <f aca="false">IF(RoadmapMilestones[[#This Row],[_Task]]="","",INDEX(tsk_Name,RoadmapMilestones[[#This Row],[_Task]])&amp;"")</f>
        <v/>
      </c>
      <c r="E29" s="53" t="str">
        <f aca="false">IF(RoadmapMilestones[[#This Row],[_Task]]="","",IF(N(INDEX(tsk_PlanFinish,RoadmapMilestones[[#This Row],[_Task]]))=0,"",INDEX(tsk_PlanFinish,RoadmapMilestones[[#This Row],[_Task]])))</f>
        <v/>
      </c>
      <c r="F29" s="53" t="str">
        <f aca="false">IF(RoadmapMilestones[[#This Row],[_Task]]="","",IF(N(INDEX(tsk_Deadline,RoadmapMilestones[[#This Row],[_Task]]))=0,"",INDEX(tsk_Deadline,RoadmapMilestones[[#This Row],[_Task]])))</f>
        <v/>
      </c>
      <c r="G29" s="53" t="str">
        <f aca="false">IF(RoadmapMilestones[[#This Row],[_Task]]="","",IF(N(INDEX(tsk_FcFinish,RoadmapMilestones[[#This Row],[_Task]]))=0,"",INDEX(tsk_FcFinish,RoadmapMilestones[[#This Row],[_Task]])))</f>
        <v/>
      </c>
      <c r="H29" s="20" t="str">
        <f aca="false">IF(RoadmapMilestones[[#This Row],[_Task]]="","",INDEX(tsk_DeadlineCheck,RoadmapMilestones[[#This Row],[_Task]])&amp;"")</f>
        <v/>
      </c>
      <c r="I29" s="20" t="str">
        <f aca="false">IF(RoadmapMilestones[[#This Row],[_Task]]="","",INDEX(tsk_Status,RoadmapMilestones[[#This Row],[_Task]])&amp;"")</f>
        <v/>
      </c>
      <c r="J29" s="45" t="str">
        <f aca="false">IF(RoadmapMilestones[[#This Row],[_Task]]="","",INDEX(tsk_Variance,RoadmapMilestones[[#This Row],[_Task]]))</f>
        <v/>
      </c>
    </row>
    <row r="30" customFormat="false" ht="15" hidden="false" customHeight="false" outlineLevel="0" collapsed="false">
      <c r="B30" s="43" t="str">
        <f aca="false">IFERROR(MATCH(SMALL(tsk_MilestoneOrder,ROW()-ROW(RoadmapMilestones[[#Headers],[_Task]])),tsk_MilestoneOrder,0),"")</f>
        <v/>
      </c>
      <c r="C30" s="20" t="str">
        <f aca="false">IF(RoadmapMilestones[[#This Row],[_Task]]="","",INDEX(tsk_WBS,RoadmapMilestones[[#This Row],[_Task]])&amp;"")</f>
        <v/>
      </c>
      <c r="D30" s="20" t="str">
        <f aca="false">IF(RoadmapMilestones[[#This Row],[_Task]]="","",INDEX(tsk_Name,RoadmapMilestones[[#This Row],[_Task]])&amp;"")</f>
        <v/>
      </c>
      <c r="E30" s="53" t="str">
        <f aca="false">IF(RoadmapMilestones[[#This Row],[_Task]]="","",IF(N(INDEX(tsk_PlanFinish,RoadmapMilestones[[#This Row],[_Task]]))=0,"",INDEX(tsk_PlanFinish,RoadmapMilestones[[#This Row],[_Task]])))</f>
        <v/>
      </c>
      <c r="F30" s="53" t="str">
        <f aca="false">IF(RoadmapMilestones[[#This Row],[_Task]]="","",IF(N(INDEX(tsk_Deadline,RoadmapMilestones[[#This Row],[_Task]]))=0,"",INDEX(tsk_Deadline,RoadmapMilestones[[#This Row],[_Task]])))</f>
        <v/>
      </c>
      <c r="G30" s="53" t="str">
        <f aca="false">IF(RoadmapMilestones[[#This Row],[_Task]]="","",IF(N(INDEX(tsk_FcFinish,RoadmapMilestones[[#This Row],[_Task]]))=0,"",INDEX(tsk_FcFinish,RoadmapMilestones[[#This Row],[_Task]])))</f>
        <v/>
      </c>
      <c r="H30" s="20" t="str">
        <f aca="false">IF(RoadmapMilestones[[#This Row],[_Task]]="","",INDEX(tsk_DeadlineCheck,RoadmapMilestones[[#This Row],[_Task]])&amp;"")</f>
        <v/>
      </c>
      <c r="I30" s="20" t="str">
        <f aca="false">IF(RoadmapMilestones[[#This Row],[_Task]]="","",INDEX(tsk_Status,RoadmapMilestones[[#This Row],[_Task]])&amp;"")</f>
        <v/>
      </c>
      <c r="J30" s="45" t="str">
        <f aca="false">IF(RoadmapMilestones[[#This Row],[_Task]]="","",INDEX(tsk_Variance,RoadmapMilestones[[#This Row],[_Task]]))</f>
        <v/>
      </c>
    </row>
    <row r="31" customFormat="false" ht="15" hidden="false" customHeight="false" outlineLevel="0" collapsed="false">
      <c r="B31" s="43" t="str">
        <f aca="false">IFERROR(MATCH(SMALL(tsk_MilestoneOrder,ROW()-ROW(RoadmapMilestones[[#Headers],[_Task]])),tsk_MilestoneOrder,0),"")</f>
        <v/>
      </c>
      <c r="C31" s="20" t="str">
        <f aca="false">IF(RoadmapMilestones[[#This Row],[_Task]]="","",INDEX(tsk_WBS,RoadmapMilestones[[#This Row],[_Task]])&amp;"")</f>
        <v/>
      </c>
      <c r="D31" s="20" t="str">
        <f aca="false">IF(RoadmapMilestones[[#This Row],[_Task]]="","",INDEX(tsk_Name,RoadmapMilestones[[#This Row],[_Task]])&amp;"")</f>
        <v/>
      </c>
      <c r="E31" s="53" t="str">
        <f aca="false">IF(RoadmapMilestones[[#This Row],[_Task]]="","",IF(N(INDEX(tsk_PlanFinish,RoadmapMilestones[[#This Row],[_Task]]))=0,"",INDEX(tsk_PlanFinish,RoadmapMilestones[[#This Row],[_Task]])))</f>
        <v/>
      </c>
      <c r="F31" s="53" t="str">
        <f aca="false">IF(RoadmapMilestones[[#This Row],[_Task]]="","",IF(N(INDEX(tsk_Deadline,RoadmapMilestones[[#This Row],[_Task]]))=0,"",INDEX(tsk_Deadline,RoadmapMilestones[[#This Row],[_Task]])))</f>
        <v/>
      </c>
      <c r="G31" s="53" t="str">
        <f aca="false">IF(RoadmapMilestones[[#This Row],[_Task]]="","",IF(N(INDEX(tsk_FcFinish,RoadmapMilestones[[#This Row],[_Task]]))=0,"",INDEX(tsk_FcFinish,RoadmapMilestones[[#This Row],[_Task]])))</f>
        <v/>
      </c>
      <c r="H31" s="20" t="str">
        <f aca="false">IF(RoadmapMilestones[[#This Row],[_Task]]="","",INDEX(tsk_DeadlineCheck,RoadmapMilestones[[#This Row],[_Task]])&amp;"")</f>
        <v/>
      </c>
      <c r="I31" s="20" t="str">
        <f aca="false">IF(RoadmapMilestones[[#This Row],[_Task]]="","",INDEX(tsk_Status,RoadmapMilestones[[#This Row],[_Task]])&amp;"")</f>
        <v/>
      </c>
      <c r="J31" s="45" t="str">
        <f aca="false">IF(RoadmapMilestones[[#This Row],[_Task]]="","",INDEX(tsk_Variance,RoadmapMilestones[[#This Row],[_Task]]))</f>
        <v/>
      </c>
    </row>
    <row r="32" customFormat="false" ht="15" hidden="false" customHeight="false" outlineLevel="0" collapsed="false">
      <c r="B32" s="43" t="str">
        <f aca="false">IFERROR(MATCH(SMALL(tsk_MilestoneOrder,ROW()-ROW(RoadmapMilestones[[#Headers],[_Task]])),tsk_MilestoneOrder,0),"")</f>
        <v/>
      </c>
      <c r="C32" s="20" t="str">
        <f aca="false">IF(RoadmapMilestones[[#This Row],[_Task]]="","",INDEX(tsk_WBS,RoadmapMilestones[[#This Row],[_Task]])&amp;"")</f>
        <v/>
      </c>
      <c r="D32" s="20" t="str">
        <f aca="false">IF(RoadmapMilestones[[#This Row],[_Task]]="","",INDEX(tsk_Name,RoadmapMilestones[[#This Row],[_Task]])&amp;"")</f>
        <v/>
      </c>
      <c r="E32" s="53" t="str">
        <f aca="false">IF(RoadmapMilestones[[#This Row],[_Task]]="","",IF(N(INDEX(tsk_PlanFinish,RoadmapMilestones[[#This Row],[_Task]]))=0,"",INDEX(tsk_PlanFinish,RoadmapMilestones[[#This Row],[_Task]])))</f>
        <v/>
      </c>
      <c r="F32" s="53" t="str">
        <f aca="false">IF(RoadmapMilestones[[#This Row],[_Task]]="","",IF(N(INDEX(tsk_Deadline,RoadmapMilestones[[#This Row],[_Task]]))=0,"",INDEX(tsk_Deadline,RoadmapMilestones[[#This Row],[_Task]])))</f>
        <v/>
      </c>
      <c r="G32" s="53" t="str">
        <f aca="false">IF(RoadmapMilestones[[#This Row],[_Task]]="","",IF(N(INDEX(tsk_FcFinish,RoadmapMilestones[[#This Row],[_Task]]))=0,"",INDEX(tsk_FcFinish,RoadmapMilestones[[#This Row],[_Task]])))</f>
        <v/>
      </c>
      <c r="H32" s="20" t="str">
        <f aca="false">IF(RoadmapMilestones[[#This Row],[_Task]]="","",INDEX(tsk_DeadlineCheck,RoadmapMilestones[[#This Row],[_Task]])&amp;"")</f>
        <v/>
      </c>
      <c r="I32" s="20" t="str">
        <f aca="false">IF(RoadmapMilestones[[#This Row],[_Task]]="","",INDEX(tsk_Status,RoadmapMilestones[[#This Row],[_Task]])&amp;"")</f>
        <v/>
      </c>
      <c r="J32" s="45" t="str">
        <f aca="false">IF(RoadmapMilestones[[#This Row],[_Task]]="","",INDEX(tsk_Variance,RoadmapMilestones[[#This Row],[_Task]]))</f>
        <v/>
      </c>
    </row>
    <row r="33" customFormat="false" ht="15" hidden="false" customHeight="false" outlineLevel="0" collapsed="false">
      <c r="B33" s="43" t="str">
        <f aca="false">IFERROR(MATCH(SMALL(tsk_MilestoneOrder,ROW()-ROW(RoadmapMilestones[[#Headers],[_Task]])),tsk_MilestoneOrder,0),"")</f>
        <v/>
      </c>
      <c r="C33" s="20" t="str">
        <f aca="false">IF(RoadmapMilestones[[#This Row],[_Task]]="","",INDEX(tsk_WBS,RoadmapMilestones[[#This Row],[_Task]])&amp;"")</f>
        <v/>
      </c>
      <c r="D33" s="20" t="str">
        <f aca="false">IF(RoadmapMilestones[[#This Row],[_Task]]="","",INDEX(tsk_Name,RoadmapMilestones[[#This Row],[_Task]])&amp;"")</f>
        <v/>
      </c>
      <c r="E33" s="53" t="str">
        <f aca="false">IF(RoadmapMilestones[[#This Row],[_Task]]="","",IF(N(INDEX(tsk_PlanFinish,RoadmapMilestones[[#This Row],[_Task]]))=0,"",INDEX(tsk_PlanFinish,RoadmapMilestones[[#This Row],[_Task]])))</f>
        <v/>
      </c>
      <c r="F33" s="53" t="str">
        <f aca="false">IF(RoadmapMilestones[[#This Row],[_Task]]="","",IF(N(INDEX(tsk_Deadline,RoadmapMilestones[[#This Row],[_Task]]))=0,"",INDEX(tsk_Deadline,RoadmapMilestones[[#This Row],[_Task]])))</f>
        <v/>
      </c>
      <c r="G33" s="53" t="str">
        <f aca="false">IF(RoadmapMilestones[[#This Row],[_Task]]="","",IF(N(INDEX(tsk_FcFinish,RoadmapMilestones[[#This Row],[_Task]]))=0,"",INDEX(tsk_FcFinish,RoadmapMilestones[[#This Row],[_Task]])))</f>
        <v/>
      </c>
      <c r="H33" s="20" t="str">
        <f aca="false">IF(RoadmapMilestones[[#This Row],[_Task]]="","",INDEX(tsk_DeadlineCheck,RoadmapMilestones[[#This Row],[_Task]])&amp;"")</f>
        <v/>
      </c>
      <c r="I33" s="20" t="str">
        <f aca="false">IF(RoadmapMilestones[[#This Row],[_Task]]="","",INDEX(tsk_Status,RoadmapMilestones[[#This Row],[_Task]])&amp;"")</f>
        <v/>
      </c>
      <c r="J33" s="45" t="str">
        <f aca="false">IF(RoadmapMilestones[[#This Row],[_Task]]="","",INDEX(tsk_Variance,RoadmapMilestones[[#This Row],[_Task]]))</f>
        <v/>
      </c>
    </row>
    <row r="34" customFormat="false" ht="15" hidden="false" customHeight="false" outlineLevel="0" collapsed="false">
      <c r="B34" s="43" t="str">
        <f aca="false">IFERROR(MATCH(SMALL(tsk_MilestoneOrder,ROW()-ROW(RoadmapMilestones[[#Headers],[_Task]])),tsk_MilestoneOrder,0),"")</f>
        <v/>
      </c>
      <c r="C34" s="20" t="str">
        <f aca="false">IF(RoadmapMilestones[[#This Row],[_Task]]="","",INDEX(tsk_WBS,RoadmapMilestones[[#This Row],[_Task]])&amp;"")</f>
        <v/>
      </c>
      <c r="D34" s="20" t="str">
        <f aca="false">IF(RoadmapMilestones[[#This Row],[_Task]]="","",INDEX(tsk_Name,RoadmapMilestones[[#This Row],[_Task]])&amp;"")</f>
        <v/>
      </c>
      <c r="E34" s="53" t="str">
        <f aca="false">IF(RoadmapMilestones[[#This Row],[_Task]]="","",IF(N(INDEX(tsk_PlanFinish,RoadmapMilestones[[#This Row],[_Task]]))=0,"",INDEX(tsk_PlanFinish,RoadmapMilestones[[#This Row],[_Task]])))</f>
        <v/>
      </c>
      <c r="F34" s="53" t="str">
        <f aca="false">IF(RoadmapMilestones[[#This Row],[_Task]]="","",IF(N(INDEX(tsk_Deadline,RoadmapMilestones[[#This Row],[_Task]]))=0,"",INDEX(tsk_Deadline,RoadmapMilestones[[#This Row],[_Task]])))</f>
        <v/>
      </c>
      <c r="G34" s="53" t="str">
        <f aca="false">IF(RoadmapMilestones[[#This Row],[_Task]]="","",IF(N(INDEX(tsk_FcFinish,RoadmapMilestones[[#This Row],[_Task]]))=0,"",INDEX(tsk_FcFinish,RoadmapMilestones[[#This Row],[_Task]])))</f>
        <v/>
      </c>
      <c r="H34" s="20" t="str">
        <f aca="false">IF(RoadmapMilestones[[#This Row],[_Task]]="","",INDEX(tsk_DeadlineCheck,RoadmapMilestones[[#This Row],[_Task]])&amp;"")</f>
        <v/>
      </c>
      <c r="I34" s="20" t="str">
        <f aca="false">IF(RoadmapMilestones[[#This Row],[_Task]]="","",INDEX(tsk_Status,RoadmapMilestones[[#This Row],[_Task]])&amp;"")</f>
        <v/>
      </c>
      <c r="J34" s="45" t="str">
        <f aca="false">IF(RoadmapMilestones[[#This Row],[_Task]]="","",INDEX(tsk_Variance,RoadmapMilestones[[#This Row],[_Task]]))</f>
        <v/>
      </c>
    </row>
    <row r="35" customFormat="false" ht="15" hidden="false" customHeight="false" outlineLevel="0" collapsed="false">
      <c r="B35" s="43" t="str">
        <f aca="false">IFERROR(MATCH(SMALL(tsk_MilestoneOrder,ROW()-ROW(RoadmapMilestones[[#Headers],[_Task]])),tsk_MilestoneOrder,0),"")</f>
        <v/>
      </c>
      <c r="C35" s="20" t="str">
        <f aca="false">IF(RoadmapMilestones[[#This Row],[_Task]]="","",INDEX(tsk_WBS,RoadmapMilestones[[#This Row],[_Task]])&amp;"")</f>
        <v/>
      </c>
      <c r="D35" s="20" t="str">
        <f aca="false">IF(RoadmapMilestones[[#This Row],[_Task]]="","",INDEX(tsk_Name,RoadmapMilestones[[#This Row],[_Task]])&amp;"")</f>
        <v/>
      </c>
      <c r="E35" s="53" t="str">
        <f aca="false">IF(RoadmapMilestones[[#This Row],[_Task]]="","",IF(N(INDEX(tsk_PlanFinish,RoadmapMilestones[[#This Row],[_Task]]))=0,"",INDEX(tsk_PlanFinish,RoadmapMilestones[[#This Row],[_Task]])))</f>
        <v/>
      </c>
      <c r="F35" s="53" t="str">
        <f aca="false">IF(RoadmapMilestones[[#This Row],[_Task]]="","",IF(N(INDEX(tsk_Deadline,RoadmapMilestones[[#This Row],[_Task]]))=0,"",INDEX(tsk_Deadline,RoadmapMilestones[[#This Row],[_Task]])))</f>
        <v/>
      </c>
      <c r="G35" s="53" t="str">
        <f aca="false">IF(RoadmapMilestones[[#This Row],[_Task]]="","",IF(N(INDEX(tsk_FcFinish,RoadmapMilestones[[#This Row],[_Task]]))=0,"",INDEX(tsk_FcFinish,RoadmapMilestones[[#This Row],[_Task]])))</f>
        <v/>
      </c>
      <c r="H35" s="20" t="str">
        <f aca="false">IF(RoadmapMilestones[[#This Row],[_Task]]="","",INDEX(tsk_DeadlineCheck,RoadmapMilestones[[#This Row],[_Task]])&amp;"")</f>
        <v/>
      </c>
      <c r="I35" s="20" t="str">
        <f aca="false">IF(RoadmapMilestones[[#This Row],[_Task]]="","",INDEX(tsk_Status,RoadmapMilestones[[#This Row],[_Task]])&amp;"")</f>
        <v/>
      </c>
      <c r="J35" s="45" t="str">
        <f aca="false">IF(RoadmapMilestones[[#This Row],[_Task]]="","",INDEX(tsk_Variance,RoadmapMilestones[[#This Row],[_Task]]))</f>
        <v/>
      </c>
    </row>
    <row r="37" customFormat="false" ht="15" hidden="false" customHeight="false" outlineLevel="0" collapsed="false">
      <c r="C37" s="54"/>
      <c r="D37" s="55" t="s">
        <v>205</v>
      </c>
      <c r="E37" s="56"/>
      <c r="F37" s="55" t="s">
        <v>206</v>
      </c>
      <c r="G37" s="57"/>
      <c r="H37" s="55" t="s">
        <v>207</v>
      </c>
      <c r="I37" s="58"/>
      <c r="J37" s="55" t="s">
        <v>208</v>
      </c>
    </row>
    <row r="38" customFormat="false" ht="15" hidden="false" customHeight="false" outlineLevel="0" collapsed="false">
      <c r="C38" s="59"/>
      <c r="D38" s="55" t="s">
        <v>202</v>
      </c>
      <c r="E38" s="60"/>
      <c r="F38" s="55" t="s">
        <v>209</v>
      </c>
      <c r="G38" s="61"/>
      <c r="H38" s="55" t="s">
        <v>210</v>
      </c>
    </row>
    <row r="39" customFormat="false" ht="15" hidden="false" customHeight="false" outlineLevel="0" collapsed="false">
      <c r="C39" s="2" t="s">
        <v>211</v>
      </c>
    </row>
  </sheetData>
  <sheetProtection sheet="true" formatColumns="false" formatRows="false" sort="false" autoFilter="false"/>
  <conditionalFormatting sqref="M8:M17">
    <cfRule type="expression" priority="2" aboveAverage="0" equalAverage="0" bottom="0" percent="0" rank="0" text="" dxfId="19">
      <formula>M8="Green"</formula>
    </cfRule>
    <cfRule type="expression" priority="3" aboveAverage="0" equalAverage="0" bottom="0" percent="0" rank="0" text="" dxfId="20">
      <formula>M8="Amber"</formula>
    </cfRule>
    <cfRule type="expression" priority="4" aboveAverage="0" equalAverage="0" bottom="0" percent="0" rank="0" text="" dxfId="21">
      <formula>M8="Red"</formula>
    </cfRule>
  </conditionalFormatting>
  <conditionalFormatting sqref="R8:AI17">
    <cfRule type="expression" priority="5" aboveAverage="0" equalAverage="0" bottom="0" percent="0" rank="0" text="" dxfId="26">
      <formula>AND(AND(ISNUMBER($H8),ISNUMBER($I8),R$5&lt;=$I8,EDATE(R$5,1)&gt;$H8),N($J8)&gt;0,R$5&lt;$H8+($I8-$H8+1)*N($J8))</formula>
    </cfRule>
    <cfRule type="expression" priority="6" aboveAverage="0" equalAverage="0" bottom="0" percent="0" rank="0" text="" dxfId="27">
      <formula>AND(AND(ISNUMBER($H8),ISNUMBER($I8),R$5&lt;=$I8,EDATE(R$5,1)&gt;$H8),N($K8)&gt;0)</formula>
    </cfRule>
    <cfRule type="expression" priority="7" aboveAverage="0" equalAverage="0" bottom="0" percent="0" rank="0" text="" dxfId="28">
      <formula>AND(ISNUMBER($H8),ISNUMBER($I8),R$5&lt;=$I8,EDATE(R$5,1)&gt;$H8)</formula>
    </cfRule>
    <cfRule type="expression" priority="8" aboveAverage="0" equalAverage="0" bottom="0" percent="0" rank="0" text="" dxfId="29">
      <formula>AND(ISNUMBER($F8),ISNUMBER($G8),R$5&lt;=$G8,EDATE(R$5,1)&gt;$F8)</formula>
    </cfRule>
    <cfRule type="expression" priority="9" aboveAverage="0" equalAverage="0" bottom="0" percent="0" rank="0" text="" dxfId="30">
      <formula>AND(StatusDate&gt;=R$5,StatusDate&lt;EDATE(R$5,1))</formula>
    </cfRule>
  </conditionalFormatting>
  <conditionalFormatting sqref="R21:AI35">
    <cfRule type="expression" priority="10" aboveAverage="0" equalAverage="0" bottom="0" percent="0" rank="0" text="" dxfId="31">
      <formula>AND(AND(ISNUMBER($G21),$G21&gt;=R$5,$G21&lt;EDATE(R$5,1)),LEFT($H21,4)="Late")</formula>
    </cfRule>
    <cfRule type="expression" priority="11" aboveAverage="0" equalAverage="0" bottom="0" percent="0" rank="0" text="" dxfId="32">
      <formula>AND(ISNUMBER($G21),$G21&gt;=R$5,$G21&lt;EDATE(R$5,1))</formula>
    </cfRule>
    <cfRule type="expression" priority="12" aboveAverage="0" equalAverage="0" bottom="0" percent="0" rank="0" text="" dxfId="29">
      <formula>AND(ISNUMBER($E21),$E21&gt;=R$5,$E21&lt;EDATE(R$5,1))</formula>
    </cfRule>
    <cfRule type="expression" priority="13" aboveAverage="0" equalAverage="0" bottom="0" percent="0" rank="0" text="" dxfId="33">
      <formula>AND(ISNUMBER($F21),$F21&gt;=R$5,$F21&lt;EDATE(R$5,1))</formula>
    </cfRule>
    <cfRule type="expression" priority="14" aboveAverage="0" equalAverage="0" bottom="0" percent="0" rank="0" text="" dxfId="30">
      <formula>AND(StatusDate&gt;=R$5,StatusDate&lt;EDATE(R$5,1))</formula>
    </cfRule>
  </conditionalFormatting>
  <conditionalFormatting sqref="H21:H35">
    <cfRule type="expression" priority="15" aboveAverage="0" equalAverage="0" bottom="0" percent="0" rank="0" text="" dxfId="24">
      <formula>LEFT($H21,4)="Late"</formula>
    </cfRule>
  </conditionalFormatting>
  <printOptions headings="false" gridLines="false" gridLinesSet="true" horizontalCentered="true" verticalCentered="false"/>
  <pageMargins left="0.75" right="0.75" top="0.6" bottom="0.6" header="0.3" footer="0.3"/>
  <pageSetup paperSize="1" scale="100" fitToWidth="1" fitToHeight="1" pageOrder="downThenOver" orientation="landscape" blackAndWhite="false" draft="false" cellComments="none" horizontalDpi="300" verticalDpi="300" copies="1"/>
  <headerFooter differentFirst="false" differentOddEven="false">
    <oddHeader>&amp;L&amp;"Arial,Regular"&amp;8 &amp;A&amp;R&amp;"Arial,Regular"&amp;8 &amp;F</oddHeader>
    <oddFooter>&amp;L&amp;"Arial,Regular"&amp;8 Project Planner template 1.1&amp;R&amp;"Arial,Regular"&amp;8 Page &amp;P of &amp;N</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T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 collapsed="false" customWidth="true" hidden="false" outlineLevel="0" max="6" min="6" style="0" width="18"/>
    <col collapsed="false" customWidth="true" hidden="true" outlineLevel="1" max="7" min="7" style="0" width="16"/>
    <col collapsed="false" customWidth="true" hidden="true" outlineLevel="1" max="8" min="8" style="0" width="13"/>
    <col collapsed="false" customWidth="true" hidden="true" outlineLevel="1" max="9" min="9" style="0" width="16"/>
    <col collapsed="false" customWidth="true" hidden="true" outlineLevel="1" max="10" min="10" style="0" width="13"/>
    <col collapsed="false" customWidth="true" hidden="true" outlineLevel="1" max="11" min="11" style="0" width="16"/>
    <col collapsed="false" customWidth="true" hidden="true" outlineLevel="1" max="12" min="12" style="0" width="13"/>
    <col collapsed="false" customWidth="true" hidden="true" outlineLevel="1" max="13" min="13" style="0" width="16"/>
    <col collapsed="false" customWidth="true" hidden="true" outlineLevel="1" max="14" min="14" style="0" width="13"/>
    <col collapsed="false" customWidth="true" hidden="true" outlineLevel="1" max="15" min="15" style="0" width="16"/>
    <col collapsed="false" customWidth="true" hidden="true" outlineLevel="1" max="16" min="16" style="0" width="13"/>
    <col collapsed="false" customWidth="true" hidden="true" outlineLevel="1" max="17" min="17" style="0" width="16"/>
    <col collapsed="false" customWidth="true" hidden="true" outlineLevel="1" max="18" min="18" style="0" width="13"/>
    <col collapsed="false" customWidth="true" hidden="true" outlineLevel="1" max="19" min="19" style="0" width="16"/>
    <col collapsed="false" customWidth="true" hidden="true" outlineLevel="1" max="20" min="20" style="0" width="13"/>
    <col collapsed="false" customWidth="true" hidden="true" outlineLevel="1" max="21" min="21" style="0" width="16"/>
    <col collapsed="false" customWidth="true" hidden="true" outlineLevel="1" max="22" min="22" style="0" width="13"/>
    <col collapsed="false" customWidth="true" hidden="true" outlineLevel="1" max="23" min="23" style="0" width="16"/>
    <col collapsed="false" customWidth="true" hidden="true" outlineLevel="1" max="24" min="24" style="0" width="13"/>
    <col collapsed="false" customWidth="true" hidden="true" outlineLevel="1" max="25" min="25" style="0" width="16"/>
    <col collapsed="false" customWidth="true" hidden="true" outlineLevel="1" max="26" min="26" style="0" width="13"/>
    <col collapsed="false" customWidth="true" hidden="true" outlineLevel="1" max="27" min="27" style="0" width="16"/>
    <col collapsed="false" customWidth="true" hidden="true" outlineLevel="1" max="28" min="28" style="0" width="13"/>
    <col collapsed="false" customWidth="true" hidden="true" outlineLevel="1" max="29" min="29" style="0" width="16"/>
    <col collapsed="false" customWidth="true" hidden="true" outlineLevel="1" max="30" min="30" style="0" width="13"/>
    <col collapsed="false" customWidth="true" hidden="true" outlineLevel="1" max="31" min="31" style="0" width="18"/>
    <col collapsed="false" customWidth="true" hidden="true" outlineLevel="1" max="34" min="32" style="0" width="10"/>
    <col collapsed="false" customWidth="true" hidden="true" outlineLevel="1" max="40" min="35" style="0" width="14"/>
    <col collapsed="false" customWidth="true" hidden="true" outlineLevel="1" max="46" min="41" style="0" width="7"/>
  </cols>
  <sheetData>
    <row r="1" customFormat="false" ht="19.7" hidden="false" customHeight="false" outlineLevel="0" collapsed="false">
      <c r="A1" s="14" t="s">
        <v>212</v>
      </c>
    </row>
    <row r="2" customFormat="false" ht="15" hidden="false" customHeight="false" outlineLevel="0" collapsed="false">
      <c r="A2" s="2" t="s">
        <v>213</v>
      </c>
    </row>
    <row r="4" customFormat="false" ht="23.85" hidden="false" customHeight="false" outlineLevel="0" collapsed="false">
      <c r="B4" s="17" t="s">
        <v>214</v>
      </c>
      <c r="C4" s="17" t="s">
        <v>127</v>
      </c>
      <c r="D4" s="17" t="s">
        <v>215</v>
      </c>
      <c r="E4" s="17" t="s">
        <v>187</v>
      </c>
      <c r="F4" s="28" t="s">
        <v>216</v>
      </c>
      <c r="G4" s="18" t="s">
        <v>217</v>
      </c>
      <c r="I4" s="18" t="s">
        <v>218</v>
      </c>
      <c r="K4" s="18" t="s">
        <v>219</v>
      </c>
      <c r="M4" s="18" t="s">
        <v>220</v>
      </c>
      <c r="O4" s="18" t="s">
        <v>221</v>
      </c>
      <c r="Q4" s="18" t="s">
        <v>222</v>
      </c>
      <c r="S4" s="18" t="s">
        <v>223</v>
      </c>
      <c r="U4" s="18" t="s">
        <v>130</v>
      </c>
      <c r="W4" s="18" t="s">
        <v>224</v>
      </c>
      <c r="Y4" s="18" t="s">
        <v>225</v>
      </c>
      <c r="AA4" s="18" t="s">
        <v>226</v>
      </c>
      <c r="AC4" s="18" t="s">
        <v>227</v>
      </c>
      <c r="AE4" s="18" t="s">
        <v>228</v>
      </c>
      <c r="AF4" s="18" t="s">
        <v>229</v>
      </c>
      <c r="AG4" s="18" t="s">
        <v>230</v>
      </c>
      <c r="AH4" s="18" t="s">
        <v>231</v>
      </c>
      <c r="AI4" s="18" t="s">
        <v>232</v>
      </c>
      <c r="AJ4" s="18" t="s">
        <v>233</v>
      </c>
      <c r="AK4" s="18" t="s">
        <v>234</v>
      </c>
      <c r="AL4" s="18" t="s">
        <v>235</v>
      </c>
      <c r="AM4" s="18" t="s">
        <v>236</v>
      </c>
      <c r="AN4" s="18" t="s">
        <v>237</v>
      </c>
      <c r="AO4" s="18" t="s">
        <v>238</v>
      </c>
      <c r="AP4" s="18" t="s">
        <v>239</v>
      </c>
      <c r="AQ4" s="18" t="s">
        <v>240</v>
      </c>
      <c r="AR4" s="18" t="s">
        <v>241</v>
      </c>
      <c r="AS4" s="18" t="s">
        <v>242</v>
      </c>
      <c r="AT4" s="18" t="s">
        <v>243</v>
      </c>
    </row>
    <row r="5" customFormat="false" ht="15" hidden="false" customHeight="false" outlineLevel="0" collapsed="false">
      <c r="B5" s="62" t="s">
        <v>244</v>
      </c>
      <c r="C5" s="63" t="n">
        <f aca="false">MAX(1,N(ProjectStartDate))</f>
        <v>46272</v>
      </c>
      <c r="D5" s="64" t="s">
        <v>245</v>
      </c>
      <c r="E5" s="2" t="s">
        <v>246</v>
      </c>
      <c r="G5" s="23" t="s">
        <v>247</v>
      </c>
      <c r="I5" s="23" t="s">
        <v>248</v>
      </c>
      <c r="K5" s="23" t="s">
        <v>9</v>
      </c>
      <c r="M5" s="23" t="s">
        <v>249</v>
      </c>
      <c r="O5" s="23" t="s">
        <v>250</v>
      </c>
      <c r="Q5" s="23" t="s">
        <v>251</v>
      </c>
      <c r="S5" s="23" t="n">
        <v>1</v>
      </c>
      <c r="U5" s="23" t="s">
        <v>252</v>
      </c>
      <c r="W5" s="23" t="s">
        <v>253</v>
      </c>
      <c r="Y5" s="23" t="s">
        <v>254</v>
      </c>
      <c r="AA5" s="23" t="s">
        <v>255</v>
      </c>
      <c r="AC5" s="23" t="s">
        <v>256</v>
      </c>
      <c r="AE5" s="23" t="s">
        <v>12</v>
      </c>
      <c r="AF5" s="23" t="n">
        <v>14</v>
      </c>
      <c r="AG5" s="23" t="n">
        <v>3</v>
      </c>
      <c r="AH5" s="23" t="n">
        <v>10</v>
      </c>
      <c r="AI5" s="23" t="s">
        <v>159</v>
      </c>
      <c r="AJ5" s="23" t="s">
        <v>257</v>
      </c>
      <c r="AK5" s="23" t="s">
        <v>258</v>
      </c>
      <c r="AL5" s="23" t="s">
        <v>259</v>
      </c>
      <c r="AM5" s="23" t="s">
        <v>260</v>
      </c>
      <c r="AN5" s="23" t="s">
        <v>150</v>
      </c>
      <c r="AO5" s="65" t="n">
        <v>0</v>
      </c>
      <c r="AP5" s="65" t="n">
        <v>0.15</v>
      </c>
      <c r="AQ5" s="65" t="n">
        <v>0.4</v>
      </c>
      <c r="AR5" s="65" t="n">
        <v>0.7</v>
      </c>
      <c r="AS5" s="65" t="n">
        <v>0.85</v>
      </c>
      <c r="AT5" s="65" t="n">
        <v>1</v>
      </c>
    </row>
    <row r="6" customFormat="false" ht="15" hidden="false" customHeight="false" outlineLevel="0" collapsed="false">
      <c r="B6" s="62" t="s">
        <v>261</v>
      </c>
      <c r="C6" s="63" t="n">
        <f aca="false">IF(N(StatusDateInput)&gt;0,StatusDateInput,ProjectStart)</f>
        <v>46320</v>
      </c>
      <c r="D6" s="64" t="s">
        <v>262</v>
      </c>
      <c r="E6" s="2" t="s">
        <v>263</v>
      </c>
      <c r="G6" s="23" t="s">
        <v>264</v>
      </c>
      <c r="I6" s="23" t="s">
        <v>265</v>
      </c>
      <c r="K6" s="23" t="s">
        <v>266</v>
      </c>
      <c r="M6" s="23" t="s">
        <v>267</v>
      </c>
      <c r="O6" s="23" t="s">
        <v>268</v>
      </c>
      <c r="Q6" s="23" t="s">
        <v>269</v>
      </c>
      <c r="S6" s="23" t="n">
        <v>7</v>
      </c>
      <c r="U6" s="23" t="s">
        <v>270</v>
      </c>
      <c r="W6" s="23" t="s">
        <v>271</v>
      </c>
      <c r="Y6" s="23" t="s">
        <v>153</v>
      </c>
      <c r="AA6" s="23" t="s">
        <v>272</v>
      </c>
      <c r="AC6" s="23" t="s">
        <v>273</v>
      </c>
      <c r="AE6" s="23" t="s">
        <v>274</v>
      </c>
      <c r="AF6" s="23" t="n">
        <v>28</v>
      </c>
      <c r="AG6" s="23" t="n">
        <v>5</v>
      </c>
      <c r="AH6" s="23" t="n">
        <v>15</v>
      </c>
      <c r="AI6" s="23" t="s">
        <v>159</v>
      </c>
      <c r="AJ6" s="23" t="s">
        <v>275</v>
      </c>
      <c r="AK6" s="23" t="s">
        <v>276</v>
      </c>
      <c r="AL6" s="23" t="s">
        <v>277</v>
      </c>
      <c r="AM6" s="23" t="s">
        <v>278</v>
      </c>
      <c r="AN6" s="23" t="s">
        <v>150</v>
      </c>
      <c r="AO6" s="65" t="n">
        <v>0</v>
      </c>
      <c r="AP6" s="65" t="n">
        <v>0.1</v>
      </c>
      <c r="AQ6" s="65" t="n">
        <v>0.5</v>
      </c>
      <c r="AR6" s="65" t="n">
        <v>0.85</v>
      </c>
      <c r="AS6" s="65" t="n">
        <v>0.95</v>
      </c>
      <c r="AT6" s="65" t="n">
        <v>1</v>
      </c>
    </row>
    <row r="7" customFormat="false" ht="15" hidden="false" customHeight="false" outlineLevel="0" collapsed="false">
      <c r="B7" s="62" t="s">
        <v>279</v>
      </c>
      <c r="C7" s="63" t="n">
        <f aca="false">WORKDAY.INTL(StatusDate-1,1,WorkWeek,Holidays)</f>
        <v>46321</v>
      </c>
      <c r="D7" s="64" t="s">
        <v>280</v>
      </c>
      <c r="E7" s="2"/>
      <c r="G7" s="23" t="s">
        <v>281</v>
      </c>
      <c r="K7" s="23" t="s">
        <v>282</v>
      </c>
      <c r="M7" s="23" t="s">
        <v>283</v>
      </c>
      <c r="Q7" s="23" t="s">
        <v>284</v>
      </c>
      <c r="S7" s="23" t="n">
        <v>30</v>
      </c>
      <c r="U7" s="23" t="s">
        <v>285</v>
      </c>
      <c r="W7" s="23" t="s">
        <v>286</v>
      </c>
      <c r="Y7" s="23" t="s">
        <v>287</v>
      </c>
      <c r="AA7" s="23" t="s">
        <v>288</v>
      </c>
      <c r="AC7" s="23" t="s">
        <v>272</v>
      </c>
      <c r="AE7" s="23" t="s">
        <v>289</v>
      </c>
      <c r="AF7" s="23" t="n">
        <v>14</v>
      </c>
      <c r="AG7" s="23" t="n">
        <v>2</v>
      </c>
      <c r="AH7" s="23" t="n">
        <v>5</v>
      </c>
      <c r="AI7" s="23" t="s">
        <v>159</v>
      </c>
      <c r="AJ7" s="23" t="s">
        <v>257</v>
      </c>
      <c r="AK7" s="23" t="s">
        <v>290</v>
      </c>
      <c r="AL7" s="23" t="s">
        <v>291</v>
      </c>
      <c r="AM7" s="23" t="s">
        <v>292</v>
      </c>
      <c r="AN7" s="23" t="s">
        <v>150</v>
      </c>
      <c r="AO7" s="65" t="n">
        <v>0</v>
      </c>
      <c r="AP7" s="65" t="n">
        <v>0.15</v>
      </c>
      <c r="AQ7" s="65" t="n">
        <v>0.5</v>
      </c>
      <c r="AR7" s="65" t="n">
        <v>0.8</v>
      </c>
      <c r="AS7" s="65" t="n">
        <v>0.95</v>
      </c>
      <c r="AT7" s="65" t="n">
        <v>1</v>
      </c>
    </row>
    <row r="8" customFormat="false" ht="15" hidden="false" customHeight="false" outlineLevel="0" collapsed="false">
      <c r="B8" s="62" t="s">
        <v>293</v>
      </c>
      <c r="C8" s="6" t="s">
        <v>250</v>
      </c>
      <c r="D8" s="64" t="s">
        <v>294</v>
      </c>
      <c r="E8" s="2" t="s">
        <v>295</v>
      </c>
      <c r="G8" s="23" t="s">
        <v>296</v>
      </c>
      <c r="K8" s="23" t="s">
        <v>297</v>
      </c>
      <c r="M8" s="23" t="s">
        <v>298</v>
      </c>
      <c r="S8" s="23" t="n">
        <v>91</v>
      </c>
      <c r="W8" s="23" t="s">
        <v>299</v>
      </c>
      <c r="AA8" s="23" t="s">
        <v>300</v>
      </c>
      <c r="AC8" s="23" t="s">
        <v>288</v>
      </c>
      <c r="AE8" s="23"/>
      <c r="AF8" s="23"/>
      <c r="AG8" s="23"/>
      <c r="AH8" s="23"/>
      <c r="AI8" s="23"/>
      <c r="AJ8" s="23"/>
      <c r="AK8" s="23"/>
      <c r="AL8" s="23"/>
      <c r="AM8" s="23"/>
      <c r="AN8" s="23"/>
      <c r="AO8" s="65"/>
      <c r="AP8" s="65"/>
      <c r="AQ8" s="65"/>
      <c r="AR8" s="65"/>
      <c r="AS8" s="65"/>
      <c r="AT8" s="65"/>
    </row>
    <row r="9" customFormat="false" ht="15" hidden="false" customHeight="false" outlineLevel="0" collapsed="false">
      <c r="B9" s="62" t="s">
        <v>301</v>
      </c>
      <c r="C9" s="65" t="n">
        <v>1</v>
      </c>
      <c r="D9" s="64" t="s">
        <v>302</v>
      </c>
      <c r="E9" s="2" t="s">
        <v>303</v>
      </c>
      <c r="M9" s="23" t="s">
        <v>304</v>
      </c>
      <c r="W9" s="23" t="s">
        <v>305</v>
      </c>
      <c r="AC9" s="23" t="s">
        <v>306</v>
      </c>
      <c r="AE9" s="23"/>
      <c r="AF9" s="23"/>
      <c r="AG9" s="23"/>
      <c r="AH9" s="23"/>
      <c r="AI9" s="23"/>
      <c r="AJ9" s="23"/>
      <c r="AK9" s="23"/>
      <c r="AL9" s="23"/>
      <c r="AM9" s="23"/>
      <c r="AN9" s="23"/>
      <c r="AO9" s="65"/>
      <c r="AP9" s="65"/>
      <c r="AQ9" s="65"/>
      <c r="AR9" s="65"/>
      <c r="AS9" s="65"/>
      <c r="AT9" s="65"/>
    </row>
    <row r="10" customFormat="false" ht="15" hidden="false" customHeight="false" outlineLevel="0" collapsed="false">
      <c r="B10" s="62" t="s">
        <v>307</v>
      </c>
      <c r="C10" s="6" t="s">
        <v>250</v>
      </c>
      <c r="D10" s="64" t="s">
        <v>308</v>
      </c>
      <c r="E10" s="2" t="s">
        <v>309</v>
      </c>
      <c r="M10" s="23" t="s">
        <v>310</v>
      </c>
      <c r="W10" s="23" t="s">
        <v>311</v>
      </c>
      <c r="AE10" s="23"/>
      <c r="AF10" s="23"/>
      <c r="AG10" s="23"/>
      <c r="AH10" s="23"/>
      <c r="AI10" s="23"/>
      <c r="AJ10" s="23"/>
      <c r="AK10" s="23"/>
      <c r="AL10" s="23"/>
      <c r="AM10" s="23"/>
      <c r="AN10" s="23"/>
      <c r="AO10" s="65"/>
      <c r="AP10" s="65"/>
      <c r="AQ10" s="65"/>
      <c r="AR10" s="65"/>
      <c r="AS10" s="65"/>
      <c r="AT10" s="65"/>
    </row>
    <row r="11" customFormat="false" ht="15" hidden="false" customHeight="false" outlineLevel="0" collapsed="false">
      <c r="B11" s="62" t="s">
        <v>312</v>
      </c>
      <c r="C11" s="6" t="s">
        <v>250</v>
      </c>
      <c r="D11" s="64" t="s">
        <v>313</v>
      </c>
      <c r="E11" s="2"/>
      <c r="M11" s="23" t="s">
        <v>314</v>
      </c>
    </row>
    <row r="12" customFormat="false" ht="15" hidden="false" customHeight="false" outlineLevel="0" collapsed="false">
      <c r="B12" s="62" t="s">
        <v>315</v>
      </c>
      <c r="C12" s="6" t="s">
        <v>250</v>
      </c>
      <c r="D12" s="64" t="s">
        <v>316</v>
      </c>
      <c r="E12" s="2"/>
      <c r="M12" s="23" t="s">
        <v>317</v>
      </c>
    </row>
    <row r="13" customFormat="false" ht="15" hidden="false" customHeight="false" outlineLevel="0" collapsed="false">
      <c r="B13" s="62" t="s">
        <v>318</v>
      </c>
      <c r="C13" s="6" t="s">
        <v>250</v>
      </c>
      <c r="D13" s="64" t="s">
        <v>319</v>
      </c>
      <c r="E13" s="2"/>
    </row>
    <row r="14" customFormat="false" ht="15" hidden="false" customHeight="false" outlineLevel="0" collapsed="false">
      <c r="B14" s="62" t="s">
        <v>320</v>
      </c>
      <c r="C14" s="6" t="s">
        <v>250</v>
      </c>
      <c r="D14" s="64" t="s">
        <v>321</v>
      </c>
      <c r="E14" s="2"/>
      <c r="G14" s="2" t="s">
        <v>322</v>
      </c>
    </row>
    <row r="15" customFormat="false" ht="15" hidden="false" customHeight="false" outlineLevel="0" collapsed="false">
      <c r="B15" s="62" t="s">
        <v>323</v>
      </c>
      <c r="C15" s="6" t="s">
        <v>268</v>
      </c>
      <c r="D15" s="64" t="s">
        <v>324</v>
      </c>
      <c r="E15" s="2"/>
    </row>
    <row r="16" customFormat="false" ht="15" hidden="false" customHeight="false" outlineLevel="0" collapsed="false">
      <c r="B16" s="62" t="s">
        <v>325</v>
      </c>
      <c r="C16" s="6" t="s">
        <v>268</v>
      </c>
      <c r="D16" s="64" t="s">
        <v>326</v>
      </c>
      <c r="E16" s="2"/>
    </row>
    <row r="17" customFormat="false" ht="15" hidden="false" customHeight="false" outlineLevel="0" collapsed="false">
      <c r="B17" s="62" t="s">
        <v>327</v>
      </c>
      <c r="C17" s="66" t="str">
        <f aca="false">IF(WorkingWeek="Mon-Fri","0000011",IF(WorkingWeek="Sun-Thu","0000110",IF(WorkingWeek="Mon-Sat","0000001",IF(WorkMon="Yes","0","1")&amp;IF(WorkTue="Yes","0","1")&amp;IF(WorkWed="Yes","0","1")&amp;IF(WorkThu="Yes","0","1")&amp;IF(WorkFri="Yes","0","1")&amp;IF(WorkSat="Yes","0","1")&amp;IF(WorkSun="Yes","0","1"))))</f>
        <v>0000011</v>
      </c>
      <c r="D17" s="64" t="s">
        <v>328</v>
      </c>
      <c r="E17" s="2" t="s">
        <v>329</v>
      </c>
    </row>
    <row r="18" customFormat="false" ht="15" hidden="false" customHeight="false" outlineLevel="0" collapsed="false">
      <c r="B18" s="62" t="s">
        <v>330</v>
      </c>
      <c r="C18" s="7" t="n">
        <f aca="false">MAX(ProjectStart,StatusDate-14)</f>
        <v>46306</v>
      </c>
      <c r="D18" s="64" t="s">
        <v>331</v>
      </c>
      <c r="E18" s="2" t="s">
        <v>332</v>
      </c>
    </row>
    <row r="19" customFormat="false" ht="15" hidden="false" customHeight="false" outlineLevel="0" collapsed="false">
      <c r="B19" s="62" t="s">
        <v>333</v>
      </c>
      <c r="C19" s="7" t="n">
        <f aca="false">ViewFrom-WEEKDAY(ViewFrom,3)</f>
        <v>46300</v>
      </c>
      <c r="D19" s="64" t="s">
        <v>334</v>
      </c>
      <c r="E19" s="2" t="s">
        <v>335</v>
      </c>
    </row>
    <row r="20" customFormat="false" ht="15" hidden="false" customHeight="false" outlineLevel="0" collapsed="false">
      <c r="B20" s="62" t="s">
        <v>336</v>
      </c>
      <c r="C20" s="67" t="n">
        <v>1</v>
      </c>
      <c r="D20" s="64" t="s">
        <v>337</v>
      </c>
      <c r="E20" s="2" t="s">
        <v>338</v>
      </c>
    </row>
    <row r="21" customFormat="false" ht="15" hidden="false" customHeight="false" outlineLevel="0" collapsed="false">
      <c r="B21" s="62" t="s">
        <v>339</v>
      </c>
      <c r="C21" s="67" t="n">
        <v>9</v>
      </c>
      <c r="D21" s="64" t="s">
        <v>340</v>
      </c>
      <c r="E21" s="2" t="s">
        <v>341</v>
      </c>
    </row>
    <row r="22" customFormat="false" ht="15" hidden="false" customHeight="false" outlineLevel="0" collapsed="false">
      <c r="B22" s="62" t="s">
        <v>342</v>
      </c>
      <c r="C22" s="6" t="s">
        <v>250</v>
      </c>
      <c r="D22" s="64" t="s">
        <v>343</v>
      </c>
      <c r="E22" s="2" t="s">
        <v>344</v>
      </c>
    </row>
    <row r="23" customFormat="false" ht="15" hidden="false" customHeight="false" outlineLevel="0" collapsed="false">
      <c r="B23" s="62" t="s">
        <v>345</v>
      </c>
      <c r="C23" s="68" t="n">
        <f aca="false">DATE(YEAR(ProjectStart),MONTH(ProjectStart),1)</f>
        <v>46266</v>
      </c>
      <c r="D23" s="64" t="s">
        <v>346</v>
      </c>
      <c r="E23" s="2" t="s">
        <v>347</v>
      </c>
    </row>
    <row r="24" customFormat="false" ht="15" hidden="false" customHeight="false" outlineLevel="0" collapsed="false">
      <c r="B24" s="62" t="s">
        <v>348</v>
      </c>
      <c r="C24" s="65" t="n">
        <v>0.8</v>
      </c>
      <c r="D24" s="64" t="s">
        <v>349</v>
      </c>
      <c r="E24" s="2" t="s">
        <v>350</v>
      </c>
    </row>
    <row r="25" customFormat="false" ht="15" hidden="false" customHeight="false" outlineLevel="0" collapsed="false">
      <c r="B25" s="62" t="s">
        <v>351</v>
      </c>
      <c r="C25" s="69" t="n">
        <f aca="false">MAX(tsk_People)</f>
        <v>2</v>
      </c>
      <c r="D25" s="64" t="s">
        <v>352</v>
      </c>
      <c r="E25" s="2" t="s">
        <v>353</v>
      </c>
    </row>
    <row r="26" customFormat="false" ht="15" hidden="false" customHeight="false" outlineLevel="0" collapsed="false">
      <c r="B26" s="62" t="s">
        <v>354</v>
      </c>
      <c r="C26" s="67" t="n">
        <v>0</v>
      </c>
      <c r="D26" s="64" t="s">
        <v>355</v>
      </c>
      <c r="E26" s="2" t="s">
        <v>356</v>
      </c>
    </row>
    <row r="27" customFormat="false" ht="15" hidden="false" customHeight="false" outlineLevel="0" collapsed="false">
      <c r="B27" s="62" t="s">
        <v>357</v>
      </c>
      <c r="C27" s="63" t="n">
        <f aca="false">MAX(tsk_LeafFcstFinish)</f>
        <v>46324</v>
      </c>
      <c r="D27" s="64" t="s">
        <v>358</v>
      </c>
      <c r="E27" s="2" t="s">
        <v>359</v>
      </c>
    </row>
    <row r="28" customFormat="false" ht="15" hidden="false" customHeight="false" outlineLevel="0" collapsed="false">
      <c r="B28" s="62" t="s">
        <v>360</v>
      </c>
      <c r="C28" s="63" t="n">
        <f aca="false">MAX(tsk_PlanFinish)</f>
        <v>46318</v>
      </c>
      <c r="D28" s="64" t="s">
        <v>361</v>
      </c>
      <c r="E28" s="2" t="s">
        <v>362</v>
      </c>
    </row>
    <row r="29" customFormat="false" ht="15" hidden="false" customHeight="false" outlineLevel="0" collapsed="false">
      <c r="B29" s="62" t="s">
        <v>363</v>
      </c>
      <c r="C29" s="66" t="n">
        <f aca="false">COUNT(tsk_BaseStart)&gt;0</f>
        <v>1</v>
      </c>
      <c r="D29" s="64" t="s">
        <v>364</v>
      </c>
      <c r="E29" s="2" t="s">
        <v>365</v>
      </c>
    </row>
    <row r="30" customFormat="false" ht="15" hidden="false" customHeight="false" outlineLevel="0" collapsed="false">
      <c r="B30" s="62" t="s">
        <v>366</v>
      </c>
      <c r="C30" s="70" t="n">
        <f aca="false">IF(ProjectFinish&gt;=PlannedFinish,NETWORKDAYS.INTL(PlannedFinish,ProjectFinish,WorkWeek,Holidays)-1,1-NETWORKDAYS.INTL(ProjectFinish,PlannedFinish,WorkWeek,Holidays))</f>
        <v>4</v>
      </c>
      <c r="D30" s="64" t="s">
        <v>367</v>
      </c>
      <c r="E30" s="2" t="s">
        <v>368</v>
      </c>
    </row>
    <row r="31" customFormat="false" ht="15" hidden="false" customHeight="false" outlineLevel="0" collapsed="false">
      <c r="B31" s="62" t="s">
        <v>369</v>
      </c>
      <c r="C31" s="67" t="n">
        <v>10</v>
      </c>
      <c r="D31" s="64" t="s">
        <v>370</v>
      </c>
      <c r="E31" s="2" t="s">
        <v>371</v>
      </c>
    </row>
    <row r="32" customFormat="false" ht="15" hidden="false" customHeight="false" outlineLevel="0" collapsed="false">
      <c r="B32" s="62" t="s">
        <v>372</v>
      </c>
      <c r="C32" s="63" t="n">
        <f aca="false">WORKDAY.INTL(StatusDate-1,LookaheadDays,WorkWeek,Holidays)</f>
        <v>46332</v>
      </c>
      <c r="D32" s="64" t="s">
        <v>373</v>
      </c>
      <c r="E32" s="2"/>
    </row>
    <row r="33" customFormat="false" ht="15" hidden="false" customHeight="false" outlineLevel="0" collapsed="false">
      <c r="B33" s="62" t="s">
        <v>374</v>
      </c>
      <c r="C33" s="67" t="n">
        <f aca="false">IFERROR(INDEX(ProjectPresets[Amber Slip],MATCH(ProjectType,ProjectPresets[Project Type],0)),3)</f>
        <v>3</v>
      </c>
      <c r="D33" s="64" t="s">
        <v>375</v>
      </c>
      <c r="E33" s="2" t="s">
        <v>376</v>
      </c>
    </row>
    <row r="34" customFormat="false" ht="15" hidden="false" customHeight="false" outlineLevel="0" collapsed="false">
      <c r="B34" s="62" t="s">
        <v>377</v>
      </c>
      <c r="C34" s="67" t="n">
        <f aca="false">IFERROR(INDEX(ProjectPresets[Red Slip],MATCH(ProjectType,ProjectPresets[Project Type],0)),10)</f>
        <v>10</v>
      </c>
      <c r="D34" s="64" t="s">
        <v>378</v>
      </c>
      <c r="E34" s="2" t="s">
        <v>379</v>
      </c>
    </row>
    <row r="35" customFormat="false" ht="15" hidden="false" customHeight="false" outlineLevel="0" collapsed="false">
      <c r="B35" s="62" t="s">
        <v>380</v>
      </c>
      <c r="C35" s="71" t="n">
        <v>0.95</v>
      </c>
      <c r="D35" s="64" t="s">
        <v>381</v>
      </c>
      <c r="E35" s="2" t="s">
        <v>382</v>
      </c>
    </row>
    <row r="36" customFormat="false" ht="15" hidden="false" customHeight="false" outlineLevel="0" collapsed="false">
      <c r="B36" s="62" t="s">
        <v>383</v>
      </c>
      <c r="C36" s="71" t="n">
        <v>0.85</v>
      </c>
      <c r="D36" s="64" t="s">
        <v>384</v>
      </c>
      <c r="E36" s="2"/>
    </row>
    <row r="37" customFormat="false" ht="15" hidden="false" customHeight="false" outlineLevel="0" collapsed="false">
      <c r="B37" s="62" t="s">
        <v>385</v>
      </c>
      <c r="C37" s="67" t="n">
        <v>15</v>
      </c>
      <c r="D37" s="64" t="s">
        <v>386</v>
      </c>
      <c r="E37" s="2" t="s">
        <v>387</v>
      </c>
    </row>
    <row r="38" customFormat="false" ht="15" hidden="false" customHeight="false" outlineLevel="0" collapsed="false">
      <c r="B38" s="62" t="s">
        <v>388</v>
      </c>
      <c r="C38" s="67" t="n">
        <v>8</v>
      </c>
      <c r="D38" s="64" t="s">
        <v>389</v>
      </c>
      <c r="E38" s="2"/>
    </row>
    <row r="39" customFormat="false" ht="15" hidden="false" customHeight="false" outlineLevel="0" collapsed="false">
      <c r="B39" s="62" t="s">
        <v>390</v>
      </c>
      <c r="C39" s="7" t="n">
        <f aca="false">MAX(2,ViewFrom-WEEKDAY(ViewFrom,3))</f>
        <v>46300</v>
      </c>
      <c r="D39" s="64" t="s">
        <v>391</v>
      </c>
      <c r="E39" s="2" t="s">
        <v>392</v>
      </c>
    </row>
    <row r="40" customFormat="false" ht="15" hidden="false" customHeight="false" outlineLevel="0" collapsed="false">
      <c r="B40" s="62" t="s">
        <v>393</v>
      </c>
      <c r="C40" s="69" t="n">
        <f aca="false">MAX(tsk_UID)+1</f>
        <v>214</v>
      </c>
      <c r="D40" s="64" t="s">
        <v>394</v>
      </c>
      <c r="E40" s="2" t="s">
        <v>395</v>
      </c>
    </row>
    <row r="41" customFormat="false" ht="15" hidden="false" customHeight="false" outlineLevel="0" collapsed="false">
      <c r="B41" s="62" t="s">
        <v>396</v>
      </c>
      <c r="C41" s="6" t="s">
        <v>268</v>
      </c>
      <c r="D41" s="64" t="s">
        <v>397</v>
      </c>
      <c r="E41" s="2" t="s">
        <v>398</v>
      </c>
    </row>
    <row r="42" customFormat="false" ht="15" hidden="false" customHeight="false" outlineLevel="0" collapsed="false">
      <c r="B42" s="62" t="s">
        <v>399</v>
      </c>
      <c r="C42" s="69" t="n">
        <f aca="false">COUNTIF(tsk_Issues,"*is used twice*")</f>
        <v>0</v>
      </c>
      <c r="D42" s="64" t="s">
        <v>400</v>
      </c>
      <c r="E42" s="2" t="s">
        <v>401</v>
      </c>
    </row>
    <row r="43" customFormat="false" ht="15" hidden="false" customHeight="false" outlineLevel="0" collapsed="false">
      <c r="B43" s="62" t="s">
        <v>402</v>
      </c>
      <c r="C43" s="69" t="n">
        <f aca="false">COUNTIF(tsk_Issues,"No UID*")</f>
        <v>0</v>
      </c>
      <c r="D43" s="64" t="s">
        <v>403</v>
      </c>
      <c r="E43" s="2" t="s">
        <v>404</v>
      </c>
    </row>
    <row r="44" customFormat="false" ht="15" hidden="false" customHeight="false" outlineLevel="0" collapsed="false">
      <c r="B44" s="62" t="s">
        <v>405</v>
      </c>
      <c r="C44" s="6" t="s">
        <v>268</v>
      </c>
      <c r="D44" s="64" t="s">
        <v>70</v>
      </c>
      <c r="E44" s="2" t="s">
        <v>406</v>
      </c>
    </row>
    <row r="45" customFormat="false" ht="15" hidden="false" customHeight="false" outlineLevel="0" collapsed="false">
      <c r="B45" s="62" t="s">
        <v>407</v>
      </c>
      <c r="C45" s="63" t="n">
        <f aca="false">WORKDAY.INTL(ProjectFinish,ROUND(SUMIFS(tsk_PertShift,tsk_Critical,"Yes",tsk_IsLeaf,1),0),WorkWeek,Holidays)</f>
        <v>46322</v>
      </c>
      <c r="D45" s="64" t="s">
        <v>408</v>
      </c>
      <c r="E45" s="2" t="s">
        <v>409</v>
      </c>
    </row>
    <row r="46" customFormat="false" ht="15" hidden="false" customHeight="false" outlineLevel="0" collapsed="false">
      <c r="B46" s="62" t="s">
        <v>410</v>
      </c>
      <c r="C46" s="63" t="n">
        <f aca="false">WORKDAY.INTL(ProjectFinish,ROUND(SUMIFS(tsk_PertShift,tsk_Critical,"Yes",tsk_IsLeaf,1)+0.84*SQRT(SUMIFS(tsk_PertVariance,tsk_Critical,"Yes",tsk_IsLeaf,1)),0),WorkWeek,Holidays)</f>
        <v>46323</v>
      </c>
      <c r="D46" s="64" t="s">
        <v>411</v>
      </c>
      <c r="E46" s="2" t="s">
        <v>412</v>
      </c>
    </row>
    <row r="48" customFormat="false" ht="15" hidden="false" customHeight="false" outlineLevel="0" collapsed="false">
      <c r="B48" s="28" t="s">
        <v>413</v>
      </c>
    </row>
    <row r="49" customFormat="false" ht="15" hidden="false" customHeight="false" outlineLevel="0" collapsed="false">
      <c r="B49" s="18" t="s">
        <v>414</v>
      </c>
      <c r="C49" s="18" t="s">
        <v>415</v>
      </c>
    </row>
    <row r="50" customFormat="false" ht="15" hidden="false" customHeight="false" outlineLevel="0" collapsed="false">
      <c r="B50" s="23" t="str">
        <f aca="false">IFERROR(INDEX(ProjectPresets[[Stage 1]:[Stage 6]],MATCH(ProjectType,ProjectPresets[Project Type],0),ROW()-ROW(StageTable[[#Headers],[Stage]]))&amp;"","")</f>
        <v>Not Started</v>
      </c>
      <c r="C50" s="65" t="n">
        <f aca="false">N(IFERROR(INDEX(ProjectPresets[[% 1]:[% 6]],MATCH(ProjectType,ProjectPresets[Project Type],0),ROW()-ROW(StageTable[[#Headers],[Stage]])),0))</f>
        <v>0</v>
      </c>
    </row>
    <row r="51" customFormat="false" ht="15" hidden="false" customHeight="false" outlineLevel="0" collapsed="false">
      <c r="B51" s="23" t="str">
        <f aca="false">IFERROR(INDEX(ProjectPresets[[Stage 1]:[Stage 6]],MATCH(ProjectType,ProjectPresets[Project Type],0),ROW()-ROW(StageTable[[#Headers],[Stage]]))&amp;"","")</f>
        <v>Design</v>
      </c>
      <c r="C51" s="65" t="n">
        <f aca="false">N(IFERROR(INDEX(ProjectPresets[[% 1]:[% 6]],MATCH(ProjectType,ProjectPresets[Project Type],0),ROW()-ROW(StageTable[[#Headers],[Stage]])),0))</f>
        <v>0.15</v>
      </c>
    </row>
    <row r="52" customFormat="false" ht="15" hidden="false" customHeight="false" outlineLevel="0" collapsed="false">
      <c r="B52" s="23" t="str">
        <f aca="false">IFERROR(INDEX(ProjectPresets[[Stage 1]:[Stage 6]],MATCH(ProjectType,ProjectPresets[Project Type],0),ROW()-ROW(StageTable[[#Headers],[Stage]]))&amp;"","")</f>
        <v>In Development</v>
      </c>
      <c r="C52" s="65" t="n">
        <f aca="false">N(IFERROR(INDEX(ProjectPresets[[% 1]:[% 6]],MATCH(ProjectType,ProjectPresets[Project Type],0),ROW()-ROW(StageTable[[#Headers],[Stage]])),0))</f>
        <v>0.4</v>
      </c>
    </row>
    <row r="53" customFormat="false" ht="15" hidden="false" customHeight="false" outlineLevel="0" collapsed="false">
      <c r="B53" s="23" t="str">
        <f aca="false">IFERROR(INDEX(ProjectPresets[[Stage 1]:[Stage 6]],MATCH(ProjectType,ProjectPresets[Project Type],0),ROW()-ROW(StageTable[[#Headers],[Stage]]))&amp;"","")</f>
        <v>Test Ready</v>
      </c>
      <c r="C53" s="65" t="n">
        <f aca="false">N(IFERROR(INDEX(ProjectPresets[[% 1]:[% 6]],MATCH(ProjectType,ProjectPresets[Project Type],0),ROW()-ROW(StageTable[[#Headers],[Stage]])),0))</f>
        <v>0.7</v>
      </c>
    </row>
    <row r="54" customFormat="false" ht="15" hidden="false" customHeight="false" outlineLevel="0" collapsed="false">
      <c r="B54" s="23" t="str">
        <f aca="false">IFERROR(INDEX(ProjectPresets[[Stage 1]:[Stage 6]],MATCH(ProjectType,ProjectPresets[Project Type],0),ROW()-ROW(StageTable[[#Headers],[Stage]]))&amp;"","")</f>
        <v>In Testing</v>
      </c>
      <c r="C54" s="65" t="n">
        <f aca="false">N(IFERROR(INDEX(ProjectPresets[[% 1]:[% 6]],MATCH(ProjectType,ProjectPresets[Project Type],0),ROW()-ROW(StageTable[[#Headers],[Stage]])),0))</f>
        <v>0.85</v>
      </c>
    </row>
    <row r="55" customFormat="false" ht="15" hidden="false" customHeight="false" outlineLevel="0" collapsed="false">
      <c r="B55" s="23" t="str">
        <f aca="false">IFERROR(INDEX(ProjectPresets[[Stage 1]:[Stage 6]],MATCH(ProjectType,ProjectPresets[Project Type],0),ROW()-ROW(StageTable[[#Headers],[Stage]]))&amp;"","")</f>
        <v>Complete</v>
      </c>
      <c r="C55" s="65" t="n">
        <f aca="false">N(IFERROR(INDEX(ProjectPresets[[% 1]:[% 6]],MATCH(ProjectType,ProjectPresets[Project Type],0),ROW()-ROW(StageTable[[#Headers],[Stage]])),0))</f>
        <v>1</v>
      </c>
    </row>
    <row r="57" customFormat="false" ht="15" hidden="false" customHeight="false" outlineLevel="0" collapsed="false">
      <c r="B57" s="28" t="s">
        <v>416</v>
      </c>
    </row>
    <row r="58" customFormat="false" ht="15" hidden="false" customHeight="false" outlineLevel="0" collapsed="false">
      <c r="B58" s="18" t="s">
        <v>417</v>
      </c>
      <c r="C58" s="18" t="s">
        <v>418</v>
      </c>
    </row>
    <row r="59" customFormat="false" ht="15" hidden="false" customHeight="false" outlineLevel="0" collapsed="false">
      <c r="B59" s="7" t="n">
        <v>46380</v>
      </c>
      <c r="C59" s="23" t="s">
        <v>419</v>
      </c>
    </row>
    <row r="60" customFormat="false" ht="15" hidden="false" customHeight="false" outlineLevel="0" collapsed="false">
      <c r="B60" s="7" t="n">
        <v>46381</v>
      </c>
      <c r="C60" s="23" t="s">
        <v>420</v>
      </c>
    </row>
    <row r="61" customFormat="false" ht="15" hidden="false" customHeight="false" outlineLevel="0" collapsed="false">
      <c r="B61" s="7" t="n">
        <v>46387</v>
      </c>
      <c r="C61" s="23" t="s">
        <v>421</v>
      </c>
    </row>
    <row r="62" customFormat="false" ht="15" hidden="false" customHeight="false" outlineLevel="0" collapsed="false">
      <c r="B62" s="7" t="n">
        <v>46388</v>
      </c>
      <c r="C62" s="23" t="s">
        <v>422</v>
      </c>
    </row>
    <row r="63" customFormat="false" ht="15" hidden="false" customHeight="false" outlineLevel="0" collapsed="false">
      <c r="B63" s="7"/>
      <c r="C63" s="23"/>
    </row>
    <row r="64" customFormat="false" ht="15" hidden="false" customHeight="false" outlineLevel="0" collapsed="false">
      <c r="B64" s="7"/>
      <c r="C64" s="23"/>
    </row>
    <row r="65" customFormat="false" ht="15" hidden="false" customHeight="false" outlineLevel="0" collapsed="false">
      <c r="B65" s="7"/>
      <c r="C65" s="23"/>
    </row>
    <row r="66" customFormat="false" ht="15" hidden="false" customHeight="false" outlineLevel="0" collapsed="false">
      <c r="B66" s="7"/>
      <c r="C66" s="23"/>
    </row>
    <row r="67" customFormat="false" ht="15" hidden="false" customHeight="false" outlineLevel="0" collapsed="false">
      <c r="B67" s="7"/>
      <c r="C67" s="23"/>
    </row>
    <row r="68" customFormat="false" ht="15" hidden="false" customHeight="false" outlineLevel="0" collapsed="false">
      <c r="B68" s="7"/>
      <c r="C68" s="23"/>
    </row>
    <row r="69" customFormat="false" ht="15" hidden="false" customHeight="false" outlineLevel="0" collapsed="false">
      <c r="B69" s="7"/>
      <c r="C69" s="23"/>
    </row>
    <row r="70" customFormat="false" ht="15" hidden="false" customHeight="false" outlineLevel="0" collapsed="false">
      <c r="B70" s="7"/>
      <c r="C70" s="23"/>
    </row>
    <row r="71" customFormat="false" ht="15" hidden="false" customHeight="false" outlineLevel="0" collapsed="false">
      <c r="B71" s="7"/>
      <c r="C71" s="23"/>
    </row>
    <row r="72" customFormat="false" ht="15" hidden="false" customHeight="false" outlineLevel="0" collapsed="false">
      <c r="B72" s="7"/>
      <c r="C72" s="23"/>
    </row>
    <row r="73" customFormat="false" ht="15" hidden="false" customHeight="false" outlineLevel="0" collapsed="false">
      <c r="B73" s="7"/>
      <c r="C73" s="23"/>
    </row>
    <row r="74" customFormat="false" ht="15" hidden="false" customHeight="false" outlineLevel="0" collapsed="false">
      <c r="B74" s="7"/>
      <c r="C74" s="23"/>
    </row>
    <row r="75" customFormat="false" ht="15" hidden="false" customHeight="false" outlineLevel="0" collapsed="false">
      <c r="B75" s="7"/>
      <c r="C75" s="23"/>
    </row>
    <row r="76" customFormat="false" ht="15" hidden="false" customHeight="false" outlineLevel="0" collapsed="false">
      <c r="B76" s="7"/>
      <c r="C76" s="23"/>
    </row>
    <row r="77" customFormat="false" ht="15" hidden="false" customHeight="false" outlineLevel="0" collapsed="false">
      <c r="B77" s="7"/>
      <c r="C77" s="23"/>
    </row>
    <row r="78" customFormat="false" ht="15" hidden="false" customHeight="false" outlineLevel="0" collapsed="false">
      <c r="B78" s="7"/>
      <c r="C78" s="23"/>
    </row>
    <row r="79" customFormat="false" ht="15" hidden="false" customHeight="false" outlineLevel="0" collapsed="false">
      <c r="B79" s="7"/>
      <c r="C79" s="23"/>
    </row>
    <row r="80" customFormat="false" ht="15" hidden="false" customHeight="false" outlineLevel="0" collapsed="false">
      <c r="B80" s="7"/>
      <c r="C80" s="23"/>
    </row>
    <row r="81" customFormat="false" ht="15" hidden="false" customHeight="false" outlineLevel="0" collapsed="false">
      <c r="B81" s="7"/>
      <c r="C81" s="23"/>
    </row>
    <row r="82" customFormat="false" ht="15" hidden="false" customHeight="false" outlineLevel="0" collapsed="false">
      <c r="B82" s="7"/>
      <c r="C82" s="23"/>
    </row>
    <row r="83" customFormat="false" ht="15" hidden="false" customHeight="false" outlineLevel="0" collapsed="false">
      <c r="B83" s="7"/>
      <c r="C83" s="23"/>
    </row>
    <row r="84" customFormat="false" ht="15" hidden="false" customHeight="false" outlineLevel="0" collapsed="false">
      <c r="B84" s="7"/>
      <c r="C84" s="23"/>
    </row>
    <row r="85" customFormat="false" ht="15" hidden="false" customHeight="false" outlineLevel="0" collapsed="false">
      <c r="B85" s="7"/>
      <c r="C85" s="23"/>
    </row>
    <row r="86" customFormat="false" ht="15" hidden="false" customHeight="false" outlineLevel="0" collapsed="false">
      <c r="B86" s="7"/>
      <c r="C86" s="23"/>
    </row>
    <row r="87" customFormat="false" ht="15" hidden="false" customHeight="false" outlineLevel="0" collapsed="false">
      <c r="B87" s="7"/>
      <c r="C87" s="23"/>
    </row>
    <row r="88" customFormat="false" ht="15" hidden="false" customHeight="false" outlineLevel="0" collapsed="false">
      <c r="B88" s="7"/>
      <c r="C88" s="23"/>
    </row>
    <row r="89" customFormat="false" ht="15" hidden="false" customHeight="false" outlineLevel="0" collapsed="false">
      <c r="B89" s="7"/>
      <c r="C89" s="23"/>
    </row>
    <row r="90" customFormat="false" ht="15" hidden="false" customHeight="false" outlineLevel="0" collapsed="false">
      <c r="B90" s="7"/>
      <c r="C90" s="23"/>
    </row>
    <row r="91" customFormat="false" ht="15" hidden="false" customHeight="false" outlineLevel="0" collapsed="false">
      <c r="B91" s="7"/>
      <c r="C91" s="23"/>
    </row>
    <row r="92" customFormat="false" ht="15" hidden="false" customHeight="false" outlineLevel="0" collapsed="false">
      <c r="B92" s="7"/>
      <c r="C92" s="23"/>
    </row>
    <row r="93" customFormat="false" ht="15" hidden="false" customHeight="false" outlineLevel="0" collapsed="false">
      <c r="B93" s="7"/>
      <c r="C93" s="23"/>
    </row>
    <row r="94" customFormat="false" ht="15" hidden="false" customHeight="false" outlineLevel="0" collapsed="false">
      <c r="B94" s="7"/>
      <c r="C94" s="23"/>
    </row>
    <row r="95" customFormat="false" ht="15" hidden="false" customHeight="false" outlineLevel="0" collapsed="false">
      <c r="B95" s="7"/>
      <c r="C95" s="23"/>
    </row>
    <row r="96" customFormat="false" ht="15" hidden="false" customHeight="false" outlineLevel="0" collapsed="false">
      <c r="B96" s="7"/>
      <c r="C96" s="23"/>
    </row>
    <row r="97" customFormat="false" ht="15" hidden="false" customHeight="false" outlineLevel="0" collapsed="false">
      <c r="B97" s="7"/>
      <c r="C97" s="23"/>
    </row>
    <row r="98" customFormat="false" ht="15" hidden="false" customHeight="false" outlineLevel="0" collapsed="false">
      <c r="B98" s="7"/>
      <c r="C98" s="23"/>
    </row>
    <row r="99" customFormat="false" ht="15" hidden="false" customHeight="false" outlineLevel="0" collapsed="false">
      <c r="B99" s="7"/>
      <c r="C99" s="23"/>
    </row>
    <row r="100" customFormat="false" ht="15" hidden="false" customHeight="false" outlineLevel="0" collapsed="false">
      <c r="B100" s="7"/>
      <c r="C100" s="23"/>
    </row>
    <row r="101" customFormat="false" ht="15" hidden="false" customHeight="false" outlineLevel="0" collapsed="false">
      <c r="B101" s="7"/>
      <c r="C101" s="23"/>
    </row>
    <row r="102" customFormat="false" ht="15" hidden="false" customHeight="false" outlineLevel="0" collapsed="false">
      <c r="B102" s="7"/>
      <c r="C102" s="23"/>
    </row>
    <row r="103" customFormat="false" ht="15" hidden="false" customHeight="false" outlineLevel="0" collapsed="false">
      <c r="B103" s="7"/>
      <c r="C103" s="23"/>
    </row>
    <row r="104" customFormat="false" ht="15" hidden="false" customHeight="false" outlineLevel="0" collapsed="false">
      <c r="B104" s="7"/>
      <c r="C104" s="23"/>
    </row>
    <row r="105" customFormat="false" ht="15" hidden="false" customHeight="false" outlineLevel="0" collapsed="false">
      <c r="B105" s="7"/>
      <c r="C105" s="23"/>
    </row>
    <row r="106" customFormat="false" ht="15" hidden="false" customHeight="false" outlineLevel="0" collapsed="false">
      <c r="B106" s="7"/>
      <c r="C106" s="23"/>
    </row>
    <row r="107" customFormat="false" ht="15" hidden="false" customHeight="false" outlineLevel="0" collapsed="false">
      <c r="B107" s="7"/>
      <c r="C107" s="23"/>
    </row>
    <row r="108" customFormat="false" ht="15" hidden="false" customHeight="false" outlineLevel="0" collapsed="false">
      <c r="B108" s="7"/>
      <c r="C108" s="23"/>
    </row>
    <row r="109" customFormat="false" ht="15" hidden="false" customHeight="false" outlineLevel="0" collapsed="false">
      <c r="B109" s="7"/>
      <c r="C109" s="23"/>
    </row>
    <row r="110" customFormat="false" ht="15" hidden="false" customHeight="false" outlineLevel="0" collapsed="false">
      <c r="B110" s="7"/>
      <c r="C110" s="23"/>
    </row>
    <row r="111" customFormat="false" ht="15" hidden="false" customHeight="false" outlineLevel="0" collapsed="false">
      <c r="B111" s="7"/>
      <c r="C111" s="23"/>
    </row>
    <row r="112" customFormat="false" ht="15" hidden="false" customHeight="false" outlineLevel="0" collapsed="false">
      <c r="B112" s="7"/>
      <c r="C112" s="23"/>
    </row>
    <row r="113" customFormat="false" ht="15" hidden="false" customHeight="false" outlineLevel="0" collapsed="false">
      <c r="B113" s="7"/>
      <c r="C113" s="23"/>
    </row>
    <row r="114" customFormat="false" ht="15" hidden="false" customHeight="false" outlineLevel="0" collapsed="false">
      <c r="B114" s="7"/>
      <c r="C114" s="23"/>
    </row>
    <row r="115" customFormat="false" ht="15" hidden="false" customHeight="false" outlineLevel="0" collapsed="false">
      <c r="B115" s="7"/>
      <c r="C115" s="23"/>
    </row>
    <row r="116" customFormat="false" ht="15" hidden="false" customHeight="false" outlineLevel="0" collapsed="false">
      <c r="B116" s="7"/>
      <c r="C116" s="23"/>
    </row>
    <row r="117" customFormat="false" ht="15" hidden="false" customHeight="false" outlineLevel="0" collapsed="false">
      <c r="B117" s="7"/>
      <c r="C117" s="23"/>
    </row>
    <row r="118" customFormat="false" ht="15" hidden="false" customHeight="false" outlineLevel="0" collapsed="false">
      <c r="B118" s="7"/>
      <c r="C118" s="23"/>
    </row>
    <row r="119" customFormat="false" ht="15" hidden="false" customHeight="false" outlineLevel="0" collapsed="false">
      <c r="B119" s="7"/>
      <c r="C119" s="23"/>
    </row>
    <row r="120" customFormat="false" ht="15" hidden="false" customHeight="false" outlineLevel="0" collapsed="false">
      <c r="B120" s="7"/>
      <c r="C120" s="23"/>
    </row>
    <row r="121" customFormat="false" ht="15" hidden="false" customHeight="false" outlineLevel="0" collapsed="false">
      <c r="B121" s="7"/>
      <c r="C121" s="23"/>
    </row>
    <row r="122" customFormat="false" ht="15" hidden="false" customHeight="false" outlineLevel="0" collapsed="false">
      <c r="B122" s="7"/>
      <c r="C122" s="23"/>
    </row>
    <row r="123" customFormat="false" ht="15" hidden="false" customHeight="false" outlineLevel="0" collapsed="false">
      <c r="B123" s="7"/>
      <c r="C123" s="23"/>
    </row>
    <row r="124" customFormat="false" ht="15" hidden="false" customHeight="false" outlineLevel="0" collapsed="false">
      <c r="B124" s="7"/>
      <c r="C124" s="23"/>
    </row>
    <row r="125" customFormat="false" ht="15" hidden="false" customHeight="false" outlineLevel="0" collapsed="false">
      <c r="B125" s="7"/>
      <c r="C125" s="23"/>
    </row>
    <row r="126" customFormat="false" ht="15" hidden="false" customHeight="false" outlineLevel="0" collapsed="false">
      <c r="B126" s="7"/>
      <c r="C126" s="23"/>
    </row>
    <row r="127" customFormat="false" ht="15" hidden="false" customHeight="false" outlineLevel="0" collapsed="false">
      <c r="B127" s="7"/>
      <c r="C127" s="23"/>
    </row>
    <row r="128" customFormat="false" ht="15" hidden="false" customHeight="false" outlineLevel="0" collapsed="false">
      <c r="B128" s="7"/>
      <c r="C128" s="23"/>
    </row>
    <row r="129" customFormat="false" ht="15" hidden="false" customHeight="false" outlineLevel="0" collapsed="false">
      <c r="B129" s="7"/>
      <c r="C129" s="23"/>
    </row>
    <row r="130" customFormat="false" ht="15" hidden="false" customHeight="false" outlineLevel="0" collapsed="false">
      <c r="B130" s="7"/>
      <c r="C130" s="23"/>
    </row>
    <row r="131" customFormat="false" ht="15" hidden="false" customHeight="false" outlineLevel="0" collapsed="false">
      <c r="B131" s="7"/>
      <c r="C131" s="23"/>
    </row>
    <row r="132" customFormat="false" ht="15" hidden="false" customHeight="false" outlineLevel="0" collapsed="false">
      <c r="B132" s="7"/>
      <c r="C132" s="23"/>
    </row>
    <row r="133" customFormat="false" ht="15" hidden="false" customHeight="false" outlineLevel="0" collapsed="false">
      <c r="B133" s="7"/>
      <c r="C133" s="23"/>
    </row>
    <row r="134" customFormat="false" ht="15" hidden="false" customHeight="false" outlineLevel="0" collapsed="false">
      <c r="B134" s="7"/>
      <c r="C134" s="23"/>
    </row>
    <row r="135" customFormat="false" ht="15" hidden="false" customHeight="false" outlineLevel="0" collapsed="false">
      <c r="B135" s="7"/>
      <c r="C135" s="23"/>
    </row>
    <row r="136" customFormat="false" ht="15" hidden="false" customHeight="false" outlineLevel="0" collapsed="false">
      <c r="B136" s="7"/>
      <c r="C136" s="23"/>
    </row>
    <row r="137" customFormat="false" ht="15" hidden="false" customHeight="false" outlineLevel="0" collapsed="false">
      <c r="B137" s="7"/>
      <c r="C137" s="23"/>
    </row>
    <row r="138" customFormat="false" ht="15" hidden="false" customHeight="false" outlineLevel="0" collapsed="false">
      <c r="B138" s="7"/>
      <c r="C138" s="23"/>
    </row>
    <row r="139" customFormat="false" ht="15" hidden="false" customHeight="false" outlineLevel="0" collapsed="false">
      <c r="B139" s="7"/>
      <c r="C139" s="23"/>
    </row>
    <row r="140" customFormat="false" ht="15" hidden="false" customHeight="false" outlineLevel="0" collapsed="false">
      <c r="B140" s="7"/>
      <c r="C140" s="23"/>
    </row>
    <row r="141" customFormat="false" ht="15" hidden="false" customHeight="false" outlineLevel="0" collapsed="false">
      <c r="B141" s="7"/>
      <c r="C141" s="23"/>
    </row>
    <row r="142" customFormat="false" ht="15" hidden="false" customHeight="false" outlineLevel="0" collapsed="false">
      <c r="B142" s="7"/>
      <c r="C142" s="23"/>
    </row>
    <row r="143" customFormat="false" ht="15" hidden="false" customHeight="false" outlineLevel="0" collapsed="false">
      <c r="B143" s="7"/>
      <c r="C143" s="23"/>
    </row>
    <row r="144" customFormat="false" ht="15" hidden="false" customHeight="false" outlineLevel="0" collapsed="false">
      <c r="B144" s="7"/>
      <c r="C144" s="23"/>
    </row>
    <row r="145" customFormat="false" ht="15" hidden="false" customHeight="false" outlineLevel="0" collapsed="false">
      <c r="B145" s="7"/>
      <c r="C145" s="23"/>
    </row>
    <row r="146" customFormat="false" ht="15" hidden="false" customHeight="false" outlineLevel="0" collapsed="false">
      <c r="B146" s="7"/>
      <c r="C146" s="23"/>
    </row>
    <row r="147" customFormat="false" ht="15" hidden="false" customHeight="false" outlineLevel="0" collapsed="false">
      <c r="B147" s="7"/>
      <c r="C147" s="23"/>
    </row>
    <row r="148" customFormat="false" ht="15" hidden="false" customHeight="false" outlineLevel="0" collapsed="false">
      <c r="B148" s="7"/>
      <c r="C148" s="23"/>
    </row>
    <row r="149" customFormat="false" ht="15" hidden="false" customHeight="false" outlineLevel="0" collapsed="false">
      <c r="B149" s="7"/>
      <c r="C149" s="23"/>
    </row>
    <row r="150" customFormat="false" ht="15" hidden="false" customHeight="false" outlineLevel="0" collapsed="false">
      <c r="B150" s="7"/>
      <c r="C150" s="23"/>
    </row>
    <row r="151" customFormat="false" ht="15" hidden="false" customHeight="false" outlineLevel="0" collapsed="false">
      <c r="B151" s="7"/>
      <c r="C151" s="23"/>
    </row>
    <row r="152" customFormat="false" ht="15" hidden="false" customHeight="false" outlineLevel="0" collapsed="false">
      <c r="B152" s="7"/>
      <c r="C152" s="23"/>
    </row>
    <row r="153" customFormat="false" ht="15" hidden="false" customHeight="false" outlineLevel="0" collapsed="false">
      <c r="B153" s="7"/>
      <c r="C153" s="23"/>
    </row>
    <row r="154" customFormat="false" ht="15" hidden="false" customHeight="false" outlineLevel="0" collapsed="false">
      <c r="B154" s="7"/>
      <c r="C154" s="23"/>
    </row>
    <row r="155" customFormat="false" ht="15" hidden="false" customHeight="false" outlineLevel="0" collapsed="false">
      <c r="B155" s="7"/>
      <c r="C155" s="23"/>
    </row>
    <row r="156" customFormat="false" ht="15" hidden="false" customHeight="false" outlineLevel="0" collapsed="false">
      <c r="B156" s="7"/>
      <c r="C156" s="23"/>
    </row>
    <row r="157" customFormat="false" ht="15" hidden="false" customHeight="false" outlineLevel="0" collapsed="false">
      <c r="B157" s="7"/>
      <c r="C157" s="23"/>
    </row>
    <row r="158" customFormat="false" ht="15" hidden="false" customHeight="false" outlineLevel="0" collapsed="false">
      <c r="B158" s="7"/>
      <c r="C158" s="23"/>
    </row>
  </sheetData>
  <dataValidations count="3">
    <dataValidation allowBlank="false" errorStyle="stop" operator="between" showDropDown="false" showErrorMessage="false" showInputMessage="false" sqref="C8 C10:C16 C22 C41 C44" type="list">
      <formula1>L_YesNo</formula1>
      <formula2>0</formula2>
    </dataValidation>
    <dataValidation allowBlank="false" errorStyle="stop" operator="between" showDropDown="false" showErrorMessage="false" showInputMessage="false" sqref="C20" type="list">
      <formula1>L_Period</formula1>
      <formula2>0</formula2>
    </dataValidation>
    <dataValidation allowBlank="false" errorStyle="stop" operator="between" showDropDown="false" showErrorMessage="false" showInputMessage="false" sqref="C21" type="whole">
      <formula1>1</formula1>
      <formula2>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NB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1" outlineLevelCol="2"/>
  <cols>
    <col collapsed="false" customWidth="true" hidden="false" outlineLevel="0" max="1" min="1" style="0" width="5"/>
    <col collapsed="false" customWidth="true" hidden="false" outlineLevel="0" max="3" min="2" style="0" width="6"/>
    <col collapsed="false" customWidth="true" hidden="false" outlineLevel="0" max="4" min="4" style="0" width="36"/>
    <col collapsed="false" customWidth="true" hidden="false" outlineLevel="0" max="5" min="5" style="0" width="9"/>
    <col collapsed="false" customWidth="true" hidden="false" outlineLevel="0" max="6" min="6" style="0" width="16"/>
    <col collapsed="false" customWidth="true" hidden="false" outlineLevel="0" max="8" min="7" style="0" width="6"/>
    <col collapsed="false" customWidth="true" hidden="true" outlineLevel="1" max="9" min="9" style="0" width="16"/>
    <col collapsed="false" customWidth="true" hidden="true" outlineLevel="1" max="11" min="10" style="0" width="6"/>
    <col collapsed="false" customWidth="true" hidden="true" outlineLevel="1" max="12" min="12" style="0" width="16"/>
    <col collapsed="false" customWidth="true" hidden="true" outlineLevel="1" max="14" min="13" style="0" width="6"/>
    <col collapsed="false" customWidth="true" hidden="true" outlineLevel="1" max="15" min="15" style="0" width="16"/>
    <col collapsed="false" customWidth="true" hidden="true" outlineLevel="1" max="17" min="16" style="0" width="6"/>
    <col collapsed="false" customWidth="true" hidden="true" outlineLevel="1" max="18" min="18" style="0" width="16"/>
    <col collapsed="false" customWidth="true" hidden="false" outlineLevel="0" max="19" min="19" style="0" width="18"/>
    <col collapsed="false" customWidth="true" hidden="false" outlineLevel="0" max="20" min="20" style="0" width="7"/>
    <col collapsed="false" customWidth="true" hidden="true" outlineLevel="1" max="21" min="21" style="0" width="18"/>
    <col collapsed="false" customWidth="true" hidden="true" outlineLevel="1" max="22" min="22" style="0" width="7"/>
    <col collapsed="false" customWidth="true" hidden="true" outlineLevel="1" max="23" min="23" style="0" width="18"/>
    <col collapsed="false" customWidth="true" hidden="true" outlineLevel="1" max="24" min="24" style="0" width="7"/>
    <col collapsed="false" customWidth="true" hidden="true" outlineLevel="1" max="25" min="25" style="0" width="18"/>
    <col collapsed="false" customWidth="true" hidden="true" outlineLevel="1" max="26" min="26" style="0" width="7"/>
    <col collapsed="false" customWidth="true" hidden="true" outlineLevel="1" max="27" min="27" style="0" width="20"/>
    <col collapsed="false" customWidth="true" hidden="false" outlineLevel="0" max="28" min="28" style="0" width="14"/>
    <col collapsed="false" customWidth="true" hidden="false" outlineLevel="0" max="32" min="29" style="0" width="15"/>
    <col collapsed="false" customWidth="true" hidden="true" outlineLevel="0" max="33" min="33" style="0" width="10"/>
    <col collapsed="false" customWidth="true" hidden="false" outlineLevel="0" max="34" min="34" style="0" width="40"/>
    <col collapsed="false" customWidth="true" hidden="false" outlineLevel="0" max="35" min="35" style="0" width="34"/>
    <col collapsed="false" customWidth="true" hidden="false" outlineLevel="0" max="36" min="36" style="0" width="15"/>
    <col collapsed="false" customWidth="true" hidden="true" outlineLevel="1" max="37" min="37" style="0" width="8"/>
    <col collapsed="false" customWidth="true" hidden="true" outlineLevel="1" max="38" min="38" style="0" width="20"/>
    <col collapsed="false" customWidth="true" hidden="true" outlineLevel="1" max="39" min="39" style="0" width="15"/>
    <col collapsed="false" customWidth="true" hidden="false" outlineLevel="0" max="40" min="40" style="0" width="8"/>
    <col collapsed="false" customWidth="true" hidden="true" outlineLevel="1" max="41" min="41" style="0" width="12"/>
    <col collapsed="false" customWidth="true" hidden="true" outlineLevel="1" max="42" min="42" style="0" width="8"/>
    <col collapsed="false" customWidth="true" hidden="true" outlineLevel="1" max="44" min="43" style="0" width="15"/>
    <col collapsed="false" customWidth="true" hidden="true" outlineLevel="1" max="45" min="45" style="0" width="8"/>
    <col collapsed="false" customWidth="true" hidden="true" outlineLevel="1" max="47" min="46" style="0" width="15"/>
    <col collapsed="false" customWidth="true" hidden="true" outlineLevel="1" max="49" min="48" style="0" width="8"/>
    <col collapsed="false" customWidth="true" hidden="true" outlineLevel="1" max="50" min="50" style="0" width="12"/>
    <col collapsed="false" customWidth="true" hidden="true" outlineLevel="1" max="51" min="51" style="0" width="24"/>
    <col collapsed="false" customWidth="true" hidden="true" outlineLevel="1" max="53" min="52" style="0" width="9"/>
    <col collapsed="false" customWidth="true" hidden="true" outlineLevel="1" max="54" min="54" style="0" width="14"/>
    <col collapsed="false" customWidth="true" hidden="true" outlineLevel="1" max="55" min="55" style="0" width="8"/>
    <col collapsed="false" customWidth="true" hidden="true" outlineLevel="1" max="56" min="56" style="0" width="6"/>
    <col collapsed="false" customWidth="true" hidden="false" outlineLevel="0" max="57" min="57" style="0" width="9"/>
    <col collapsed="false" customWidth="true" hidden="true" outlineLevel="1" max="58" min="58" style="0" width="16"/>
    <col collapsed="false" customWidth="true" hidden="true" outlineLevel="1" max="59" min="59" style="0" width="22"/>
    <col collapsed="false" customWidth="true" hidden="true" outlineLevel="1" max="60" min="60" style="0" width="9"/>
    <col collapsed="false" customWidth="true" hidden="false" outlineLevel="0" max="61" min="61" style="0" width="8"/>
    <col collapsed="false" customWidth="true" hidden="true" outlineLevel="1" max="62" min="62" style="0" width="11"/>
    <col collapsed="false" customWidth="true" hidden="false" outlineLevel="0" max="63" min="63" style="0" width="9"/>
    <col collapsed="false" customWidth="true" hidden="true" outlineLevel="1" max="64" min="64" style="0" width="9"/>
    <col collapsed="false" customWidth="true" hidden="true" outlineLevel="1" max="66" min="65" style="0" width="15"/>
    <col collapsed="false" customWidth="true" hidden="true" outlineLevel="1" max="68" min="67" style="0" width="9"/>
    <col collapsed="false" customWidth="true" hidden="true" outlineLevel="1" max="70" min="69" style="0" width="15"/>
    <col collapsed="false" customWidth="true" hidden="true" outlineLevel="1" max="72" min="71" style="0" width="9"/>
    <col collapsed="false" customWidth="true" hidden="false" outlineLevel="0" max="73" min="73" style="0" width="16"/>
    <col collapsed="false" customWidth="true" hidden="true" outlineLevel="1" max="75" min="74" style="0" width="18"/>
    <col collapsed="false" customWidth="true" hidden="false" outlineLevel="0" max="76" min="76" style="0" width="9"/>
    <col collapsed="false" customWidth="true" hidden="true" outlineLevel="1" max="78" min="77" style="0" width="9"/>
    <col collapsed="false" customWidth="true" hidden="true" outlineLevel="1" max="79" min="79" style="0" width="10"/>
    <col collapsed="false" customWidth="true" hidden="true" outlineLevel="2" max="213" min="80" style="0" width="11"/>
    <col collapsed="false" customWidth="true" hidden="true" outlineLevel="2" max="215" min="214" style="0" width="8"/>
    <col collapsed="false" customWidth="true" hidden="false" outlineLevel="0" max="216" min="216" style="0" width="1"/>
    <col collapsed="false" customWidth="true" hidden="false" outlineLevel="0" max="366" min="217" style="0" width="2.9"/>
  </cols>
  <sheetData>
    <row r="1" customFormat="false" ht="19.7" hidden="false" customHeight="false" outlineLevel="0" collapsed="false">
      <c r="A1" s="14" t="str">
        <f aca="false">ProjectName&amp;"  -  Task Entry"</f>
        <v>Customer Portal Implementation  -  Task Entry</v>
      </c>
      <c r="HI1" s="72"/>
      <c r="HJ1" s="73" t="s">
        <v>208</v>
      </c>
      <c r="HT1" s="56"/>
      <c r="HU1" s="73" t="s">
        <v>423</v>
      </c>
      <c r="IE1" s="74"/>
      <c r="IF1" s="73" t="s">
        <v>424</v>
      </c>
      <c r="IP1" s="75"/>
      <c r="IQ1" s="73" t="s">
        <v>425</v>
      </c>
      <c r="JA1" s="57"/>
      <c r="JB1" s="73" t="s">
        <v>426</v>
      </c>
      <c r="JL1" s="76"/>
      <c r="JM1" s="73" t="s">
        <v>427</v>
      </c>
    </row>
    <row r="2" customFormat="false" ht="15" hidden="false" customHeight="false" outlineLevel="0" collapsed="false">
      <c r="A2" s="2" t="s">
        <v>428</v>
      </c>
      <c r="HI2" s="77"/>
      <c r="HJ2" s="73" t="s">
        <v>429</v>
      </c>
      <c r="HT2" s="59"/>
      <c r="HU2" s="73" t="s">
        <v>430</v>
      </c>
      <c r="IE2" s="60"/>
      <c r="IF2" s="73" t="s">
        <v>204</v>
      </c>
      <c r="IP2" s="78"/>
      <c r="IQ2" s="73" t="s">
        <v>431</v>
      </c>
      <c r="JA2" s="79"/>
      <c r="JB2" s="73" t="s">
        <v>432</v>
      </c>
    </row>
    <row r="3" customFormat="false" ht="15" hidden="false" customHeight="false" outlineLevel="0" collapsed="false">
      <c r="A3" s="28" t="str">
        <f aca="false">"Next free UID for a new row: "&amp;NextFreeUID</f>
        <v>Next free UID for a new row: 214</v>
      </c>
      <c r="AA3" s="80" t="s">
        <v>433</v>
      </c>
      <c r="H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N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N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A4" s="28" t="s">
        <v>434</v>
      </c>
      <c r="F4" s="28" t="s">
        <v>435</v>
      </c>
      <c r="H4" s="28" t="s">
        <v>436</v>
      </c>
      <c r="S4" s="28" t="s">
        <v>437</v>
      </c>
      <c r="T4" s="28" t="s">
        <v>438</v>
      </c>
      <c r="AB4" s="28" t="s">
        <v>439</v>
      </c>
      <c r="AJ4" s="28" t="s">
        <v>440</v>
      </c>
      <c r="AN4" s="28" t="s">
        <v>441</v>
      </c>
      <c r="BE4" s="28" t="s">
        <v>442</v>
      </c>
      <c r="BI4" s="28" t="s">
        <v>443</v>
      </c>
      <c r="BK4" s="28" t="s">
        <v>444</v>
      </c>
      <c r="BU4" s="28" t="s">
        <v>66</v>
      </c>
      <c r="BX4" s="28" t="s">
        <v>445</v>
      </c>
      <c r="CB4" s="28" t="s">
        <v>446</v>
      </c>
      <c r="H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Oct 26</v>
      </c>
      <c r="H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Nov 26</v>
      </c>
      <c r="I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26</v>
      </c>
      <c r="J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27</v>
      </c>
      <c r="K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27</v>
      </c>
      <c r="L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27</v>
      </c>
      <c r="N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N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42" hidden="false" customHeight="true" outlineLevel="0" collapsed="false">
      <c r="A5" s="17" t="s">
        <v>447</v>
      </c>
      <c r="B5" s="18" t="s">
        <v>448</v>
      </c>
      <c r="C5" s="18" t="s">
        <v>449</v>
      </c>
      <c r="D5" s="18" t="s">
        <v>450</v>
      </c>
      <c r="E5" s="18" t="s">
        <v>60</v>
      </c>
      <c r="F5" s="18" t="s">
        <v>451</v>
      </c>
      <c r="G5" s="18" t="s">
        <v>452</v>
      </c>
      <c r="H5" s="18" t="s">
        <v>453</v>
      </c>
      <c r="I5" s="18" t="s">
        <v>454</v>
      </c>
      <c r="J5" s="18" t="s">
        <v>455</v>
      </c>
      <c r="K5" s="18" t="s">
        <v>456</v>
      </c>
      <c r="L5" s="18" t="s">
        <v>457</v>
      </c>
      <c r="M5" s="18" t="s">
        <v>458</v>
      </c>
      <c r="N5" s="18" t="s">
        <v>459</v>
      </c>
      <c r="O5" s="18" t="s">
        <v>460</v>
      </c>
      <c r="P5" s="18" t="s">
        <v>461</v>
      </c>
      <c r="Q5" s="18" t="s">
        <v>462</v>
      </c>
      <c r="R5" s="18" t="s">
        <v>83</v>
      </c>
      <c r="S5" s="18" t="s">
        <v>463</v>
      </c>
      <c r="T5" s="18" t="s">
        <v>464</v>
      </c>
      <c r="U5" s="18" t="s">
        <v>465</v>
      </c>
      <c r="V5" s="18" t="s">
        <v>466</v>
      </c>
      <c r="W5" s="18" t="s">
        <v>467</v>
      </c>
      <c r="X5" s="18" t="s">
        <v>468</v>
      </c>
      <c r="Y5" s="18" t="s">
        <v>469</v>
      </c>
      <c r="Z5" s="18" t="s">
        <v>470</v>
      </c>
      <c r="AA5" s="18" t="s">
        <v>177</v>
      </c>
      <c r="AB5" s="18" t="s">
        <v>414</v>
      </c>
      <c r="AC5" s="18" t="s">
        <v>471</v>
      </c>
      <c r="AD5" s="18" t="s">
        <v>472</v>
      </c>
      <c r="AE5" s="17" t="s">
        <v>183</v>
      </c>
      <c r="AF5" s="17" t="s">
        <v>178</v>
      </c>
      <c r="AG5" s="17" t="s">
        <v>473</v>
      </c>
      <c r="AH5" s="18" t="s">
        <v>187</v>
      </c>
      <c r="AI5" s="17" t="s">
        <v>474</v>
      </c>
      <c r="AJ5" s="18" t="s">
        <v>204</v>
      </c>
      <c r="AK5" s="18" t="s">
        <v>85</v>
      </c>
      <c r="AL5" s="18" t="s">
        <v>220</v>
      </c>
      <c r="AM5" s="18" t="s">
        <v>475</v>
      </c>
      <c r="AN5" s="17" t="s">
        <v>179</v>
      </c>
      <c r="AO5" s="17" t="s">
        <v>146</v>
      </c>
      <c r="AP5" s="17" t="s">
        <v>180</v>
      </c>
      <c r="AQ5" s="17" t="s">
        <v>196</v>
      </c>
      <c r="AR5" s="17" t="s">
        <v>197</v>
      </c>
      <c r="AS5" s="17" t="s">
        <v>476</v>
      </c>
      <c r="AT5" s="17" t="s">
        <v>157</v>
      </c>
      <c r="AU5" s="17" t="s">
        <v>477</v>
      </c>
      <c r="AV5" s="17" t="s">
        <v>184</v>
      </c>
      <c r="AW5" s="17" t="s">
        <v>478</v>
      </c>
      <c r="AX5" s="17" t="s">
        <v>182</v>
      </c>
      <c r="AY5" s="17" t="s">
        <v>479</v>
      </c>
      <c r="AZ5" s="18" t="s">
        <v>415</v>
      </c>
      <c r="BA5" s="17" t="s">
        <v>181</v>
      </c>
      <c r="BB5" s="17" t="s">
        <v>480</v>
      </c>
      <c r="BC5" s="17" t="s">
        <v>193</v>
      </c>
      <c r="BD5" s="17" t="s">
        <v>481</v>
      </c>
      <c r="BE5" s="17" t="s">
        <v>251</v>
      </c>
      <c r="BF5" s="18" t="s">
        <v>195</v>
      </c>
      <c r="BG5" s="17" t="s">
        <v>482</v>
      </c>
      <c r="BH5" s="17" t="s">
        <v>483</v>
      </c>
      <c r="BI5" s="18" t="s">
        <v>484</v>
      </c>
      <c r="BJ5" s="18" t="s">
        <v>485</v>
      </c>
      <c r="BK5" s="17" t="s">
        <v>486</v>
      </c>
      <c r="BL5" s="17" t="s">
        <v>487</v>
      </c>
      <c r="BM5" s="17" t="s">
        <v>488</v>
      </c>
      <c r="BN5" s="17" t="s">
        <v>489</v>
      </c>
      <c r="BO5" s="17" t="s">
        <v>490</v>
      </c>
      <c r="BP5" s="17" t="s">
        <v>491</v>
      </c>
      <c r="BQ5" s="18" t="s">
        <v>492</v>
      </c>
      <c r="BR5" s="18" t="s">
        <v>493</v>
      </c>
      <c r="BS5" s="18" t="s">
        <v>494</v>
      </c>
      <c r="BT5" s="18" t="s">
        <v>495</v>
      </c>
      <c r="BU5" s="18" t="s">
        <v>496</v>
      </c>
      <c r="BV5" s="18" t="s">
        <v>497</v>
      </c>
      <c r="BW5" s="18" t="s">
        <v>498</v>
      </c>
      <c r="BX5" s="17" t="s">
        <v>499</v>
      </c>
      <c r="BY5" s="18" t="s">
        <v>500</v>
      </c>
      <c r="BZ5" s="18" t="s">
        <v>501</v>
      </c>
      <c r="CA5" s="18" t="s">
        <v>502</v>
      </c>
      <c r="CB5" s="42" t="s">
        <v>503</v>
      </c>
      <c r="CC5" s="42" t="s">
        <v>504</v>
      </c>
      <c r="CD5" s="42" t="s">
        <v>505</v>
      </c>
      <c r="CE5" s="42" t="s">
        <v>506</v>
      </c>
      <c r="CF5" s="42" t="s">
        <v>507</v>
      </c>
      <c r="CG5" s="42" t="s">
        <v>508</v>
      </c>
      <c r="CH5" s="42" t="s">
        <v>509</v>
      </c>
      <c r="CI5" s="42" t="s">
        <v>510</v>
      </c>
      <c r="CJ5" s="42" t="s">
        <v>511</v>
      </c>
      <c r="CK5" s="42" t="s">
        <v>512</v>
      </c>
      <c r="CL5" s="42" t="s">
        <v>513</v>
      </c>
      <c r="CM5" s="42" t="s">
        <v>514</v>
      </c>
      <c r="CN5" s="42" t="s">
        <v>515</v>
      </c>
      <c r="CO5" s="42" t="s">
        <v>516</v>
      </c>
      <c r="CP5" s="42" t="s">
        <v>517</v>
      </c>
      <c r="CQ5" s="42" t="s">
        <v>518</v>
      </c>
      <c r="CR5" s="42" t="s">
        <v>519</v>
      </c>
      <c r="CS5" s="42" t="s">
        <v>520</v>
      </c>
      <c r="CT5" s="42" t="s">
        <v>521</v>
      </c>
      <c r="CU5" s="42" t="s">
        <v>522</v>
      </c>
      <c r="CV5" s="42" t="s">
        <v>523</v>
      </c>
      <c r="CW5" s="42" t="s">
        <v>524</v>
      </c>
      <c r="CX5" s="42" t="s">
        <v>525</v>
      </c>
      <c r="CY5" s="42" t="s">
        <v>526</v>
      </c>
      <c r="CZ5" s="42" t="s">
        <v>527</v>
      </c>
      <c r="DA5" s="42" t="s">
        <v>528</v>
      </c>
      <c r="DB5" s="42" t="s">
        <v>529</v>
      </c>
      <c r="DC5" s="42" t="s">
        <v>530</v>
      </c>
      <c r="DD5" s="42" t="s">
        <v>531</v>
      </c>
      <c r="DE5" s="42" t="s">
        <v>532</v>
      </c>
      <c r="DF5" s="42" t="s">
        <v>533</v>
      </c>
      <c r="DG5" s="42" t="s">
        <v>534</v>
      </c>
      <c r="DH5" s="42" t="s">
        <v>535</v>
      </c>
      <c r="DI5" s="42" t="s">
        <v>536</v>
      </c>
      <c r="DJ5" s="42" t="s">
        <v>537</v>
      </c>
      <c r="DK5" s="42" t="s">
        <v>538</v>
      </c>
      <c r="DL5" s="42" t="s">
        <v>539</v>
      </c>
      <c r="DM5" s="42" t="s">
        <v>540</v>
      </c>
      <c r="DN5" s="42" t="s">
        <v>541</v>
      </c>
      <c r="DO5" s="42" t="s">
        <v>542</v>
      </c>
      <c r="DP5" s="42" t="s">
        <v>543</v>
      </c>
      <c r="DQ5" s="42" t="s">
        <v>544</v>
      </c>
      <c r="DR5" s="42" t="s">
        <v>545</v>
      </c>
      <c r="DS5" s="42" t="s">
        <v>546</v>
      </c>
      <c r="DT5" s="42" t="s">
        <v>547</v>
      </c>
      <c r="DU5" s="42" t="s">
        <v>548</v>
      </c>
      <c r="DV5" s="42" t="s">
        <v>549</v>
      </c>
      <c r="DW5" s="42" t="s">
        <v>550</v>
      </c>
      <c r="DX5" s="42" t="s">
        <v>551</v>
      </c>
      <c r="DY5" s="42" t="s">
        <v>552</v>
      </c>
      <c r="DZ5" s="42" t="s">
        <v>553</v>
      </c>
      <c r="EA5" s="42" t="s">
        <v>554</v>
      </c>
      <c r="EB5" s="42" t="s">
        <v>555</v>
      </c>
      <c r="EC5" s="42" t="s">
        <v>556</v>
      </c>
      <c r="ED5" s="42" t="s">
        <v>557</v>
      </c>
      <c r="EE5" s="42" t="s">
        <v>558</v>
      </c>
      <c r="EF5" s="42" t="s">
        <v>559</v>
      </c>
      <c r="EG5" s="42" t="s">
        <v>560</v>
      </c>
      <c r="EH5" s="42" t="s">
        <v>561</v>
      </c>
      <c r="EI5" s="42" t="s">
        <v>562</v>
      </c>
      <c r="EJ5" s="42" t="s">
        <v>563</v>
      </c>
      <c r="EK5" s="42" t="s">
        <v>564</v>
      </c>
      <c r="EL5" s="42" t="s">
        <v>565</v>
      </c>
      <c r="EM5" s="42" t="s">
        <v>566</v>
      </c>
      <c r="EN5" s="42" t="s">
        <v>567</v>
      </c>
      <c r="EO5" s="42" t="s">
        <v>568</v>
      </c>
      <c r="EP5" s="42" t="s">
        <v>569</v>
      </c>
      <c r="EQ5" s="42" t="s">
        <v>570</v>
      </c>
      <c r="ER5" s="42" t="s">
        <v>571</v>
      </c>
      <c r="ES5" s="42" t="s">
        <v>572</v>
      </c>
      <c r="ET5" s="42" t="s">
        <v>573</v>
      </c>
      <c r="EU5" s="42" t="s">
        <v>574</v>
      </c>
      <c r="EV5" s="42" t="s">
        <v>575</v>
      </c>
      <c r="EW5" s="42" t="s">
        <v>576</v>
      </c>
      <c r="EX5" s="42" t="s">
        <v>577</v>
      </c>
      <c r="EY5" s="42" t="s">
        <v>578</v>
      </c>
      <c r="EZ5" s="42" t="s">
        <v>579</v>
      </c>
      <c r="FA5" s="42" t="s">
        <v>580</v>
      </c>
      <c r="FB5" s="42" t="s">
        <v>581</v>
      </c>
      <c r="FC5" s="42" t="s">
        <v>582</v>
      </c>
      <c r="FD5" s="42" t="s">
        <v>583</v>
      </c>
      <c r="FE5" s="42" t="s">
        <v>584</v>
      </c>
      <c r="FF5" s="42" t="s">
        <v>585</v>
      </c>
      <c r="FG5" s="42" t="s">
        <v>586</v>
      </c>
      <c r="FH5" s="42" t="s">
        <v>587</v>
      </c>
      <c r="FI5" s="42" t="s">
        <v>588</v>
      </c>
      <c r="FJ5" s="42" t="s">
        <v>589</v>
      </c>
      <c r="FK5" s="42" t="s">
        <v>590</v>
      </c>
      <c r="FL5" s="42" t="s">
        <v>591</v>
      </c>
      <c r="FM5" s="42" t="s">
        <v>592</v>
      </c>
      <c r="FN5" s="42" t="s">
        <v>593</v>
      </c>
      <c r="FO5" s="42" t="s">
        <v>594</v>
      </c>
      <c r="FP5" s="42" t="s">
        <v>595</v>
      </c>
      <c r="FQ5" s="42" t="s">
        <v>596</v>
      </c>
      <c r="FR5" s="42" t="s">
        <v>597</v>
      </c>
      <c r="FS5" s="42" t="s">
        <v>598</v>
      </c>
      <c r="FT5" s="42" t="s">
        <v>599</v>
      </c>
      <c r="FU5" s="42" t="s">
        <v>600</v>
      </c>
      <c r="FV5" s="42" t="s">
        <v>601</v>
      </c>
      <c r="FW5" s="42" t="s">
        <v>602</v>
      </c>
      <c r="FX5" s="42" t="s">
        <v>603</v>
      </c>
      <c r="FY5" s="42" t="s">
        <v>604</v>
      </c>
      <c r="FZ5" s="42" t="s">
        <v>605</v>
      </c>
      <c r="GA5" s="42" t="s">
        <v>606</v>
      </c>
      <c r="GB5" s="42" t="s">
        <v>607</v>
      </c>
      <c r="GC5" s="42" t="s">
        <v>608</v>
      </c>
      <c r="GD5" s="42" t="s">
        <v>609</v>
      </c>
      <c r="GE5" s="42" t="s">
        <v>610</v>
      </c>
      <c r="GF5" s="42" t="s">
        <v>611</v>
      </c>
      <c r="GG5" s="42" t="s">
        <v>612</v>
      </c>
      <c r="GH5" s="42" t="s">
        <v>613</v>
      </c>
      <c r="GI5" s="42" t="s">
        <v>614</v>
      </c>
      <c r="GJ5" s="42" t="s">
        <v>615</v>
      </c>
      <c r="GK5" s="42" t="s">
        <v>616</v>
      </c>
      <c r="GL5" s="42" t="s">
        <v>617</v>
      </c>
      <c r="GM5" s="42" t="s">
        <v>618</v>
      </c>
      <c r="GN5" s="42" t="s">
        <v>619</v>
      </c>
      <c r="GO5" s="42" t="s">
        <v>620</v>
      </c>
      <c r="GP5" s="42" t="s">
        <v>621</v>
      </c>
      <c r="GQ5" s="42" t="s">
        <v>622</v>
      </c>
      <c r="GR5" s="42" t="s">
        <v>623</v>
      </c>
      <c r="GS5" s="42" t="s">
        <v>624</v>
      </c>
      <c r="GT5" s="42" t="s">
        <v>625</v>
      </c>
      <c r="GU5" s="42" t="s">
        <v>626</v>
      </c>
      <c r="GV5" s="42" t="s">
        <v>627</v>
      </c>
      <c r="GW5" s="42" t="s">
        <v>628</v>
      </c>
      <c r="GX5" s="42" t="s">
        <v>629</v>
      </c>
      <c r="GY5" s="42" t="s">
        <v>630</v>
      </c>
      <c r="GZ5" s="42" t="s">
        <v>631</v>
      </c>
      <c r="HA5" s="42" t="s">
        <v>632</v>
      </c>
      <c r="HB5" s="42" t="s">
        <v>633</v>
      </c>
      <c r="HC5" s="42" t="s">
        <v>634</v>
      </c>
      <c r="HD5" s="42" t="s">
        <v>635</v>
      </c>
      <c r="HE5" s="42" t="s">
        <v>636</v>
      </c>
      <c r="HF5" s="42" t="s">
        <v>637</v>
      </c>
      <c r="HG5" s="42" t="s">
        <v>638</v>
      </c>
      <c r="HI5" s="83" t="n">
        <f aca="false">IF(GanttPeriod&lt;28,GanttStart+((COLUMN()-COLUMN(gantt_Origin))-1)*GanttPeriod,EDATE(DATE(YEAR(GanttStart),MONTH(GanttStart)-IF(GanttPeriod&gt;=90,MOD(MONTH(GanttStart)-1,3),0),1),((COLUMN()-COLUMN(gantt_Origin))-1)*IF(GanttPeriod&gt;=90,3,1)))</f>
        <v>46300</v>
      </c>
      <c r="HJ5" s="83" t="n">
        <f aca="false">IF(GanttPeriod&lt;28,GanttStart+((COLUMN()-COLUMN(gantt_Origin))-1)*GanttPeriod,EDATE(DATE(YEAR(GanttStart),MONTH(GanttStart)-IF(GanttPeriod&gt;=90,MOD(MONTH(GanttStart)-1,3),0),1),((COLUMN()-COLUMN(gantt_Origin))-1)*IF(GanttPeriod&gt;=90,3,1)))</f>
        <v>46301</v>
      </c>
      <c r="HK5" s="83" t="n">
        <f aca="false">IF(GanttPeriod&lt;28,GanttStart+((COLUMN()-COLUMN(gantt_Origin))-1)*GanttPeriod,EDATE(DATE(YEAR(GanttStart),MONTH(GanttStart)-IF(GanttPeriod&gt;=90,MOD(MONTH(GanttStart)-1,3),0),1),((COLUMN()-COLUMN(gantt_Origin))-1)*IF(GanttPeriod&gt;=90,3,1)))</f>
        <v>46302</v>
      </c>
      <c r="HL5" s="83" t="n">
        <f aca="false">IF(GanttPeriod&lt;28,GanttStart+((COLUMN()-COLUMN(gantt_Origin))-1)*GanttPeriod,EDATE(DATE(YEAR(GanttStart),MONTH(GanttStart)-IF(GanttPeriod&gt;=90,MOD(MONTH(GanttStart)-1,3),0),1),((COLUMN()-COLUMN(gantt_Origin))-1)*IF(GanttPeriod&gt;=90,3,1)))</f>
        <v>46303</v>
      </c>
      <c r="HM5" s="83" t="n">
        <f aca="false">IF(GanttPeriod&lt;28,GanttStart+((COLUMN()-COLUMN(gantt_Origin))-1)*GanttPeriod,EDATE(DATE(YEAR(GanttStart),MONTH(GanttStart)-IF(GanttPeriod&gt;=90,MOD(MONTH(GanttStart)-1,3),0),1),((COLUMN()-COLUMN(gantt_Origin))-1)*IF(GanttPeriod&gt;=90,3,1)))</f>
        <v>46304</v>
      </c>
      <c r="HN5" s="83" t="n">
        <f aca="false">IF(GanttPeriod&lt;28,GanttStart+((COLUMN()-COLUMN(gantt_Origin))-1)*GanttPeriod,EDATE(DATE(YEAR(GanttStart),MONTH(GanttStart)-IF(GanttPeriod&gt;=90,MOD(MONTH(GanttStart)-1,3),0),1),((COLUMN()-COLUMN(gantt_Origin))-1)*IF(GanttPeriod&gt;=90,3,1)))</f>
        <v>46305</v>
      </c>
      <c r="HO5" s="83" t="n">
        <f aca="false">IF(GanttPeriod&lt;28,GanttStart+((COLUMN()-COLUMN(gantt_Origin))-1)*GanttPeriod,EDATE(DATE(YEAR(GanttStart),MONTH(GanttStart)-IF(GanttPeriod&gt;=90,MOD(MONTH(GanttStart)-1,3),0),1),((COLUMN()-COLUMN(gantt_Origin))-1)*IF(GanttPeriod&gt;=90,3,1)))</f>
        <v>46306</v>
      </c>
      <c r="HP5" s="83" t="n">
        <f aca="false">IF(GanttPeriod&lt;28,GanttStart+((COLUMN()-COLUMN(gantt_Origin))-1)*GanttPeriod,EDATE(DATE(YEAR(GanttStart),MONTH(GanttStart)-IF(GanttPeriod&gt;=90,MOD(MONTH(GanttStart)-1,3),0),1),((COLUMN()-COLUMN(gantt_Origin))-1)*IF(GanttPeriod&gt;=90,3,1)))</f>
        <v>46307</v>
      </c>
      <c r="HQ5" s="83" t="n">
        <f aca="false">IF(GanttPeriod&lt;28,GanttStart+((COLUMN()-COLUMN(gantt_Origin))-1)*GanttPeriod,EDATE(DATE(YEAR(GanttStart),MONTH(GanttStart)-IF(GanttPeriod&gt;=90,MOD(MONTH(GanttStart)-1,3),0),1),((COLUMN()-COLUMN(gantt_Origin))-1)*IF(GanttPeriod&gt;=90,3,1)))</f>
        <v>46308</v>
      </c>
      <c r="HR5" s="83" t="n">
        <f aca="false">IF(GanttPeriod&lt;28,GanttStart+((COLUMN()-COLUMN(gantt_Origin))-1)*GanttPeriod,EDATE(DATE(YEAR(GanttStart),MONTH(GanttStart)-IF(GanttPeriod&gt;=90,MOD(MONTH(GanttStart)-1,3),0),1),((COLUMN()-COLUMN(gantt_Origin))-1)*IF(GanttPeriod&gt;=90,3,1)))</f>
        <v>46309</v>
      </c>
      <c r="HS5" s="83" t="n">
        <f aca="false">IF(GanttPeriod&lt;28,GanttStart+((COLUMN()-COLUMN(gantt_Origin))-1)*GanttPeriod,EDATE(DATE(YEAR(GanttStart),MONTH(GanttStart)-IF(GanttPeriod&gt;=90,MOD(MONTH(GanttStart)-1,3),0),1),((COLUMN()-COLUMN(gantt_Origin))-1)*IF(GanttPeriod&gt;=90,3,1)))</f>
        <v>46310</v>
      </c>
      <c r="HT5" s="83" t="n">
        <f aca="false">IF(GanttPeriod&lt;28,GanttStart+((COLUMN()-COLUMN(gantt_Origin))-1)*GanttPeriod,EDATE(DATE(YEAR(GanttStart),MONTH(GanttStart)-IF(GanttPeriod&gt;=90,MOD(MONTH(GanttStart)-1,3),0),1),((COLUMN()-COLUMN(gantt_Origin))-1)*IF(GanttPeriod&gt;=90,3,1)))</f>
        <v>46311</v>
      </c>
      <c r="HU5" s="83" t="n">
        <f aca="false">IF(GanttPeriod&lt;28,GanttStart+((COLUMN()-COLUMN(gantt_Origin))-1)*GanttPeriod,EDATE(DATE(YEAR(GanttStart),MONTH(GanttStart)-IF(GanttPeriod&gt;=90,MOD(MONTH(GanttStart)-1,3),0),1),((COLUMN()-COLUMN(gantt_Origin))-1)*IF(GanttPeriod&gt;=90,3,1)))</f>
        <v>46312</v>
      </c>
      <c r="HV5" s="83" t="n">
        <f aca="false">IF(GanttPeriod&lt;28,GanttStart+((COLUMN()-COLUMN(gantt_Origin))-1)*GanttPeriod,EDATE(DATE(YEAR(GanttStart),MONTH(GanttStart)-IF(GanttPeriod&gt;=90,MOD(MONTH(GanttStart)-1,3),0),1),((COLUMN()-COLUMN(gantt_Origin))-1)*IF(GanttPeriod&gt;=90,3,1)))</f>
        <v>46313</v>
      </c>
      <c r="HW5" s="83" t="n">
        <f aca="false">IF(GanttPeriod&lt;28,GanttStart+((COLUMN()-COLUMN(gantt_Origin))-1)*GanttPeriod,EDATE(DATE(YEAR(GanttStart),MONTH(GanttStart)-IF(GanttPeriod&gt;=90,MOD(MONTH(GanttStart)-1,3),0),1),((COLUMN()-COLUMN(gantt_Origin))-1)*IF(GanttPeriod&gt;=90,3,1)))</f>
        <v>46314</v>
      </c>
      <c r="HX5" s="83" t="n">
        <f aca="false">IF(GanttPeriod&lt;28,GanttStart+((COLUMN()-COLUMN(gantt_Origin))-1)*GanttPeriod,EDATE(DATE(YEAR(GanttStart),MONTH(GanttStart)-IF(GanttPeriod&gt;=90,MOD(MONTH(GanttStart)-1,3),0),1),((COLUMN()-COLUMN(gantt_Origin))-1)*IF(GanttPeriod&gt;=90,3,1)))</f>
        <v>46315</v>
      </c>
      <c r="HY5" s="83" t="n">
        <f aca="false">IF(GanttPeriod&lt;28,GanttStart+((COLUMN()-COLUMN(gantt_Origin))-1)*GanttPeriod,EDATE(DATE(YEAR(GanttStart),MONTH(GanttStart)-IF(GanttPeriod&gt;=90,MOD(MONTH(GanttStart)-1,3),0),1),((COLUMN()-COLUMN(gantt_Origin))-1)*IF(GanttPeriod&gt;=90,3,1)))</f>
        <v>46316</v>
      </c>
      <c r="HZ5" s="83" t="n">
        <f aca="false">IF(GanttPeriod&lt;28,GanttStart+((COLUMN()-COLUMN(gantt_Origin))-1)*GanttPeriod,EDATE(DATE(YEAR(GanttStart),MONTH(GanttStart)-IF(GanttPeriod&gt;=90,MOD(MONTH(GanttStart)-1,3),0),1),((COLUMN()-COLUMN(gantt_Origin))-1)*IF(GanttPeriod&gt;=90,3,1)))</f>
        <v>46317</v>
      </c>
      <c r="IA5" s="83" t="n">
        <f aca="false">IF(GanttPeriod&lt;28,GanttStart+((COLUMN()-COLUMN(gantt_Origin))-1)*GanttPeriod,EDATE(DATE(YEAR(GanttStart),MONTH(GanttStart)-IF(GanttPeriod&gt;=90,MOD(MONTH(GanttStart)-1,3),0),1),((COLUMN()-COLUMN(gantt_Origin))-1)*IF(GanttPeriod&gt;=90,3,1)))</f>
        <v>46318</v>
      </c>
      <c r="IB5" s="83" t="n">
        <f aca="false">IF(GanttPeriod&lt;28,GanttStart+((COLUMN()-COLUMN(gantt_Origin))-1)*GanttPeriod,EDATE(DATE(YEAR(GanttStart),MONTH(GanttStart)-IF(GanttPeriod&gt;=90,MOD(MONTH(GanttStart)-1,3),0),1),((COLUMN()-COLUMN(gantt_Origin))-1)*IF(GanttPeriod&gt;=90,3,1)))</f>
        <v>46319</v>
      </c>
      <c r="IC5" s="83" t="n">
        <f aca="false">IF(GanttPeriod&lt;28,GanttStart+((COLUMN()-COLUMN(gantt_Origin))-1)*GanttPeriod,EDATE(DATE(YEAR(GanttStart),MONTH(GanttStart)-IF(GanttPeriod&gt;=90,MOD(MONTH(GanttStart)-1,3),0),1),((COLUMN()-COLUMN(gantt_Origin))-1)*IF(GanttPeriod&gt;=90,3,1)))</f>
        <v>46320</v>
      </c>
      <c r="ID5" s="83" t="n">
        <f aca="false">IF(GanttPeriod&lt;28,GanttStart+((COLUMN()-COLUMN(gantt_Origin))-1)*GanttPeriod,EDATE(DATE(YEAR(GanttStart),MONTH(GanttStart)-IF(GanttPeriod&gt;=90,MOD(MONTH(GanttStart)-1,3),0),1),((COLUMN()-COLUMN(gantt_Origin))-1)*IF(GanttPeriod&gt;=90,3,1)))</f>
        <v>46321</v>
      </c>
      <c r="IE5" s="83" t="n">
        <f aca="false">IF(GanttPeriod&lt;28,GanttStart+((COLUMN()-COLUMN(gantt_Origin))-1)*GanttPeriod,EDATE(DATE(YEAR(GanttStart),MONTH(GanttStart)-IF(GanttPeriod&gt;=90,MOD(MONTH(GanttStart)-1,3),0),1),((COLUMN()-COLUMN(gantt_Origin))-1)*IF(GanttPeriod&gt;=90,3,1)))</f>
        <v>46322</v>
      </c>
      <c r="IF5" s="83" t="n">
        <f aca="false">IF(GanttPeriod&lt;28,GanttStart+((COLUMN()-COLUMN(gantt_Origin))-1)*GanttPeriod,EDATE(DATE(YEAR(GanttStart),MONTH(GanttStart)-IF(GanttPeriod&gt;=90,MOD(MONTH(GanttStart)-1,3),0),1),((COLUMN()-COLUMN(gantt_Origin))-1)*IF(GanttPeriod&gt;=90,3,1)))</f>
        <v>46323</v>
      </c>
      <c r="IG5" s="83" t="n">
        <f aca="false">IF(GanttPeriod&lt;28,GanttStart+((COLUMN()-COLUMN(gantt_Origin))-1)*GanttPeriod,EDATE(DATE(YEAR(GanttStart),MONTH(GanttStart)-IF(GanttPeriod&gt;=90,MOD(MONTH(GanttStart)-1,3),0),1),((COLUMN()-COLUMN(gantt_Origin))-1)*IF(GanttPeriod&gt;=90,3,1)))</f>
        <v>46324</v>
      </c>
      <c r="IH5" s="83" t="n">
        <f aca="false">IF(GanttPeriod&lt;28,GanttStart+((COLUMN()-COLUMN(gantt_Origin))-1)*GanttPeriod,EDATE(DATE(YEAR(GanttStart),MONTH(GanttStart)-IF(GanttPeriod&gt;=90,MOD(MONTH(GanttStart)-1,3),0),1),((COLUMN()-COLUMN(gantt_Origin))-1)*IF(GanttPeriod&gt;=90,3,1)))</f>
        <v>46325</v>
      </c>
      <c r="II5" s="83" t="n">
        <f aca="false">IF(GanttPeriod&lt;28,GanttStart+((COLUMN()-COLUMN(gantt_Origin))-1)*GanttPeriod,EDATE(DATE(YEAR(GanttStart),MONTH(GanttStart)-IF(GanttPeriod&gt;=90,MOD(MONTH(GanttStart)-1,3),0),1),((COLUMN()-COLUMN(gantt_Origin))-1)*IF(GanttPeriod&gt;=90,3,1)))</f>
        <v>46326</v>
      </c>
      <c r="IJ5" s="83" t="n">
        <f aca="false">IF(GanttPeriod&lt;28,GanttStart+((COLUMN()-COLUMN(gantt_Origin))-1)*GanttPeriod,EDATE(DATE(YEAR(GanttStart),MONTH(GanttStart)-IF(GanttPeriod&gt;=90,MOD(MONTH(GanttStart)-1,3),0),1),((COLUMN()-COLUMN(gantt_Origin))-1)*IF(GanttPeriod&gt;=90,3,1)))</f>
        <v>46327</v>
      </c>
      <c r="IK5" s="83" t="n">
        <f aca="false">IF(GanttPeriod&lt;28,GanttStart+((COLUMN()-COLUMN(gantt_Origin))-1)*GanttPeriod,EDATE(DATE(YEAR(GanttStart),MONTH(GanttStart)-IF(GanttPeriod&gt;=90,MOD(MONTH(GanttStart)-1,3),0),1),((COLUMN()-COLUMN(gantt_Origin))-1)*IF(GanttPeriod&gt;=90,3,1)))</f>
        <v>46328</v>
      </c>
      <c r="IL5" s="83" t="n">
        <f aca="false">IF(GanttPeriod&lt;28,GanttStart+((COLUMN()-COLUMN(gantt_Origin))-1)*GanttPeriod,EDATE(DATE(YEAR(GanttStart),MONTH(GanttStart)-IF(GanttPeriod&gt;=90,MOD(MONTH(GanttStart)-1,3),0),1),((COLUMN()-COLUMN(gantt_Origin))-1)*IF(GanttPeriod&gt;=90,3,1)))</f>
        <v>46329</v>
      </c>
      <c r="IM5" s="83" t="n">
        <f aca="false">IF(GanttPeriod&lt;28,GanttStart+((COLUMN()-COLUMN(gantt_Origin))-1)*GanttPeriod,EDATE(DATE(YEAR(GanttStart),MONTH(GanttStart)-IF(GanttPeriod&gt;=90,MOD(MONTH(GanttStart)-1,3),0),1),((COLUMN()-COLUMN(gantt_Origin))-1)*IF(GanttPeriod&gt;=90,3,1)))</f>
        <v>46330</v>
      </c>
      <c r="IN5" s="83" t="n">
        <f aca="false">IF(GanttPeriod&lt;28,GanttStart+((COLUMN()-COLUMN(gantt_Origin))-1)*GanttPeriod,EDATE(DATE(YEAR(GanttStart),MONTH(GanttStart)-IF(GanttPeriod&gt;=90,MOD(MONTH(GanttStart)-1,3),0),1),((COLUMN()-COLUMN(gantt_Origin))-1)*IF(GanttPeriod&gt;=90,3,1)))</f>
        <v>46331</v>
      </c>
      <c r="IO5" s="83" t="n">
        <f aca="false">IF(GanttPeriod&lt;28,GanttStart+((COLUMN()-COLUMN(gantt_Origin))-1)*GanttPeriod,EDATE(DATE(YEAR(GanttStart),MONTH(GanttStart)-IF(GanttPeriod&gt;=90,MOD(MONTH(GanttStart)-1,3),0),1),((COLUMN()-COLUMN(gantt_Origin))-1)*IF(GanttPeriod&gt;=90,3,1)))</f>
        <v>46332</v>
      </c>
      <c r="IP5" s="83" t="n">
        <f aca="false">IF(GanttPeriod&lt;28,GanttStart+((COLUMN()-COLUMN(gantt_Origin))-1)*GanttPeriod,EDATE(DATE(YEAR(GanttStart),MONTH(GanttStart)-IF(GanttPeriod&gt;=90,MOD(MONTH(GanttStart)-1,3),0),1),((COLUMN()-COLUMN(gantt_Origin))-1)*IF(GanttPeriod&gt;=90,3,1)))</f>
        <v>46333</v>
      </c>
      <c r="IQ5" s="83" t="n">
        <f aca="false">IF(GanttPeriod&lt;28,GanttStart+((COLUMN()-COLUMN(gantt_Origin))-1)*GanttPeriod,EDATE(DATE(YEAR(GanttStart),MONTH(GanttStart)-IF(GanttPeriod&gt;=90,MOD(MONTH(GanttStart)-1,3),0),1),((COLUMN()-COLUMN(gantt_Origin))-1)*IF(GanttPeriod&gt;=90,3,1)))</f>
        <v>46334</v>
      </c>
      <c r="IR5" s="83" t="n">
        <f aca="false">IF(GanttPeriod&lt;28,GanttStart+((COLUMN()-COLUMN(gantt_Origin))-1)*GanttPeriod,EDATE(DATE(YEAR(GanttStart),MONTH(GanttStart)-IF(GanttPeriod&gt;=90,MOD(MONTH(GanttStart)-1,3),0),1),((COLUMN()-COLUMN(gantt_Origin))-1)*IF(GanttPeriod&gt;=90,3,1)))</f>
        <v>46335</v>
      </c>
      <c r="IS5" s="83" t="n">
        <f aca="false">IF(GanttPeriod&lt;28,GanttStart+((COLUMN()-COLUMN(gantt_Origin))-1)*GanttPeriod,EDATE(DATE(YEAR(GanttStart),MONTH(GanttStart)-IF(GanttPeriod&gt;=90,MOD(MONTH(GanttStart)-1,3),0),1),((COLUMN()-COLUMN(gantt_Origin))-1)*IF(GanttPeriod&gt;=90,3,1)))</f>
        <v>46336</v>
      </c>
      <c r="IT5" s="83" t="n">
        <f aca="false">IF(GanttPeriod&lt;28,GanttStart+((COLUMN()-COLUMN(gantt_Origin))-1)*GanttPeriod,EDATE(DATE(YEAR(GanttStart),MONTH(GanttStart)-IF(GanttPeriod&gt;=90,MOD(MONTH(GanttStart)-1,3),0),1),((COLUMN()-COLUMN(gantt_Origin))-1)*IF(GanttPeriod&gt;=90,3,1)))</f>
        <v>46337</v>
      </c>
      <c r="IU5" s="83" t="n">
        <f aca="false">IF(GanttPeriod&lt;28,GanttStart+((COLUMN()-COLUMN(gantt_Origin))-1)*GanttPeriod,EDATE(DATE(YEAR(GanttStart),MONTH(GanttStart)-IF(GanttPeriod&gt;=90,MOD(MONTH(GanttStart)-1,3),0),1),((COLUMN()-COLUMN(gantt_Origin))-1)*IF(GanttPeriod&gt;=90,3,1)))</f>
        <v>46338</v>
      </c>
      <c r="IV5" s="83" t="n">
        <f aca="false">IF(GanttPeriod&lt;28,GanttStart+((COLUMN()-COLUMN(gantt_Origin))-1)*GanttPeriod,EDATE(DATE(YEAR(GanttStart),MONTH(GanttStart)-IF(GanttPeriod&gt;=90,MOD(MONTH(GanttStart)-1,3),0),1),((COLUMN()-COLUMN(gantt_Origin))-1)*IF(GanttPeriod&gt;=90,3,1)))</f>
        <v>46339</v>
      </c>
      <c r="IW5" s="83" t="n">
        <f aca="false">IF(GanttPeriod&lt;28,GanttStart+((COLUMN()-COLUMN(gantt_Origin))-1)*GanttPeriod,EDATE(DATE(YEAR(GanttStart),MONTH(GanttStart)-IF(GanttPeriod&gt;=90,MOD(MONTH(GanttStart)-1,3),0),1),((COLUMN()-COLUMN(gantt_Origin))-1)*IF(GanttPeriod&gt;=90,3,1)))</f>
        <v>46340</v>
      </c>
      <c r="IX5" s="83" t="n">
        <f aca="false">IF(GanttPeriod&lt;28,GanttStart+((COLUMN()-COLUMN(gantt_Origin))-1)*GanttPeriod,EDATE(DATE(YEAR(GanttStart),MONTH(GanttStart)-IF(GanttPeriod&gt;=90,MOD(MONTH(GanttStart)-1,3),0),1),((COLUMN()-COLUMN(gantt_Origin))-1)*IF(GanttPeriod&gt;=90,3,1)))</f>
        <v>46341</v>
      </c>
      <c r="IY5" s="83" t="n">
        <f aca="false">IF(GanttPeriod&lt;28,GanttStart+((COLUMN()-COLUMN(gantt_Origin))-1)*GanttPeriod,EDATE(DATE(YEAR(GanttStart),MONTH(GanttStart)-IF(GanttPeriod&gt;=90,MOD(MONTH(GanttStart)-1,3),0),1),((COLUMN()-COLUMN(gantt_Origin))-1)*IF(GanttPeriod&gt;=90,3,1)))</f>
        <v>46342</v>
      </c>
      <c r="IZ5" s="83" t="n">
        <f aca="false">IF(GanttPeriod&lt;28,GanttStart+((COLUMN()-COLUMN(gantt_Origin))-1)*GanttPeriod,EDATE(DATE(YEAR(GanttStart),MONTH(GanttStart)-IF(GanttPeriod&gt;=90,MOD(MONTH(GanttStart)-1,3),0),1),((COLUMN()-COLUMN(gantt_Origin))-1)*IF(GanttPeriod&gt;=90,3,1)))</f>
        <v>46343</v>
      </c>
      <c r="JA5" s="83" t="n">
        <f aca="false">IF(GanttPeriod&lt;28,GanttStart+((COLUMN()-COLUMN(gantt_Origin))-1)*GanttPeriod,EDATE(DATE(YEAR(GanttStart),MONTH(GanttStart)-IF(GanttPeriod&gt;=90,MOD(MONTH(GanttStart)-1,3),0),1),((COLUMN()-COLUMN(gantt_Origin))-1)*IF(GanttPeriod&gt;=90,3,1)))</f>
        <v>46344</v>
      </c>
      <c r="JB5" s="83" t="n">
        <f aca="false">IF(GanttPeriod&lt;28,GanttStart+((COLUMN()-COLUMN(gantt_Origin))-1)*GanttPeriod,EDATE(DATE(YEAR(GanttStart),MONTH(GanttStart)-IF(GanttPeriod&gt;=90,MOD(MONTH(GanttStart)-1,3),0),1),((COLUMN()-COLUMN(gantt_Origin))-1)*IF(GanttPeriod&gt;=90,3,1)))</f>
        <v>46345</v>
      </c>
      <c r="JC5" s="83" t="n">
        <f aca="false">IF(GanttPeriod&lt;28,GanttStart+((COLUMN()-COLUMN(gantt_Origin))-1)*GanttPeriod,EDATE(DATE(YEAR(GanttStart),MONTH(GanttStart)-IF(GanttPeriod&gt;=90,MOD(MONTH(GanttStart)-1,3),0),1),((COLUMN()-COLUMN(gantt_Origin))-1)*IF(GanttPeriod&gt;=90,3,1)))</f>
        <v>46346</v>
      </c>
      <c r="JD5" s="83" t="n">
        <f aca="false">IF(GanttPeriod&lt;28,GanttStart+((COLUMN()-COLUMN(gantt_Origin))-1)*GanttPeriod,EDATE(DATE(YEAR(GanttStart),MONTH(GanttStart)-IF(GanttPeriod&gt;=90,MOD(MONTH(GanttStart)-1,3),0),1),((COLUMN()-COLUMN(gantt_Origin))-1)*IF(GanttPeriod&gt;=90,3,1)))</f>
        <v>46347</v>
      </c>
      <c r="JE5" s="83" t="n">
        <f aca="false">IF(GanttPeriod&lt;28,GanttStart+((COLUMN()-COLUMN(gantt_Origin))-1)*GanttPeriod,EDATE(DATE(YEAR(GanttStart),MONTH(GanttStart)-IF(GanttPeriod&gt;=90,MOD(MONTH(GanttStart)-1,3),0),1),((COLUMN()-COLUMN(gantt_Origin))-1)*IF(GanttPeriod&gt;=90,3,1)))</f>
        <v>46348</v>
      </c>
      <c r="JF5" s="83" t="n">
        <f aca="false">IF(GanttPeriod&lt;28,GanttStart+((COLUMN()-COLUMN(gantt_Origin))-1)*GanttPeriod,EDATE(DATE(YEAR(GanttStart),MONTH(GanttStart)-IF(GanttPeriod&gt;=90,MOD(MONTH(GanttStart)-1,3),0),1),((COLUMN()-COLUMN(gantt_Origin))-1)*IF(GanttPeriod&gt;=90,3,1)))</f>
        <v>46349</v>
      </c>
      <c r="JG5" s="83" t="n">
        <f aca="false">IF(GanttPeriod&lt;28,GanttStart+((COLUMN()-COLUMN(gantt_Origin))-1)*GanttPeriod,EDATE(DATE(YEAR(GanttStart),MONTH(GanttStart)-IF(GanttPeriod&gt;=90,MOD(MONTH(GanttStart)-1,3),0),1),((COLUMN()-COLUMN(gantt_Origin))-1)*IF(GanttPeriod&gt;=90,3,1)))</f>
        <v>46350</v>
      </c>
      <c r="JH5" s="83" t="n">
        <f aca="false">IF(GanttPeriod&lt;28,GanttStart+((COLUMN()-COLUMN(gantt_Origin))-1)*GanttPeriod,EDATE(DATE(YEAR(GanttStart),MONTH(GanttStart)-IF(GanttPeriod&gt;=90,MOD(MONTH(GanttStart)-1,3),0),1),((COLUMN()-COLUMN(gantt_Origin))-1)*IF(GanttPeriod&gt;=90,3,1)))</f>
        <v>46351</v>
      </c>
      <c r="JI5" s="83" t="n">
        <f aca="false">IF(GanttPeriod&lt;28,GanttStart+((COLUMN()-COLUMN(gantt_Origin))-1)*GanttPeriod,EDATE(DATE(YEAR(GanttStart),MONTH(GanttStart)-IF(GanttPeriod&gt;=90,MOD(MONTH(GanttStart)-1,3),0),1),((COLUMN()-COLUMN(gantt_Origin))-1)*IF(GanttPeriod&gt;=90,3,1)))</f>
        <v>46352</v>
      </c>
      <c r="JJ5" s="83" t="n">
        <f aca="false">IF(GanttPeriod&lt;28,GanttStart+((COLUMN()-COLUMN(gantt_Origin))-1)*GanttPeriod,EDATE(DATE(YEAR(GanttStart),MONTH(GanttStart)-IF(GanttPeriod&gt;=90,MOD(MONTH(GanttStart)-1,3),0),1),((COLUMN()-COLUMN(gantt_Origin))-1)*IF(GanttPeriod&gt;=90,3,1)))</f>
        <v>46353</v>
      </c>
      <c r="JK5" s="83" t="n">
        <f aca="false">IF(GanttPeriod&lt;28,GanttStart+((COLUMN()-COLUMN(gantt_Origin))-1)*GanttPeriod,EDATE(DATE(YEAR(GanttStart),MONTH(GanttStart)-IF(GanttPeriod&gt;=90,MOD(MONTH(GanttStart)-1,3),0),1),((COLUMN()-COLUMN(gantt_Origin))-1)*IF(GanttPeriod&gt;=90,3,1)))</f>
        <v>46354</v>
      </c>
      <c r="JL5" s="83" t="n">
        <f aca="false">IF(GanttPeriod&lt;28,GanttStart+((COLUMN()-COLUMN(gantt_Origin))-1)*GanttPeriod,EDATE(DATE(YEAR(GanttStart),MONTH(GanttStart)-IF(GanttPeriod&gt;=90,MOD(MONTH(GanttStart)-1,3),0),1),((COLUMN()-COLUMN(gantt_Origin))-1)*IF(GanttPeriod&gt;=90,3,1)))</f>
        <v>46355</v>
      </c>
      <c r="JM5" s="83" t="n">
        <f aca="false">IF(GanttPeriod&lt;28,GanttStart+((COLUMN()-COLUMN(gantt_Origin))-1)*GanttPeriod,EDATE(DATE(YEAR(GanttStart),MONTH(GanttStart)-IF(GanttPeriod&gt;=90,MOD(MONTH(GanttStart)-1,3),0),1),((COLUMN()-COLUMN(gantt_Origin))-1)*IF(GanttPeriod&gt;=90,3,1)))</f>
        <v>46356</v>
      </c>
      <c r="JN5" s="83" t="n">
        <f aca="false">IF(GanttPeriod&lt;28,GanttStart+((COLUMN()-COLUMN(gantt_Origin))-1)*GanttPeriod,EDATE(DATE(YEAR(GanttStart),MONTH(GanttStart)-IF(GanttPeriod&gt;=90,MOD(MONTH(GanttStart)-1,3),0),1),((COLUMN()-COLUMN(gantt_Origin))-1)*IF(GanttPeriod&gt;=90,3,1)))</f>
        <v>46357</v>
      </c>
      <c r="JO5" s="83" t="n">
        <f aca="false">IF(GanttPeriod&lt;28,GanttStart+((COLUMN()-COLUMN(gantt_Origin))-1)*GanttPeriod,EDATE(DATE(YEAR(GanttStart),MONTH(GanttStart)-IF(GanttPeriod&gt;=90,MOD(MONTH(GanttStart)-1,3),0),1),((COLUMN()-COLUMN(gantt_Origin))-1)*IF(GanttPeriod&gt;=90,3,1)))</f>
        <v>46358</v>
      </c>
      <c r="JP5" s="83" t="n">
        <f aca="false">IF(GanttPeriod&lt;28,GanttStart+((COLUMN()-COLUMN(gantt_Origin))-1)*GanttPeriod,EDATE(DATE(YEAR(GanttStart),MONTH(GanttStart)-IF(GanttPeriod&gt;=90,MOD(MONTH(GanttStart)-1,3),0),1),((COLUMN()-COLUMN(gantt_Origin))-1)*IF(GanttPeriod&gt;=90,3,1)))</f>
        <v>46359</v>
      </c>
      <c r="JQ5" s="83" t="n">
        <f aca="false">IF(GanttPeriod&lt;28,GanttStart+((COLUMN()-COLUMN(gantt_Origin))-1)*GanttPeriod,EDATE(DATE(YEAR(GanttStart),MONTH(GanttStart)-IF(GanttPeriod&gt;=90,MOD(MONTH(GanttStart)-1,3),0),1),((COLUMN()-COLUMN(gantt_Origin))-1)*IF(GanttPeriod&gt;=90,3,1)))</f>
        <v>46360</v>
      </c>
      <c r="JR5" s="83" t="n">
        <f aca="false">IF(GanttPeriod&lt;28,GanttStart+((COLUMN()-COLUMN(gantt_Origin))-1)*GanttPeriod,EDATE(DATE(YEAR(GanttStart),MONTH(GanttStart)-IF(GanttPeriod&gt;=90,MOD(MONTH(GanttStart)-1,3),0),1),((COLUMN()-COLUMN(gantt_Origin))-1)*IF(GanttPeriod&gt;=90,3,1)))</f>
        <v>46361</v>
      </c>
      <c r="JS5" s="83" t="n">
        <f aca="false">IF(GanttPeriod&lt;28,GanttStart+((COLUMN()-COLUMN(gantt_Origin))-1)*GanttPeriod,EDATE(DATE(YEAR(GanttStart),MONTH(GanttStart)-IF(GanttPeriod&gt;=90,MOD(MONTH(GanttStart)-1,3),0),1),((COLUMN()-COLUMN(gantt_Origin))-1)*IF(GanttPeriod&gt;=90,3,1)))</f>
        <v>46362</v>
      </c>
      <c r="JT5" s="83" t="n">
        <f aca="false">IF(GanttPeriod&lt;28,GanttStart+((COLUMN()-COLUMN(gantt_Origin))-1)*GanttPeriod,EDATE(DATE(YEAR(GanttStart),MONTH(GanttStart)-IF(GanttPeriod&gt;=90,MOD(MONTH(GanttStart)-1,3),0),1),((COLUMN()-COLUMN(gantt_Origin))-1)*IF(GanttPeriod&gt;=90,3,1)))</f>
        <v>46363</v>
      </c>
      <c r="JU5" s="83" t="n">
        <f aca="false">IF(GanttPeriod&lt;28,GanttStart+((COLUMN()-COLUMN(gantt_Origin))-1)*GanttPeriod,EDATE(DATE(YEAR(GanttStart),MONTH(GanttStart)-IF(GanttPeriod&gt;=90,MOD(MONTH(GanttStart)-1,3),0),1),((COLUMN()-COLUMN(gantt_Origin))-1)*IF(GanttPeriod&gt;=90,3,1)))</f>
        <v>46364</v>
      </c>
      <c r="JV5" s="83" t="n">
        <f aca="false">IF(GanttPeriod&lt;28,GanttStart+((COLUMN()-COLUMN(gantt_Origin))-1)*GanttPeriod,EDATE(DATE(YEAR(GanttStart),MONTH(GanttStart)-IF(GanttPeriod&gt;=90,MOD(MONTH(GanttStart)-1,3),0),1),((COLUMN()-COLUMN(gantt_Origin))-1)*IF(GanttPeriod&gt;=90,3,1)))</f>
        <v>46365</v>
      </c>
      <c r="JW5" s="83" t="n">
        <f aca="false">IF(GanttPeriod&lt;28,GanttStart+((COLUMN()-COLUMN(gantt_Origin))-1)*GanttPeriod,EDATE(DATE(YEAR(GanttStart),MONTH(GanttStart)-IF(GanttPeriod&gt;=90,MOD(MONTH(GanttStart)-1,3),0),1),((COLUMN()-COLUMN(gantt_Origin))-1)*IF(GanttPeriod&gt;=90,3,1)))</f>
        <v>46366</v>
      </c>
      <c r="JX5" s="83" t="n">
        <f aca="false">IF(GanttPeriod&lt;28,GanttStart+((COLUMN()-COLUMN(gantt_Origin))-1)*GanttPeriod,EDATE(DATE(YEAR(GanttStart),MONTH(GanttStart)-IF(GanttPeriod&gt;=90,MOD(MONTH(GanttStart)-1,3),0),1),((COLUMN()-COLUMN(gantt_Origin))-1)*IF(GanttPeriod&gt;=90,3,1)))</f>
        <v>46367</v>
      </c>
      <c r="JY5" s="83" t="n">
        <f aca="false">IF(GanttPeriod&lt;28,GanttStart+((COLUMN()-COLUMN(gantt_Origin))-1)*GanttPeriod,EDATE(DATE(YEAR(GanttStart),MONTH(GanttStart)-IF(GanttPeriod&gt;=90,MOD(MONTH(GanttStart)-1,3),0),1),((COLUMN()-COLUMN(gantt_Origin))-1)*IF(GanttPeriod&gt;=90,3,1)))</f>
        <v>46368</v>
      </c>
      <c r="JZ5" s="83" t="n">
        <f aca="false">IF(GanttPeriod&lt;28,GanttStart+((COLUMN()-COLUMN(gantt_Origin))-1)*GanttPeriod,EDATE(DATE(YEAR(GanttStart),MONTH(GanttStart)-IF(GanttPeriod&gt;=90,MOD(MONTH(GanttStart)-1,3),0),1),((COLUMN()-COLUMN(gantt_Origin))-1)*IF(GanttPeriod&gt;=90,3,1)))</f>
        <v>46369</v>
      </c>
      <c r="KA5" s="83" t="n">
        <f aca="false">IF(GanttPeriod&lt;28,GanttStart+((COLUMN()-COLUMN(gantt_Origin))-1)*GanttPeriod,EDATE(DATE(YEAR(GanttStart),MONTH(GanttStart)-IF(GanttPeriod&gt;=90,MOD(MONTH(GanttStart)-1,3),0),1),((COLUMN()-COLUMN(gantt_Origin))-1)*IF(GanttPeriod&gt;=90,3,1)))</f>
        <v>46370</v>
      </c>
      <c r="KB5" s="83" t="n">
        <f aca="false">IF(GanttPeriod&lt;28,GanttStart+((COLUMN()-COLUMN(gantt_Origin))-1)*GanttPeriod,EDATE(DATE(YEAR(GanttStart),MONTH(GanttStart)-IF(GanttPeriod&gt;=90,MOD(MONTH(GanttStart)-1,3),0),1),((COLUMN()-COLUMN(gantt_Origin))-1)*IF(GanttPeriod&gt;=90,3,1)))</f>
        <v>46371</v>
      </c>
      <c r="KC5" s="83" t="n">
        <f aca="false">IF(GanttPeriod&lt;28,GanttStart+((COLUMN()-COLUMN(gantt_Origin))-1)*GanttPeriod,EDATE(DATE(YEAR(GanttStart),MONTH(GanttStart)-IF(GanttPeriod&gt;=90,MOD(MONTH(GanttStart)-1,3),0),1),((COLUMN()-COLUMN(gantt_Origin))-1)*IF(GanttPeriod&gt;=90,3,1)))</f>
        <v>46372</v>
      </c>
      <c r="KD5" s="83" t="n">
        <f aca="false">IF(GanttPeriod&lt;28,GanttStart+((COLUMN()-COLUMN(gantt_Origin))-1)*GanttPeriod,EDATE(DATE(YEAR(GanttStart),MONTH(GanttStart)-IF(GanttPeriod&gt;=90,MOD(MONTH(GanttStart)-1,3),0),1),((COLUMN()-COLUMN(gantt_Origin))-1)*IF(GanttPeriod&gt;=90,3,1)))</f>
        <v>46373</v>
      </c>
      <c r="KE5" s="83" t="n">
        <f aca="false">IF(GanttPeriod&lt;28,GanttStart+((COLUMN()-COLUMN(gantt_Origin))-1)*GanttPeriod,EDATE(DATE(YEAR(GanttStart),MONTH(GanttStart)-IF(GanttPeriod&gt;=90,MOD(MONTH(GanttStart)-1,3),0),1),((COLUMN()-COLUMN(gantt_Origin))-1)*IF(GanttPeriod&gt;=90,3,1)))</f>
        <v>46374</v>
      </c>
      <c r="KF5" s="83" t="n">
        <f aca="false">IF(GanttPeriod&lt;28,GanttStart+((COLUMN()-COLUMN(gantt_Origin))-1)*GanttPeriod,EDATE(DATE(YEAR(GanttStart),MONTH(GanttStart)-IF(GanttPeriod&gt;=90,MOD(MONTH(GanttStart)-1,3),0),1),((COLUMN()-COLUMN(gantt_Origin))-1)*IF(GanttPeriod&gt;=90,3,1)))</f>
        <v>46375</v>
      </c>
      <c r="KG5" s="83" t="n">
        <f aca="false">IF(GanttPeriod&lt;28,GanttStart+((COLUMN()-COLUMN(gantt_Origin))-1)*GanttPeriod,EDATE(DATE(YEAR(GanttStart),MONTH(GanttStart)-IF(GanttPeriod&gt;=90,MOD(MONTH(GanttStart)-1,3),0),1),((COLUMN()-COLUMN(gantt_Origin))-1)*IF(GanttPeriod&gt;=90,3,1)))</f>
        <v>46376</v>
      </c>
      <c r="KH5" s="83" t="n">
        <f aca="false">IF(GanttPeriod&lt;28,GanttStart+((COLUMN()-COLUMN(gantt_Origin))-1)*GanttPeriod,EDATE(DATE(YEAR(GanttStart),MONTH(GanttStart)-IF(GanttPeriod&gt;=90,MOD(MONTH(GanttStart)-1,3),0),1),((COLUMN()-COLUMN(gantt_Origin))-1)*IF(GanttPeriod&gt;=90,3,1)))</f>
        <v>46377</v>
      </c>
      <c r="KI5" s="83" t="n">
        <f aca="false">IF(GanttPeriod&lt;28,GanttStart+((COLUMN()-COLUMN(gantt_Origin))-1)*GanttPeriod,EDATE(DATE(YEAR(GanttStart),MONTH(GanttStart)-IF(GanttPeriod&gt;=90,MOD(MONTH(GanttStart)-1,3),0),1),((COLUMN()-COLUMN(gantt_Origin))-1)*IF(GanttPeriod&gt;=90,3,1)))</f>
        <v>46378</v>
      </c>
      <c r="KJ5" s="83" t="n">
        <f aca="false">IF(GanttPeriod&lt;28,GanttStart+((COLUMN()-COLUMN(gantt_Origin))-1)*GanttPeriod,EDATE(DATE(YEAR(GanttStart),MONTH(GanttStart)-IF(GanttPeriod&gt;=90,MOD(MONTH(GanttStart)-1,3),0),1),((COLUMN()-COLUMN(gantt_Origin))-1)*IF(GanttPeriod&gt;=90,3,1)))</f>
        <v>46379</v>
      </c>
      <c r="KK5" s="83" t="n">
        <f aca="false">IF(GanttPeriod&lt;28,GanttStart+((COLUMN()-COLUMN(gantt_Origin))-1)*GanttPeriod,EDATE(DATE(YEAR(GanttStart),MONTH(GanttStart)-IF(GanttPeriod&gt;=90,MOD(MONTH(GanttStart)-1,3),0),1),((COLUMN()-COLUMN(gantt_Origin))-1)*IF(GanttPeriod&gt;=90,3,1)))</f>
        <v>46380</v>
      </c>
      <c r="KL5" s="83" t="n">
        <f aca="false">IF(GanttPeriod&lt;28,GanttStart+((COLUMN()-COLUMN(gantt_Origin))-1)*GanttPeriod,EDATE(DATE(YEAR(GanttStart),MONTH(GanttStart)-IF(GanttPeriod&gt;=90,MOD(MONTH(GanttStart)-1,3),0),1),((COLUMN()-COLUMN(gantt_Origin))-1)*IF(GanttPeriod&gt;=90,3,1)))</f>
        <v>46381</v>
      </c>
      <c r="KM5" s="83" t="n">
        <f aca="false">IF(GanttPeriod&lt;28,GanttStart+((COLUMN()-COLUMN(gantt_Origin))-1)*GanttPeriod,EDATE(DATE(YEAR(GanttStart),MONTH(GanttStart)-IF(GanttPeriod&gt;=90,MOD(MONTH(GanttStart)-1,3),0),1),((COLUMN()-COLUMN(gantt_Origin))-1)*IF(GanttPeriod&gt;=90,3,1)))</f>
        <v>46382</v>
      </c>
      <c r="KN5" s="83" t="n">
        <f aca="false">IF(GanttPeriod&lt;28,GanttStart+((COLUMN()-COLUMN(gantt_Origin))-1)*GanttPeriod,EDATE(DATE(YEAR(GanttStart),MONTH(GanttStart)-IF(GanttPeriod&gt;=90,MOD(MONTH(GanttStart)-1,3),0),1),((COLUMN()-COLUMN(gantt_Origin))-1)*IF(GanttPeriod&gt;=90,3,1)))</f>
        <v>46383</v>
      </c>
      <c r="KO5" s="83" t="n">
        <f aca="false">IF(GanttPeriod&lt;28,GanttStart+((COLUMN()-COLUMN(gantt_Origin))-1)*GanttPeriod,EDATE(DATE(YEAR(GanttStart),MONTH(GanttStart)-IF(GanttPeriod&gt;=90,MOD(MONTH(GanttStart)-1,3),0),1),((COLUMN()-COLUMN(gantt_Origin))-1)*IF(GanttPeriod&gt;=90,3,1)))</f>
        <v>46384</v>
      </c>
      <c r="KP5" s="83" t="n">
        <f aca="false">IF(GanttPeriod&lt;28,GanttStart+((COLUMN()-COLUMN(gantt_Origin))-1)*GanttPeriod,EDATE(DATE(YEAR(GanttStart),MONTH(GanttStart)-IF(GanttPeriod&gt;=90,MOD(MONTH(GanttStart)-1,3),0),1),((COLUMN()-COLUMN(gantt_Origin))-1)*IF(GanttPeriod&gt;=90,3,1)))</f>
        <v>46385</v>
      </c>
      <c r="KQ5" s="83" t="n">
        <f aca="false">IF(GanttPeriod&lt;28,GanttStart+((COLUMN()-COLUMN(gantt_Origin))-1)*GanttPeriod,EDATE(DATE(YEAR(GanttStart),MONTH(GanttStart)-IF(GanttPeriod&gt;=90,MOD(MONTH(GanttStart)-1,3),0),1),((COLUMN()-COLUMN(gantt_Origin))-1)*IF(GanttPeriod&gt;=90,3,1)))</f>
        <v>46386</v>
      </c>
      <c r="KR5" s="83" t="n">
        <f aca="false">IF(GanttPeriod&lt;28,GanttStart+((COLUMN()-COLUMN(gantt_Origin))-1)*GanttPeriod,EDATE(DATE(YEAR(GanttStart),MONTH(GanttStart)-IF(GanttPeriod&gt;=90,MOD(MONTH(GanttStart)-1,3),0),1),((COLUMN()-COLUMN(gantt_Origin))-1)*IF(GanttPeriod&gt;=90,3,1)))</f>
        <v>46387</v>
      </c>
      <c r="KS5" s="83" t="n">
        <f aca="false">IF(GanttPeriod&lt;28,GanttStart+((COLUMN()-COLUMN(gantt_Origin))-1)*GanttPeriod,EDATE(DATE(YEAR(GanttStart),MONTH(GanttStart)-IF(GanttPeriod&gt;=90,MOD(MONTH(GanttStart)-1,3),0),1),((COLUMN()-COLUMN(gantt_Origin))-1)*IF(GanttPeriod&gt;=90,3,1)))</f>
        <v>46388</v>
      </c>
      <c r="KT5" s="83" t="n">
        <f aca="false">IF(GanttPeriod&lt;28,GanttStart+((COLUMN()-COLUMN(gantt_Origin))-1)*GanttPeriod,EDATE(DATE(YEAR(GanttStart),MONTH(GanttStart)-IF(GanttPeriod&gt;=90,MOD(MONTH(GanttStart)-1,3),0),1),((COLUMN()-COLUMN(gantt_Origin))-1)*IF(GanttPeriod&gt;=90,3,1)))</f>
        <v>46389</v>
      </c>
      <c r="KU5" s="83" t="n">
        <f aca="false">IF(GanttPeriod&lt;28,GanttStart+((COLUMN()-COLUMN(gantt_Origin))-1)*GanttPeriod,EDATE(DATE(YEAR(GanttStart),MONTH(GanttStart)-IF(GanttPeriod&gt;=90,MOD(MONTH(GanttStart)-1,3),0),1),((COLUMN()-COLUMN(gantt_Origin))-1)*IF(GanttPeriod&gt;=90,3,1)))</f>
        <v>46390</v>
      </c>
      <c r="KV5" s="83" t="n">
        <f aca="false">IF(GanttPeriod&lt;28,GanttStart+((COLUMN()-COLUMN(gantt_Origin))-1)*GanttPeriod,EDATE(DATE(YEAR(GanttStart),MONTH(GanttStart)-IF(GanttPeriod&gt;=90,MOD(MONTH(GanttStart)-1,3),0),1),((COLUMN()-COLUMN(gantt_Origin))-1)*IF(GanttPeriod&gt;=90,3,1)))</f>
        <v>46391</v>
      </c>
      <c r="KW5" s="83" t="n">
        <f aca="false">IF(GanttPeriod&lt;28,GanttStart+((COLUMN()-COLUMN(gantt_Origin))-1)*GanttPeriod,EDATE(DATE(YEAR(GanttStart),MONTH(GanttStart)-IF(GanttPeriod&gt;=90,MOD(MONTH(GanttStart)-1,3),0),1),((COLUMN()-COLUMN(gantt_Origin))-1)*IF(GanttPeriod&gt;=90,3,1)))</f>
        <v>46392</v>
      </c>
      <c r="KX5" s="83" t="n">
        <f aca="false">IF(GanttPeriod&lt;28,GanttStart+((COLUMN()-COLUMN(gantt_Origin))-1)*GanttPeriod,EDATE(DATE(YEAR(GanttStart),MONTH(GanttStart)-IF(GanttPeriod&gt;=90,MOD(MONTH(GanttStart)-1,3),0),1),((COLUMN()-COLUMN(gantt_Origin))-1)*IF(GanttPeriod&gt;=90,3,1)))</f>
        <v>46393</v>
      </c>
      <c r="KY5" s="83" t="n">
        <f aca="false">IF(GanttPeriod&lt;28,GanttStart+((COLUMN()-COLUMN(gantt_Origin))-1)*GanttPeriod,EDATE(DATE(YEAR(GanttStart),MONTH(GanttStart)-IF(GanttPeriod&gt;=90,MOD(MONTH(GanttStart)-1,3),0),1),((COLUMN()-COLUMN(gantt_Origin))-1)*IF(GanttPeriod&gt;=90,3,1)))</f>
        <v>46394</v>
      </c>
      <c r="KZ5" s="83" t="n">
        <f aca="false">IF(GanttPeriod&lt;28,GanttStart+((COLUMN()-COLUMN(gantt_Origin))-1)*GanttPeriod,EDATE(DATE(YEAR(GanttStart),MONTH(GanttStart)-IF(GanttPeriod&gt;=90,MOD(MONTH(GanttStart)-1,3),0),1),((COLUMN()-COLUMN(gantt_Origin))-1)*IF(GanttPeriod&gt;=90,3,1)))</f>
        <v>46395</v>
      </c>
      <c r="LA5" s="83" t="n">
        <f aca="false">IF(GanttPeriod&lt;28,GanttStart+((COLUMN()-COLUMN(gantt_Origin))-1)*GanttPeriod,EDATE(DATE(YEAR(GanttStart),MONTH(GanttStart)-IF(GanttPeriod&gt;=90,MOD(MONTH(GanttStart)-1,3),0),1),((COLUMN()-COLUMN(gantt_Origin))-1)*IF(GanttPeriod&gt;=90,3,1)))</f>
        <v>46396</v>
      </c>
      <c r="LB5" s="83" t="n">
        <f aca="false">IF(GanttPeriod&lt;28,GanttStart+((COLUMN()-COLUMN(gantt_Origin))-1)*GanttPeriod,EDATE(DATE(YEAR(GanttStart),MONTH(GanttStart)-IF(GanttPeriod&gt;=90,MOD(MONTH(GanttStart)-1,3),0),1),((COLUMN()-COLUMN(gantt_Origin))-1)*IF(GanttPeriod&gt;=90,3,1)))</f>
        <v>46397</v>
      </c>
      <c r="LC5" s="83" t="n">
        <f aca="false">IF(GanttPeriod&lt;28,GanttStart+((COLUMN()-COLUMN(gantt_Origin))-1)*GanttPeriod,EDATE(DATE(YEAR(GanttStart),MONTH(GanttStart)-IF(GanttPeriod&gt;=90,MOD(MONTH(GanttStart)-1,3),0),1),((COLUMN()-COLUMN(gantt_Origin))-1)*IF(GanttPeriod&gt;=90,3,1)))</f>
        <v>46398</v>
      </c>
      <c r="LD5" s="83" t="n">
        <f aca="false">IF(GanttPeriod&lt;28,GanttStart+((COLUMN()-COLUMN(gantt_Origin))-1)*GanttPeriod,EDATE(DATE(YEAR(GanttStart),MONTH(GanttStart)-IF(GanttPeriod&gt;=90,MOD(MONTH(GanttStart)-1,3),0),1),((COLUMN()-COLUMN(gantt_Origin))-1)*IF(GanttPeriod&gt;=90,3,1)))</f>
        <v>46399</v>
      </c>
      <c r="LE5" s="83" t="n">
        <f aca="false">IF(GanttPeriod&lt;28,GanttStart+((COLUMN()-COLUMN(gantt_Origin))-1)*GanttPeriod,EDATE(DATE(YEAR(GanttStart),MONTH(GanttStart)-IF(GanttPeriod&gt;=90,MOD(MONTH(GanttStart)-1,3),0),1),((COLUMN()-COLUMN(gantt_Origin))-1)*IF(GanttPeriod&gt;=90,3,1)))</f>
        <v>46400</v>
      </c>
      <c r="LF5" s="83" t="n">
        <f aca="false">IF(GanttPeriod&lt;28,GanttStart+((COLUMN()-COLUMN(gantt_Origin))-1)*GanttPeriod,EDATE(DATE(YEAR(GanttStart),MONTH(GanttStart)-IF(GanttPeriod&gt;=90,MOD(MONTH(GanttStart)-1,3),0),1),((COLUMN()-COLUMN(gantt_Origin))-1)*IF(GanttPeriod&gt;=90,3,1)))</f>
        <v>46401</v>
      </c>
      <c r="LG5" s="83" t="n">
        <f aca="false">IF(GanttPeriod&lt;28,GanttStart+((COLUMN()-COLUMN(gantt_Origin))-1)*GanttPeriod,EDATE(DATE(YEAR(GanttStart),MONTH(GanttStart)-IF(GanttPeriod&gt;=90,MOD(MONTH(GanttStart)-1,3),0),1),((COLUMN()-COLUMN(gantt_Origin))-1)*IF(GanttPeriod&gt;=90,3,1)))</f>
        <v>46402</v>
      </c>
      <c r="LH5" s="83" t="n">
        <f aca="false">IF(GanttPeriod&lt;28,GanttStart+((COLUMN()-COLUMN(gantt_Origin))-1)*GanttPeriod,EDATE(DATE(YEAR(GanttStart),MONTH(GanttStart)-IF(GanttPeriod&gt;=90,MOD(MONTH(GanttStart)-1,3),0),1),((COLUMN()-COLUMN(gantt_Origin))-1)*IF(GanttPeriod&gt;=90,3,1)))</f>
        <v>46403</v>
      </c>
      <c r="LI5" s="83" t="n">
        <f aca="false">IF(GanttPeriod&lt;28,GanttStart+((COLUMN()-COLUMN(gantt_Origin))-1)*GanttPeriod,EDATE(DATE(YEAR(GanttStart),MONTH(GanttStart)-IF(GanttPeriod&gt;=90,MOD(MONTH(GanttStart)-1,3),0),1),((COLUMN()-COLUMN(gantt_Origin))-1)*IF(GanttPeriod&gt;=90,3,1)))</f>
        <v>46404</v>
      </c>
      <c r="LJ5" s="83" t="n">
        <f aca="false">IF(GanttPeriod&lt;28,GanttStart+((COLUMN()-COLUMN(gantt_Origin))-1)*GanttPeriod,EDATE(DATE(YEAR(GanttStart),MONTH(GanttStart)-IF(GanttPeriod&gt;=90,MOD(MONTH(GanttStart)-1,3),0),1),((COLUMN()-COLUMN(gantt_Origin))-1)*IF(GanttPeriod&gt;=90,3,1)))</f>
        <v>46405</v>
      </c>
      <c r="LK5" s="83" t="n">
        <f aca="false">IF(GanttPeriod&lt;28,GanttStart+((COLUMN()-COLUMN(gantt_Origin))-1)*GanttPeriod,EDATE(DATE(YEAR(GanttStart),MONTH(GanttStart)-IF(GanttPeriod&gt;=90,MOD(MONTH(GanttStart)-1,3),0),1),((COLUMN()-COLUMN(gantt_Origin))-1)*IF(GanttPeriod&gt;=90,3,1)))</f>
        <v>46406</v>
      </c>
      <c r="LL5" s="83" t="n">
        <f aca="false">IF(GanttPeriod&lt;28,GanttStart+((COLUMN()-COLUMN(gantt_Origin))-1)*GanttPeriod,EDATE(DATE(YEAR(GanttStart),MONTH(GanttStart)-IF(GanttPeriod&gt;=90,MOD(MONTH(GanttStart)-1,3),0),1),((COLUMN()-COLUMN(gantt_Origin))-1)*IF(GanttPeriod&gt;=90,3,1)))</f>
        <v>46407</v>
      </c>
      <c r="LM5" s="83" t="n">
        <f aca="false">IF(GanttPeriod&lt;28,GanttStart+((COLUMN()-COLUMN(gantt_Origin))-1)*GanttPeriod,EDATE(DATE(YEAR(GanttStart),MONTH(GanttStart)-IF(GanttPeriod&gt;=90,MOD(MONTH(GanttStart)-1,3),0),1),((COLUMN()-COLUMN(gantt_Origin))-1)*IF(GanttPeriod&gt;=90,3,1)))</f>
        <v>46408</v>
      </c>
      <c r="LN5" s="83" t="n">
        <f aca="false">IF(GanttPeriod&lt;28,GanttStart+((COLUMN()-COLUMN(gantt_Origin))-1)*GanttPeriod,EDATE(DATE(YEAR(GanttStart),MONTH(GanttStart)-IF(GanttPeriod&gt;=90,MOD(MONTH(GanttStart)-1,3),0),1),((COLUMN()-COLUMN(gantt_Origin))-1)*IF(GanttPeriod&gt;=90,3,1)))</f>
        <v>46409</v>
      </c>
      <c r="LO5" s="83" t="n">
        <f aca="false">IF(GanttPeriod&lt;28,GanttStart+((COLUMN()-COLUMN(gantt_Origin))-1)*GanttPeriod,EDATE(DATE(YEAR(GanttStart),MONTH(GanttStart)-IF(GanttPeriod&gt;=90,MOD(MONTH(GanttStart)-1,3),0),1),((COLUMN()-COLUMN(gantt_Origin))-1)*IF(GanttPeriod&gt;=90,3,1)))</f>
        <v>46410</v>
      </c>
      <c r="LP5" s="83" t="n">
        <f aca="false">IF(GanttPeriod&lt;28,GanttStart+((COLUMN()-COLUMN(gantt_Origin))-1)*GanttPeriod,EDATE(DATE(YEAR(GanttStart),MONTH(GanttStart)-IF(GanttPeriod&gt;=90,MOD(MONTH(GanttStart)-1,3),0),1),((COLUMN()-COLUMN(gantt_Origin))-1)*IF(GanttPeriod&gt;=90,3,1)))</f>
        <v>46411</v>
      </c>
      <c r="LQ5" s="83" t="n">
        <f aca="false">IF(GanttPeriod&lt;28,GanttStart+((COLUMN()-COLUMN(gantt_Origin))-1)*GanttPeriod,EDATE(DATE(YEAR(GanttStart),MONTH(GanttStart)-IF(GanttPeriod&gt;=90,MOD(MONTH(GanttStart)-1,3),0),1),((COLUMN()-COLUMN(gantt_Origin))-1)*IF(GanttPeriod&gt;=90,3,1)))</f>
        <v>46412</v>
      </c>
      <c r="LR5" s="83" t="n">
        <f aca="false">IF(GanttPeriod&lt;28,GanttStart+((COLUMN()-COLUMN(gantt_Origin))-1)*GanttPeriod,EDATE(DATE(YEAR(GanttStart),MONTH(GanttStart)-IF(GanttPeriod&gt;=90,MOD(MONTH(GanttStart)-1,3),0),1),((COLUMN()-COLUMN(gantt_Origin))-1)*IF(GanttPeriod&gt;=90,3,1)))</f>
        <v>46413</v>
      </c>
      <c r="LS5" s="83" t="n">
        <f aca="false">IF(GanttPeriod&lt;28,GanttStart+((COLUMN()-COLUMN(gantt_Origin))-1)*GanttPeriod,EDATE(DATE(YEAR(GanttStart),MONTH(GanttStart)-IF(GanttPeriod&gt;=90,MOD(MONTH(GanttStart)-1,3),0),1),((COLUMN()-COLUMN(gantt_Origin))-1)*IF(GanttPeriod&gt;=90,3,1)))</f>
        <v>46414</v>
      </c>
      <c r="LT5" s="83" t="n">
        <f aca="false">IF(GanttPeriod&lt;28,GanttStart+((COLUMN()-COLUMN(gantt_Origin))-1)*GanttPeriod,EDATE(DATE(YEAR(GanttStart),MONTH(GanttStart)-IF(GanttPeriod&gt;=90,MOD(MONTH(GanttStart)-1,3),0),1),((COLUMN()-COLUMN(gantt_Origin))-1)*IF(GanttPeriod&gt;=90,3,1)))</f>
        <v>46415</v>
      </c>
      <c r="LU5" s="83" t="n">
        <f aca="false">IF(GanttPeriod&lt;28,GanttStart+((COLUMN()-COLUMN(gantt_Origin))-1)*GanttPeriod,EDATE(DATE(YEAR(GanttStart),MONTH(GanttStart)-IF(GanttPeriod&gt;=90,MOD(MONTH(GanttStart)-1,3),0),1),((COLUMN()-COLUMN(gantt_Origin))-1)*IF(GanttPeriod&gt;=90,3,1)))</f>
        <v>46416</v>
      </c>
      <c r="LV5" s="83" t="n">
        <f aca="false">IF(GanttPeriod&lt;28,GanttStart+((COLUMN()-COLUMN(gantt_Origin))-1)*GanttPeriod,EDATE(DATE(YEAR(GanttStart),MONTH(GanttStart)-IF(GanttPeriod&gt;=90,MOD(MONTH(GanttStart)-1,3),0),1),((COLUMN()-COLUMN(gantt_Origin))-1)*IF(GanttPeriod&gt;=90,3,1)))</f>
        <v>46417</v>
      </c>
      <c r="LW5" s="83" t="n">
        <f aca="false">IF(GanttPeriod&lt;28,GanttStart+((COLUMN()-COLUMN(gantt_Origin))-1)*GanttPeriod,EDATE(DATE(YEAR(GanttStart),MONTH(GanttStart)-IF(GanttPeriod&gt;=90,MOD(MONTH(GanttStart)-1,3),0),1),((COLUMN()-COLUMN(gantt_Origin))-1)*IF(GanttPeriod&gt;=90,3,1)))</f>
        <v>46418</v>
      </c>
      <c r="LX5" s="83" t="n">
        <f aca="false">IF(GanttPeriod&lt;28,GanttStart+((COLUMN()-COLUMN(gantt_Origin))-1)*GanttPeriod,EDATE(DATE(YEAR(GanttStart),MONTH(GanttStart)-IF(GanttPeriod&gt;=90,MOD(MONTH(GanttStart)-1,3),0),1),((COLUMN()-COLUMN(gantt_Origin))-1)*IF(GanttPeriod&gt;=90,3,1)))</f>
        <v>46419</v>
      </c>
      <c r="LY5" s="83" t="n">
        <f aca="false">IF(GanttPeriod&lt;28,GanttStart+((COLUMN()-COLUMN(gantt_Origin))-1)*GanttPeriod,EDATE(DATE(YEAR(GanttStart),MONTH(GanttStart)-IF(GanttPeriod&gt;=90,MOD(MONTH(GanttStart)-1,3),0),1),((COLUMN()-COLUMN(gantt_Origin))-1)*IF(GanttPeriod&gt;=90,3,1)))</f>
        <v>46420</v>
      </c>
      <c r="LZ5" s="83" t="n">
        <f aca="false">IF(GanttPeriod&lt;28,GanttStart+((COLUMN()-COLUMN(gantt_Origin))-1)*GanttPeriod,EDATE(DATE(YEAR(GanttStart),MONTH(GanttStart)-IF(GanttPeriod&gt;=90,MOD(MONTH(GanttStart)-1,3),0),1),((COLUMN()-COLUMN(gantt_Origin))-1)*IF(GanttPeriod&gt;=90,3,1)))</f>
        <v>46421</v>
      </c>
      <c r="MA5" s="83" t="n">
        <f aca="false">IF(GanttPeriod&lt;28,GanttStart+((COLUMN()-COLUMN(gantt_Origin))-1)*GanttPeriod,EDATE(DATE(YEAR(GanttStart),MONTH(GanttStart)-IF(GanttPeriod&gt;=90,MOD(MONTH(GanttStart)-1,3),0),1),((COLUMN()-COLUMN(gantt_Origin))-1)*IF(GanttPeriod&gt;=90,3,1)))</f>
        <v>46422</v>
      </c>
      <c r="MB5" s="83" t="n">
        <f aca="false">IF(GanttPeriod&lt;28,GanttStart+((COLUMN()-COLUMN(gantt_Origin))-1)*GanttPeriod,EDATE(DATE(YEAR(GanttStart),MONTH(GanttStart)-IF(GanttPeriod&gt;=90,MOD(MONTH(GanttStart)-1,3),0),1),((COLUMN()-COLUMN(gantt_Origin))-1)*IF(GanttPeriod&gt;=90,3,1)))</f>
        <v>46423</v>
      </c>
      <c r="MC5" s="83" t="n">
        <f aca="false">IF(GanttPeriod&lt;28,GanttStart+((COLUMN()-COLUMN(gantt_Origin))-1)*GanttPeriod,EDATE(DATE(YEAR(GanttStart),MONTH(GanttStart)-IF(GanttPeriod&gt;=90,MOD(MONTH(GanttStart)-1,3),0),1),((COLUMN()-COLUMN(gantt_Origin))-1)*IF(GanttPeriod&gt;=90,3,1)))</f>
        <v>46424</v>
      </c>
      <c r="MD5" s="83" t="n">
        <f aca="false">IF(GanttPeriod&lt;28,GanttStart+((COLUMN()-COLUMN(gantt_Origin))-1)*GanttPeriod,EDATE(DATE(YEAR(GanttStart),MONTH(GanttStart)-IF(GanttPeriod&gt;=90,MOD(MONTH(GanttStart)-1,3),0),1),((COLUMN()-COLUMN(gantt_Origin))-1)*IF(GanttPeriod&gt;=90,3,1)))</f>
        <v>46425</v>
      </c>
      <c r="ME5" s="83" t="n">
        <f aca="false">IF(GanttPeriod&lt;28,GanttStart+((COLUMN()-COLUMN(gantt_Origin))-1)*GanttPeriod,EDATE(DATE(YEAR(GanttStart),MONTH(GanttStart)-IF(GanttPeriod&gt;=90,MOD(MONTH(GanttStart)-1,3),0),1),((COLUMN()-COLUMN(gantt_Origin))-1)*IF(GanttPeriod&gt;=90,3,1)))</f>
        <v>46426</v>
      </c>
      <c r="MF5" s="83" t="n">
        <f aca="false">IF(GanttPeriod&lt;28,GanttStart+((COLUMN()-COLUMN(gantt_Origin))-1)*GanttPeriod,EDATE(DATE(YEAR(GanttStart),MONTH(GanttStart)-IF(GanttPeriod&gt;=90,MOD(MONTH(GanttStart)-1,3),0),1),((COLUMN()-COLUMN(gantt_Origin))-1)*IF(GanttPeriod&gt;=90,3,1)))</f>
        <v>46427</v>
      </c>
      <c r="MG5" s="83" t="n">
        <f aca="false">IF(GanttPeriod&lt;28,GanttStart+((COLUMN()-COLUMN(gantt_Origin))-1)*GanttPeriod,EDATE(DATE(YEAR(GanttStart),MONTH(GanttStart)-IF(GanttPeriod&gt;=90,MOD(MONTH(GanttStart)-1,3),0),1),((COLUMN()-COLUMN(gantt_Origin))-1)*IF(GanttPeriod&gt;=90,3,1)))</f>
        <v>46428</v>
      </c>
      <c r="MH5" s="83" t="n">
        <f aca="false">IF(GanttPeriod&lt;28,GanttStart+((COLUMN()-COLUMN(gantt_Origin))-1)*GanttPeriod,EDATE(DATE(YEAR(GanttStart),MONTH(GanttStart)-IF(GanttPeriod&gt;=90,MOD(MONTH(GanttStart)-1,3),0),1),((COLUMN()-COLUMN(gantt_Origin))-1)*IF(GanttPeriod&gt;=90,3,1)))</f>
        <v>46429</v>
      </c>
      <c r="MI5" s="83" t="n">
        <f aca="false">IF(GanttPeriod&lt;28,GanttStart+((COLUMN()-COLUMN(gantt_Origin))-1)*GanttPeriod,EDATE(DATE(YEAR(GanttStart),MONTH(GanttStart)-IF(GanttPeriod&gt;=90,MOD(MONTH(GanttStart)-1,3),0),1),((COLUMN()-COLUMN(gantt_Origin))-1)*IF(GanttPeriod&gt;=90,3,1)))</f>
        <v>46430</v>
      </c>
      <c r="MJ5" s="83" t="n">
        <f aca="false">IF(GanttPeriod&lt;28,GanttStart+((COLUMN()-COLUMN(gantt_Origin))-1)*GanttPeriod,EDATE(DATE(YEAR(GanttStart),MONTH(GanttStart)-IF(GanttPeriod&gt;=90,MOD(MONTH(GanttStart)-1,3),0),1),((COLUMN()-COLUMN(gantt_Origin))-1)*IF(GanttPeriod&gt;=90,3,1)))</f>
        <v>46431</v>
      </c>
      <c r="MK5" s="83" t="n">
        <f aca="false">IF(GanttPeriod&lt;28,GanttStart+((COLUMN()-COLUMN(gantt_Origin))-1)*GanttPeriod,EDATE(DATE(YEAR(GanttStart),MONTH(GanttStart)-IF(GanttPeriod&gt;=90,MOD(MONTH(GanttStart)-1,3),0),1),((COLUMN()-COLUMN(gantt_Origin))-1)*IF(GanttPeriod&gt;=90,3,1)))</f>
        <v>46432</v>
      </c>
      <c r="ML5" s="83" t="n">
        <f aca="false">IF(GanttPeriod&lt;28,GanttStart+((COLUMN()-COLUMN(gantt_Origin))-1)*GanttPeriod,EDATE(DATE(YEAR(GanttStart),MONTH(GanttStart)-IF(GanttPeriod&gt;=90,MOD(MONTH(GanttStart)-1,3),0),1),((COLUMN()-COLUMN(gantt_Origin))-1)*IF(GanttPeriod&gt;=90,3,1)))</f>
        <v>46433</v>
      </c>
      <c r="MM5" s="83" t="n">
        <f aca="false">IF(GanttPeriod&lt;28,GanttStart+((COLUMN()-COLUMN(gantt_Origin))-1)*GanttPeriod,EDATE(DATE(YEAR(GanttStart),MONTH(GanttStart)-IF(GanttPeriod&gt;=90,MOD(MONTH(GanttStart)-1,3),0),1),((COLUMN()-COLUMN(gantt_Origin))-1)*IF(GanttPeriod&gt;=90,3,1)))</f>
        <v>46434</v>
      </c>
      <c r="MN5" s="83" t="n">
        <f aca="false">IF(GanttPeriod&lt;28,GanttStart+((COLUMN()-COLUMN(gantt_Origin))-1)*GanttPeriod,EDATE(DATE(YEAR(GanttStart),MONTH(GanttStart)-IF(GanttPeriod&gt;=90,MOD(MONTH(GanttStart)-1,3),0),1),((COLUMN()-COLUMN(gantt_Origin))-1)*IF(GanttPeriod&gt;=90,3,1)))</f>
        <v>46435</v>
      </c>
      <c r="MO5" s="83" t="n">
        <f aca="false">IF(GanttPeriod&lt;28,GanttStart+((COLUMN()-COLUMN(gantt_Origin))-1)*GanttPeriod,EDATE(DATE(YEAR(GanttStart),MONTH(GanttStart)-IF(GanttPeriod&gt;=90,MOD(MONTH(GanttStart)-1,3),0),1),((COLUMN()-COLUMN(gantt_Origin))-1)*IF(GanttPeriod&gt;=90,3,1)))</f>
        <v>46436</v>
      </c>
      <c r="MP5" s="83" t="n">
        <f aca="false">IF(GanttPeriod&lt;28,GanttStart+((COLUMN()-COLUMN(gantt_Origin))-1)*GanttPeriod,EDATE(DATE(YEAR(GanttStart),MONTH(GanttStart)-IF(GanttPeriod&gt;=90,MOD(MONTH(GanttStart)-1,3),0),1),((COLUMN()-COLUMN(gantt_Origin))-1)*IF(GanttPeriod&gt;=90,3,1)))</f>
        <v>46437</v>
      </c>
      <c r="MQ5" s="83" t="n">
        <f aca="false">IF(GanttPeriod&lt;28,GanttStart+((COLUMN()-COLUMN(gantt_Origin))-1)*GanttPeriod,EDATE(DATE(YEAR(GanttStart),MONTH(GanttStart)-IF(GanttPeriod&gt;=90,MOD(MONTH(GanttStart)-1,3),0),1),((COLUMN()-COLUMN(gantt_Origin))-1)*IF(GanttPeriod&gt;=90,3,1)))</f>
        <v>46438</v>
      </c>
      <c r="MR5" s="83" t="n">
        <f aca="false">IF(GanttPeriod&lt;28,GanttStart+((COLUMN()-COLUMN(gantt_Origin))-1)*GanttPeriod,EDATE(DATE(YEAR(GanttStart),MONTH(GanttStart)-IF(GanttPeriod&gt;=90,MOD(MONTH(GanttStart)-1,3),0),1),((COLUMN()-COLUMN(gantt_Origin))-1)*IF(GanttPeriod&gt;=90,3,1)))</f>
        <v>46439</v>
      </c>
      <c r="MS5" s="83" t="n">
        <f aca="false">IF(GanttPeriod&lt;28,GanttStart+((COLUMN()-COLUMN(gantt_Origin))-1)*GanttPeriod,EDATE(DATE(YEAR(GanttStart),MONTH(GanttStart)-IF(GanttPeriod&gt;=90,MOD(MONTH(GanttStart)-1,3),0),1),((COLUMN()-COLUMN(gantt_Origin))-1)*IF(GanttPeriod&gt;=90,3,1)))</f>
        <v>46440</v>
      </c>
      <c r="MT5" s="83" t="n">
        <f aca="false">IF(GanttPeriod&lt;28,GanttStart+((COLUMN()-COLUMN(gantt_Origin))-1)*GanttPeriod,EDATE(DATE(YEAR(GanttStart),MONTH(GanttStart)-IF(GanttPeriod&gt;=90,MOD(MONTH(GanttStart)-1,3),0),1),((COLUMN()-COLUMN(gantt_Origin))-1)*IF(GanttPeriod&gt;=90,3,1)))</f>
        <v>46441</v>
      </c>
      <c r="MU5" s="83" t="n">
        <f aca="false">IF(GanttPeriod&lt;28,GanttStart+((COLUMN()-COLUMN(gantt_Origin))-1)*GanttPeriod,EDATE(DATE(YEAR(GanttStart),MONTH(GanttStart)-IF(GanttPeriod&gt;=90,MOD(MONTH(GanttStart)-1,3),0),1),((COLUMN()-COLUMN(gantt_Origin))-1)*IF(GanttPeriod&gt;=90,3,1)))</f>
        <v>46442</v>
      </c>
      <c r="MV5" s="83" t="n">
        <f aca="false">IF(GanttPeriod&lt;28,GanttStart+((COLUMN()-COLUMN(gantt_Origin))-1)*GanttPeriod,EDATE(DATE(YEAR(GanttStart),MONTH(GanttStart)-IF(GanttPeriod&gt;=90,MOD(MONTH(GanttStart)-1,3),0),1),((COLUMN()-COLUMN(gantt_Origin))-1)*IF(GanttPeriod&gt;=90,3,1)))</f>
        <v>46443</v>
      </c>
      <c r="MW5" s="83" t="n">
        <f aca="false">IF(GanttPeriod&lt;28,GanttStart+((COLUMN()-COLUMN(gantt_Origin))-1)*GanttPeriod,EDATE(DATE(YEAR(GanttStart),MONTH(GanttStart)-IF(GanttPeriod&gt;=90,MOD(MONTH(GanttStart)-1,3),0),1),((COLUMN()-COLUMN(gantt_Origin))-1)*IF(GanttPeriod&gt;=90,3,1)))</f>
        <v>46444</v>
      </c>
      <c r="MX5" s="83" t="n">
        <f aca="false">IF(GanttPeriod&lt;28,GanttStart+((COLUMN()-COLUMN(gantt_Origin))-1)*GanttPeriod,EDATE(DATE(YEAR(GanttStart),MONTH(GanttStart)-IF(GanttPeriod&gt;=90,MOD(MONTH(GanttStart)-1,3),0),1),((COLUMN()-COLUMN(gantt_Origin))-1)*IF(GanttPeriod&gt;=90,3,1)))</f>
        <v>46445</v>
      </c>
      <c r="MY5" s="83" t="n">
        <f aca="false">IF(GanttPeriod&lt;28,GanttStart+((COLUMN()-COLUMN(gantt_Origin))-1)*GanttPeriod,EDATE(DATE(YEAR(GanttStart),MONTH(GanttStart)-IF(GanttPeriod&gt;=90,MOD(MONTH(GanttStart)-1,3),0),1),((COLUMN()-COLUMN(gantt_Origin))-1)*IF(GanttPeriod&gt;=90,3,1)))</f>
        <v>46446</v>
      </c>
      <c r="MZ5" s="83" t="n">
        <f aca="false">IF(GanttPeriod&lt;28,GanttStart+((COLUMN()-COLUMN(gantt_Origin))-1)*GanttPeriod,EDATE(DATE(YEAR(GanttStart),MONTH(GanttStart)-IF(GanttPeriod&gt;=90,MOD(MONTH(GanttStart)-1,3),0),1),((COLUMN()-COLUMN(gantt_Origin))-1)*IF(GanttPeriod&gt;=90,3,1)))</f>
        <v>46447</v>
      </c>
      <c r="NA5" s="83" t="n">
        <f aca="false">IF(GanttPeriod&lt;28,GanttStart+((COLUMN()-COLUMN(gantt_Origin))-1)*GanttPeriod,EDATE(DATE(YEAR(GanttStart),MONTH(GanttStart)-IF(GanttPeriod&gt;=90,MOD(MONTH(GanttStart)-1,3),0),1),((COLUMN()-COLUMN(gantt_Origin))-1)*IF(GanttPeriod&gt;=90,3,1)))</f>
        <v>46448</v>
      </c>
      <c r="NB5" s="83" t="n">
        <f aca="false">IF(GanttPeriod&lt;28,GanttStart+((COLUMN()-COLUMN(gantt_Origin))-1)*GanttPeriod,EDATE(DATE(YEAR(GanttStart),MONTH(GanttStart)-IF(GanttPeriod&gt;=90,MOD(MONTH(GanttStart)-1,3),0),1),((COLUMN()-COLUMN(gantt_Origin))-1)*IF(GanttPeriod&gt;=90,3,1)))</f>
        <v>46449</v>
      </c>
    </row>
    <row r="6" customFormat="false" ht="15" hidden="false" customHeight="false" outlineLevel="0" collapsed="false">
      <c r="A6" s="21" t="n">
        <f aca="false">IF(Tasks[[#This Row],[Task Name]]="","",COUNTA(Tasks[[#Headers],[Task Name]]:Tasks[[#This Row],[Task Name]])-1)</f>
        <v>1</v>
      </c>
      <c r="B6" s="22" t="n">
        <v>1</v>
      </c>
      <c r="C6" s="22" t="n">
        <v>1</v>
      </c>
      <c r="D6" s="23" t="s">
        <v>639</v>
      </c>
      <c r="E6" s="22"/>
      <c r="F6" s="23"/>
      <c r="G6" s="22"/>
      <c r="H6" s="22"/>
      <c r="I6" s="23"/>
      <c r="J6" s="22"/>
      <c r="K6" s="22"/>
      <c r="L6" s="23"/>
      <c r="M6" s="22"/>
      <c r="N6" s="22"/>
      <c r="O6" s="23"/>
      <c r="P6" s="22"/>
      <c r="Q6" s="22"/>
      <c r="R6" s="23"/>
      <c r="S6" s="23"/>
      <c r="T6" s="84"/>
      <c r="U6" s="23"/>
      <c r="V6" s="84"/>
      <c r="W6" s="23"/>
      <c r="X6" s="84"/>
      <c r="Y6" s="23"/>
      <c r="Z6" s="84"/>
      <c r="AA6" s="23"/>
      <c r="AB6" s="23"/>
      <c r="AC6" s="7"/>
      <c r="AD6" s="7"/>
      <c r="AE6" s="63" t="n">
        <f aca="false">IF(Tasks[[#This Row],[Task Name]]="","",IF(Tasks[[#This Row],[_IsSummary]],MIN(INDEX(Tasks[_ShownFcstStart],Tasks[[#This Row],[_Row]]+1):INDEX(Tasks[_ShownFcstStart],Tasks[[#This Row],[_Row]]+Tasks[[#This Row],[_Descendants]])),Tasks[[#This Row],[_ShownFcstStart]]))</f>
        <v>46272</v>
      </c>
      <c r="AF6" s="63" t="n">
        <f aca="false">IF(Tasks[[#This Row],[Task Name]]="","",IF(Tasks[[#This Row],[_IsSummary]],MAX(INDEX(Tasks[_ShownFcstFinish],Tasks[[#This Row],[_Row]]+1):INDEX(Tasks[_ShownFcstFinish],Tasks[[#This Row],[_Row]]+Tasks[[#This Row],[_Descendants]])),Tasks[[#This Row],[_ShownFcstFinish]]))</f>
        <v>46279</v>
      </c>
      <c r="AG6" s="21" t="str">
        <f aca="false">""</f>
        <v/>
      </c>
      <c r="AH6" s="23" t="s">
        <v>640</v>
      </c>
      <c r="AI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 s="7"/>
      <c r="AK6" s="22" t="s">
        <v>248</v>
      </c>
      <c r="AL6" s="23"/>
      <c r="AM6" s="7"/>
      <c r="AN6" s="47" t="n">
        <f aca="false">IF(Tasks[[#This Row],[Task Name]]="","",IF(Tasks[[#This Row],[Finish]]&gt;=Tasks[[#This Row],[Planned Finish]],NETWORKDAYS.INTL(Tasks[[#This Row],[Planned Finish]],Tasks[[#This Row],[Finish]],WorkWeek,Holidays)-1,1-NETWORKDAYS.INTL(Tasks[[#This Row],[Finish]],Tasks[[#This Row],[Planned Finish]],WorkWeek,Holidays)))</f>
        <v>1</v>
      </c>
      <c r="AO6" s="21" t="str">
        <f aca="false">IF(Tasks[[#This Row],[Task Name]]="","",IF(Tasks[[#This Row],[Progress]]&gt;=1,"Complete",IF(OR(N(Tasks[[#This Row],[Actual Start]])&gt;0,Tasks[[#This Row],[Progress]]&gt;0),IF(Tasks[[#This Row],[Finish Var]]&gt;0,"Behind","In Progress"),IF(Tasks[[#This Row],[Planned Start]]&lt;StatusDate,"Late Start","Not Started"))))</f>
        <v>Complete</v>
      </c>
      <c r="AP6" s="21" t="str">
        <f aca="false">IF(Tasks[[#This Row],[Task Name]]="","",IF(IF(Tasks[[#This Row],[_IsSummary]],COUNTIF(INDEX(Tasks[_LeafCritical],Tasks[[#This Row],[_Row]]+1):INDEX(Tasks[_LeafCritical],Tasks[[#This Row],[_Row]]+Tasks[[#This Row],[_Descendants]]),TRUE())&gt;0,Tasks[[#This Row],[_LeafCritical]]),"Yes",""))</f>
        <v/>
      </c>
      <c r="AQ6" s="63" t="n">
        <f aca="false">IF(Tasks[[#This Row],[Task Name]]="","",IF(N(Tasks[[#This Row],[Baseline Start]])&gt;0,Tasks[[#This Row],[Baseline Start]],Tasks[[#This Row],[_CalcStart]]))</f>
        <v>46272</v>
      </c>
      <c r="AR6" s="63" t="n">
        <f aca="false">IF(Tasks[[#This Row],[Task Name]]="","",IF(N(Tasks[[#This Row],[Baseline Finish]])&gt;0,Tasks[[#This Row],[Baseline Finish]],Tasks[[#This Row],[_CalcFinish]]))</f>
        <v>46276</v>
      </c>
      <c r="AS6" s="47" t="n">
        <f aca="false">IF(Tasks[[#This Row],[Task Name]]="","",IF(Tasks[[#This Row],[Start]]&gt;=Tasks[[#This Row],[Planned Start]],NETWORKDAYS.INTL(Tasks[[#This Row],[Planned Start]],Tasks[[#This Row],[Start]],WorkWeek,Holidays)-1,1-NETWORKDAYS.INTL(Tasks[[#This Row],[Start]],Tasks[[#This Row],[Planned Start]],WorkWeek,Holidays)))</f>
        <v>0</v>
      </c>
      <c r="AT6" s="63" t="n">
        <f aca="false">IF(Tasks[[#This Row],[Task Name]]="","",IF(Tasks[[#This Row],[_IsSummary]],MIN(INDEX(Tasks[_LeafLateStart],Tasks[[#This Row],[_Row]]+1):INDEX(Tasks[_LeafLateStart],Tasks[[#This Row],[_Row]]+Tasks[[#This Row],[_Descendants]])),Tasks[[#This Row],[_LeafLateStart]]))</f>
        <v>46276</v>
      </c>
      <c r="AU6" s="63" t="n">
        <f aca="false">IF(Tasks[[#This Row],[Task Name]]="","",IF(Tasks[[#This Row],[_IsSummary]],MAX(INDEX(Tasks[_LeafLateFinish],Tasks[[#This Row],[_Row]]+1):INDEX(Tasks[_LeafLateFinish],Tasks[[#This Row],[_Row]]+Tasks[[#This Row],[_Descendants]])),Tasks[[#This Row],[_LeafLateFinish]]))</f>
        <v>46282</v>
      </c>
      <c r="AV6" s="47" t="n">
        <f aca="false">IF(Tasks[[#This Row],[Task Name]]="","",IF(Tasks[[#This Row],[_IsSummary]],MIN(INDEX(Tasks[_LeafTotalSlack],Tasks[[#This Row],[_Row]]+1):INDEX(Tasks[_LeafTotalSlack],Tasks[[#This Row],[_Row]]+Tasks[[#This Row],[_Descendants]])),Tasks[[#This Row],[_LeafTotalSlack]]))</f>
        <v>3</v>
      </c>
      <c r="AW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5"/>
      <c r="BA6"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BD6" s="21" t="str">
        <f aca="false">IF(Tasks[[#This Row],[Task Name]]="","",IF(Tasks[[#This Row],[_Level]]&lt;=OutlineShowLevel,"Yes","No"))</f>
        <v>Yes</v>
      </c>
      <c r="BE6" s="86" t="n">
        <f aca="false">IF(Tasks[[#This Row],[Task Name]]="","",IF(Tasks[[#This Row],[_IsSummary]],SUM(INDEX(Tasks[_LeafTotalWork],Tasks[[#This Row],[_Row]]+1):INDEX(Tasks[_LeafTotalWork],Tasks[[#This Row],[_Row]]+Tasks[[#This Row],[_Descendants]])),Tasks[[#This Row],[_LeafTotalWork]]))</f>
        <v>40</v>
      </c>
      <c r="BF6" s="23" t="s">
        <v>6</v>
      </c>
      <c r="BG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 s="21" t="str">
        <f aca="false">""</f>
        <v/>
      </c>
      <c r="BI6" s="87"/>
      <c r="BJ6" s="22"/>
      <c r="BK6" s="47" t="n">
        <f aca="false">IF(OR(Tasks[[#This Row],[Task Name]]="",Tasks[[#This Row],[Baseline Duration]]=""),"",Tasks[[#This Row],[_SpanDays]]-N(Tasks[[#This Row],[Baseline Duration]]))</f>
        <v>1</v>
      </c>
      <c r="BL6" s="86" t="n">
        <f aca="false">IF(OR(Tasks[[#This Row],[Task Name]]="",Tasks[[#This Row],[Baseline Work]]=""),"",Tasks[[#This Row],[Work]]-N(Tasks[[#This Row],[Baseline Work]]))</f>
        <v>0</v>
      </c>
      <c r="BM6" s="63" t="n">
        <f aca="false">IF(Tasks[[#This Row],[Task Name]]="","",IF(OR(TakeBaseline="Yes",N(Tasks[[#This Row],[Baseline Start]])=0),Tasks[[#This Row],[Start]],Tasks[[#This Row],[Baseline Start]]))</f>
        <v>46272</v>
      </c>
      <c r="BN6" s="63" t="n">
        <f aca="false">IF(Tasks[[#This Row],[Task Name]]="","",IF(OR(TakeBaseline="Yes",N(Tasks[[#This Row],[Baseline Finish]])=0),Tasks[[#This Row],[Finish]],Tasks[[#This Row],[Baseline Finish]]))</f>
        <v>46276</v>
      </c>
      <c r="BO6" s="21" t="n">
        <f aca="false">IF(Tasks[[#This Row],[Task Name]]="","",IF(OR(TakeBaseline="Yes",N(Tasks[[#This Row],[Baseline Duration]])=0),Tasks[[#This Row],[_SpanDays]],Tasks[[#This Row],[Baseline Duration]]))</f>
        <v>5</v>
      </c>
      <c r="BP6" s="86" t="n">
        <f aca="false">IF(Tasks[[#This Row],[Task Name]]="","",IF(OR(TakeBaseline="Yes",N(Tasks[[#This Row],[Baseline Work]])=0),Tasks[[#This Row],[Work]],Tasks[[#This Row],[Baseline Work]]))</f>
        <v>40</v>
      </c>
      <c r="BQ6" s="7" t="n">
        <v>46272</v>
      </c>
      <c r="BR6" s="7" t="n">
        <v>46276</v>
      </c>
      <c r="BS6" s="22" t="n">
        <v>5</v>
      </c>
      <c r="BT6" s="88" t="n">
        <v>40</v>
      </c>
      <c r="BU6" s="23"/>
      <c r="BV6" s="23"/>
      <c r="BW6" s="23"/>
      <c r="BX6" s="89" t="str">
        <f aca="false">IF(AND(Tasks[[#This Row],[_IsLeaf]]=1,ISNUMBER(Tasks[[#This Row],[Optimistic]]),ISNUMBER(Tasks[[#This Row],[Pessimistic]])),ROUND((Tasks[[#This Row],[Optimistic]]+4*N(Tasks[[#This Row],[_Days]])+Tasks[[#This Row],[Pessimistic]])/6,1),"")</f>
        <v/>
      </c>
      <c r="BY6" s="87"/>
      <c r="BZ6" s="87"/>
      <c r="CA6" s="22"/>
      <c r="CB6" s="43" t="n">
        <f aca="false">IF(Tasks[[#This Row],[Task Name]]="","",MAX(1,N(Tasks[[#This Row],[Level]])))</f>
        <v>1</v>
      </c>
      <c r="CC6" s="43" t="n">
        <f aca="false">ROW()-ROW(Tasks[[#Headers],[ID]])</f>
        <v>1</v>
      </c>
      <c r="CD6" s="43" t="n">
        <f aca="false">IF(OR(Tasks[[#This Row],[Task Name]]="",Tasks[[#This Row],[_Level]]&lt;=1),0,IFERROR(LOOKUP(2,1/(Tasks[[#Headers],[_Level]]:Tasks[[#This Row],[_Level]]=Tasks[[#This Row],[_Level]]-1),ROW(Tasks[[#Headers],[_Level]]:Tasks[[#This Row],[_Level]])),0))</f>
        <v>0</v>
      </c>
      <c r="CE6" s="43" t="n">
        <f aca="false">IFERROR(N(INDEX(Tasks[_Level],Tasks[[#This Row],[_Row]]+1)),0)</f>
        <v>2</v>
      </c>
      <c r="CF6" s="90" t="b">
        <f aca="false">AND(Tasks[[#This Row],[Task Name]]&lt;&gt;"",Tasks[[#This Row],[_NextLevel]]&gt;Tasks[[#This Row],[_Level]])</f>
        <v>1</v>
      </c>
      <c r="CG6" s="43" t="n">
        <f aca="false">IF(Tasks[[#This Row],[_IsSummary]],COUNTIF(Tasks[WBS],Tasks[[#This Row],[WBS]]&amp;".*"),0)</f>
        <v>3</v>
      </c>
      <c r="CH6" s="43" t="n">
        <f aca="false">IF(AND(Tasks[[#This Row],[Task Name]]&lt;&gt;"",NOT(Tasks[[#This Row],[_IsSummary]])),1,0)</f>
        <v>0</v>
      </c>
      <c r="CI6" s="43" t="n">
        <f aca="false">IF(N(Tasks[[#This Row],[_Pred1UID]])=0,0,IFERROR(MATCH(Tasks[[#This Row],[_Pred1UID]],Tasks[UID],0),-1))</f>
        <v>0</v>
      </c>
      <c r="CJ6" s="43" t="n">
        <f aca="false">IF(N(Tasks[[#This Row],[_Pred2UID]])=0,0,IFERROR(MATCH(Tasks[[#This Row],[_Pred2UID]],Tasks[UID],0),-1))</f>
        <v>0</v>
      </c>
      <c r="CK6" s="43" t="n">
        <f aca="false">IF(N(Tasks[[#This Row],[_Pred3UID]])=0,0,IFERROR(MATCH(Tasks[[#This Row],[_Pred3UID]],Tasks[UID],0),-1))</f>
        <v>0</v>
      </c>
      <c r="CL6" s="43" t="n">
        <f aca="false">IF(N(Tasks[[#This Row],[_Pred4UID]])=0,0,IFERROR(MATCH(Tasks[[#This Row],[_Pred4UID]],Tasks[UID],0),-1))</f>
        <v>0</v>
      </c>
      <c r="CM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 s="91" t="n">
        <f aca="false">IF(OR(Tasks[[#This Row],[_ConstraintCode]]=2,Tasks[[#This Row],[_ConstraintCode]]=3,Tasks[[#This Row],[_ConstraintCode]]=4,Tasks[[#This Row],[_ConstraintCode]]=6),Tasks[[#This Row],[_ConstraintStart]],0)</f>
        <v>0</v>
      </c>
      <c r="CP6" s="91" t="n">
        <f aca="false">IF(OR(Tasks[[#This Row],[_ConstraintCode]]=2,Tasks[[#This Row],[_ConstraintCode]]=3,Tasks[[#This Row],[_ConstraintCode]]=5,Tasks[[#This Row],[_ConstraintCode]]=7),Tasks[[#This Row],[_ConstraintStart]],2958465)</f>
        <v>2958465</v>
      </c>
      <c r="CQ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 s="91" t="str">
        <f aca="false">IF(NOT(Tasks[[#This Row],[_IsLeaf]]=1),"",IF(N(Tasks[[#This Row],[_Days]])&lt;=0,Tasks[[#This Row],[_LeafCalcStart]],WORKDAY.INTL(Tasks[[#This Row],[_LeafCalcStart]],Tasks[[#This Row],[_Days]]-1,WorkWeek,Holidays)))</f>
        <v/>
      </c>
      <c r="CS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 s="43" t="str">
        <f aca="false">IF(Tasks[[#This Row],[_Predecessors]]="","",TRIM(MID(SUBSTITUTE(SUBSTITUTE(SUBSTITUTE(UPPER(Tasks[[#This Row],[_Predecessors]]),";",",")," ",""),",",REPT(" ",99)),1,99)))</f>
        <v/>
      </c>
      <c r="CV6" s="43" t="str">
        <f aca="false">IF(Tasks[[#This Row],[_Pred1Text]]="","",IFERROR(VALUE(LEFT(Tasks[[#This Row],[_Pred1Text]],MIN(FIND("F",Tasks[[#This Row],[_Pred1Text]]&amp;"F"),FIND("S",Tasks[[#This Row],[_Pred1Text]]&amp;"S"),FIND("+",Tasks[[#This Row],[_Pred1Text]]&amp;"+"),FIND("-",Tasks[[#This Row],[_Pred1Text]]&amp;"-"))-1)),""))</f>
        <v/>
      </c>
      <c r="CW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 s="43" t="str">
        <f aca="false">IF(Tasks[[#This Row],[_Pred1Text]]="","",TRIM(MID(SUBSTITUTE(SUBSTITUTE(SUBSTITUTE(UPPER(Tasks[[#This Row],[_Predecessors]]),";",",")," ",""),",",REPT(" ",99)),100,99)))</f>
        <v/>
      </c>
      <c r="CZ6" s="43" t="str">
        <f aca="false">IF(Tasks[[#This Row],[_Pred2Text]]="","",IFERROR(VALUE(LEFT(Tasks[[#This Row],[_Pred2Text]],MIN(FIND("F",Tasks[[#This Row],[_Pred2Text]]&amp;"F"),FIND("S",Tasks[[#This Row],[_Pred2Text]]&amp;"S"),FIND("+",Tasks[[#This Row],[_Pred2Text]]&amp;"+"),FIND("-",Tasks[[#This Row],[_Pred2Text]]&amp;"-"))-1)),""))</f>
        <v/>
      </c>
      <c r="DA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 s="43" t="str">
        <f aca="false">IF(Tasks[[#This Row],[_Pred2Text]]="","",TRIM(MID(SUBSTITUTE(SUBSTITUTE(SUBSTITUTE(UPPER(Tasks[[#This Row],[_Predecessors]]),";",",")," ",""),",",REPT(" ",99)),199,99)))</f>
        <v/>
      </c>
      <c r="DD6" s="43" t="str">
        <f aca="false">IF(Tasks[[#This Row],[_Pred3Text]]="","",IFERROR(VALUE(LEFT(Tasks[[#This Row],[_Pred3Text]],MIN(FIND("F",Tasks[[#This Row],[_Pred3Text]]&amp;"F"),FIND("S",Tasks[[#This Row],[_Pred3Text]]&amp;"S"),FIND("+",Tasks[[#This Row],[_Pred3Text]]&amp;"+"),FIND("-",Tasks[[#This Row],[_Pred3Text]]&amp;"-"))-1)),""))</f>
        <v/>
      </c>
      <c r="DE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 s="43" t="str">
        <f aca="false">IF(Tasks[[#This Row],[_Pred3Text]]="","",TRIM(MID(SUBSTITUTE(SUBSTITUTE(SUBSTITUTE(UPPER(Tasks[[#This Row],[_Predecessors]]),";",",")," ",""),",",REPT(" ",99)),298,99)))</f>
        <v/>
      </c>
      <c r="DH6" s="43" t="str">
        <f aca="false">IF(Tasks[[#This Row],[_Pred4Text]]="","",IFERROR(VALUE(LEFT(Tasks[[#This Row],[_Pred4Text]],MIN(FIND("F",Tasks[[#This Row],[_Pred4Text]]&amp;"F"),FIND("S",Tasks[[#This Row],[_Pred4Text]]&amp;"S"),FIND("+",Tasks[[#This Row],[_Pred4Text]]&amp;"+"),FIND("-",Tasks[[#This Row],[_Pred4Text]]&amp;"-"))-1)),""))</f>
        <v/>
      </c>
      <c r="DI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 s="43" t="str">
        <f aca="false">IF(OR(Tasks[[#This Row],[Task Name]]="",Tasks[[#This Row],[_Resources]]=""),"",TRIM(MID(SUBSTITUTE(Tasks[[#This Row],[_Resources]],",",REPT(" ",99)),1,99)))</f>
        <v/>
      </c>
      <c r="DL6" s="43" t="str">
        <f aca="false">IF(Tasks[[#This Row],[_Res1Text]]="","",TRIM(MID(SUBSTITUTE(Tasks[[#This Row],[_Resources]],",",REPT(" ",99)),100,99)))</f>
        <v/>
      </c>
      <c r="DM6" s="43" t="str">
        <f aca="false">IF(Tasks[[#This Row],[_Res2Text]]="","",TRIM(MID(SUBSTITUTE(Tasks[[#This Row],[_Resources]],",",REPT(" ",99)),199,99)))</f>
        <v/>
      </c>
      <c r="DN6" s="43" t="str">
        <f aca="false">IF(Tasks[[#This Row],[_Res3Text]]="","",TRIM(MID(SUBSTITUTE(Tasks[[#This Row],[_Resources]],",",REPT(" ",99)),298,99)))</f>
        <v/>
      </c>
      <c r="DO6" s="43" t="n">
        <f aca="false">IF(Tasks[[#This Row],[_Res1Text]]="",0,IFERROR(MATCH(TRIM(LEFT(Tasks[[#This Row],[_Res1Text]],FIND("[",Tasks[[#This Row],[_Res1Text]]&amp;"[")-1)),res_Name,0),IFERROR(MATCH(TRIM(LEFT(Tasks[[#This Row],[_Res1Text]],FIND("[",Tasks[[#This Row],[_Res1Text]]&amp;"[")-1)),res_Initials,0),0)))</f>
        <v>0</v>
      </c>
      <c r="DP6" s="43" t="n">
        <f aca="false">IF(Tasks[[#This Row],[_Res2Text]]="",0,IFERROR(MATCH(TRIM(LEFT(Tasks[[#This Row],[_Res2Text]],FIND("[",Tasks[[#This Row],[_Res2Text]]&amp;"[")-1)),res_Name,0),IFERROR(MATCH(TRIM(LEFT(Tasks[[#This Row],[_Res2Text]],FIND("[",Tasks[[#This Row],[_Res2Text]]&amp;"[")-1)),res_Initials,0),0)))</f>
        <v>0</v>
      </c>
      <c r="DQ6" s="43" t="n">
        <f aca="false">IF(Tasks[[#This Row],[_Res3Text]]="",0,IFERROR(MATCH(TRIM(LEFT(Tasks[[#This Row],[_Res3Text]],FIND("[",Tasks[[#This Row],[_Res3Text]]&amp;"[")-1)),res_Name,0),IFERROR(MATCH(TRIM(LEFT(Tasks[[#This Row],[_Res3Text]],FIND("[",Tasks[[#This Row],[_Res3Text]]&amp;"[")-1)),res_Initials,0),0)))</f>
        <v>0</v>
      </c>
      <c r="DR6" s="43" t="n">
        <f aca="false">IF(Tasks[[#This Row],[_Res4Text]]="",0,IFERROR(MATCH(TRIM(LEFT(Tasks[[#This Row],[_Res4Text]],FIND("[",Tasks[[#This Row],[_Res4Text]]&amp;"[")-1)),res_Name,0),IFERROR(MATCH(TRIM(LEFT(Tasks[[#This Row],[_Res4Text]],FIND("[",Tasks[[#This Row],[_Res4Text]]&amp;"[")-1)),res_Initials,0),0)))</f>
        <v>0</v>
      </c>
      <c r="DS6" s="43" t="str">
        <f aca="false">IF(Tasks[[#This Row],[_Res1Text]]="","",IF(Tasks[[#This Row],[_Res1Row]]&gt;0,INDEX(res_Name,Tasks[[#This Row],[_Res1Row]]),TRIM(LEFT(Tasks[[#This Row],[_Res1Text]],FIND("[",Tasks[[#This Row],[_Res1Text]]&amp;"[")-1))))</f>
        <v/>
      </c>
      <c r="DT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 s="43" t="n">
        <f aca="false">IF(NOT(Tasks[[#This Row],[_IsLeaf]]=1),0,(Tasks[[#This Row],[_Resource1]]&lt;&gt;"")+(Tasks[[#This Row],[_Res2]]&lt;&gt;"")+(Tasks[[#This Row],[_Res3]]&lt;&gt;"")+(Tasks[[#This Row],[_Res4]]&lt;&gt;""))</f>
        <v>0</v>
      </c>
      <c r="DV6" s="43" t="str">
        <f aca="false">IF(Tasks[[#This Row],[_Res2Text]]="","",IF(Tasks[[#This Row],[_Res2Row]]&gt;0,INDEX(res_Name,Tasks[[#This Row],[_Res2Row]]),TRIM(LEFT(Tasks[[#This Row],[_Res2Text]],FIND("[",Tasks[[#This Row],[_Res2Text]]&amp;"[")-1))))</f>
        <v/>
      </c>
      <c r="DW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 s="43" t="n">
        <f aca="false">IF(OR(NOT(Tasks[[#This Row],[_IsLeaf]]=1),Tasks[[#This Row],[_Res2Row]]=0),0,N(Tasks[[#This Row],[_Days]])*HoursPerDay*IF(Tasks[[#This Row],[_Res2Units]]="",DefaultUnits,Tasks[[#This Row],[_Res2Units]]))</f>
        <v>0</v>
      </c>
      <c r="DY6" s="43" t="n">
        <f aca="false">IF(AND(AND(Tasks[[#This Row],[_IsLeaf]]=1,Tasks[[#This Row],[_LeafTotalWork]]&gt;0),Tasks[[#This Row],[_Res2Work]]&gt;0),Tasks[[#This Row],[_Res2Work]]/(Tasks[[#This Row],[_FinishWorkday]]-Tasks[[#This Row],[_StartWorkday]]+1),0)</f>
        <v>0</v>
      </c>
      <c r="DZ6" s="43" t="n">
        <f aca="false">Tasks[[#This Row],[_Res2WorkPerWD]]*MAX(0,Tasks[[#This Row],[_StartWorkday]]-1)</f>
        <v>0</v>
      </c>
      <c r="EA6" s="43" t="n">
        <f aca="false">Tasks[[#This Row],[_Res2Work]]*Tasks[[#This Row],[_LeafProgress]]</f>
        <v>0</v>
      </c>
      <c r="EB6" s="43" t="str">
        <f aca="false">IF(Tasks[[#This Row],[_Res3Text]]="","",IF(Tasks[[#This Row],[_Res3Row]]&gt;0,INDEX(res_Name,Tasks[[#This Row],[_Res3Row]]),TRIM(LEFT(Tasks[[#This Row],[_Res3Text]],FIND("[",Tasks[[#This Row],[_Res3Text]]&amp;"[")-1))))</f>
        <v/>
      </c>
      <c r="EC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 s="43" t="n">
        <f aca="false">IF(OR(NOT(Tasks[[#This Row],[_IsLeaf]]=1),Tasks[[#This Row],[_Res3Row]]=0),0,N(Tasks[[#This Row],[_Days]])*HoursPerDay*IF(Tasks[[#This Row],[_Res3Units]]="",DefaultUnits,Tasks[[#This Row],[_Res3Units]]))</f>
        <v>0</v>
      </c>
      <c r="EE6" s="43" t="n">
        <f aca="false">IF(AND(AND(Tasks[[#This Row],[_IsLeaf]]=1,Tasks[[#This Row],[_LeafTotalWork]]&gt;0),Tasks[[#This Row],[_Res3Work]]&gt;0),Tasks[[#This Row],[_Res3Work]]/(Tasks[[#This Row],[_FinishWorkday]]-Tasks[[#This Row],[_StartWorkday]]+1),0)</f>
        <v>0</v>
      </c>
      <c r="EF6" s="43" t="n">
        <f aca="false">Tasks[[#This Row],[_Res3WorkPerWD]]*MAX(0,Tasks[[#This Row],[_StartWorkday]]-1)</f>
        <v>0</v>
      </c>
      <c r="EG6" s="43" t="n">
        <f aca="false">Tasks[[#This Row],[_Res3Work]]*Tasks[[#This Row],[_LeafProgress]]</f>
        <v>0</v>
      </c>
      <c r="EH6" s="43" t="str">
        <f aca="false">IF(Tasks[[#This Row],[_Res4Text]]="","",IF(Tasks[[#This Row],[_Res4Row]]&gt;0,INDEX(res_Name,Tasks[[#This Row],[_Res4Row]]),TRIM(LEFT(Tasks[[#This Row],[_Res4Text]],FIND("[",Tasks[[#This Row],[_Res4Text]]&amp;"[")-1))))</f>
        <v/>
      </c>
      <c r="EI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 s="43" t="n">
        <f aca="false">IF(OR(NOT(Tasks[[#This Row],[_IsLeaf]]=1),Tasks[[#This Row],[_Res4Row]]=0),0,N(Tasks[[#This Row],[_Days]])*HoursPerDay*IF(Tasks[[#This Row],[_Res4Units]]="",DefaultUnits,Tasks[[#This Row],[_Res4Units]]))</f>
        <v>0</v>
      </c>
      <c r="EK6" s="43" t="n">
        <f aca="false">IF(AND(AND(Tasks[[#This Row],[_IsLeaf]]=1,Tasks[[#This Row],[_LeafTotalWork]]&gt;0),Tasks[[#This Row],[_Res4Work]]&gt;0),Tasks[[#This Row],[_Res4Work]]/(Tasks[[#This Row],[_FinishWorkday]]-Tasks[[#This Row],[_StartWorkday]]+1),0)</f>
        <v>0</v>
      </c>
      <c r="EL6" s="43" t="n">
        <f aca="false">Tasks[[#This Row],[_Res4WorkPerWD]]*MAX(0,Tasks[[#This Row],[_StartWorkday]]-1)</f>
        <v>0</v>
      </c>
      <c r="EM6" s="43" t="n">
        <f aca="false">Tasks[[#This Row],[_Res4Work]]*Tasks[[#This Row],[_LeafProgress]]</f>
        <v>0</v>
      </c>
      <c r="EN6" s="43" t="n">
        <f aca="false">IF(ISNUMBER(Tasks[[#This Row],[% Complete]]),Tasks[[#This Row],[% Complete]],IF(Tasks[[#This Row],[Stage]]="",0,IFERROR(INDEX(stg_Pct,MATCH(Tasks[[#This Row],[Stage]],stg_Name,0)),0)))</f>
        <v>0</v>
      </c>
      <c r="EO6" s="43" t="n">
        <f aca="false">IF(NOT(Tasks[[#This Row],[_IsLeaf]]=1),0,IF(N(Tasks[[#This Row],[Actual Finish]])&gt;0,1,MIN(1,Tasks[[#This Row],[_Pct]])))</f>
        <v>0</v>
      </c>
      <c r="EP6" s="43" t="n">
        <f aca="false">IF(OR(NOT(Tasks[[#This Row],[_IsLeaf]]=1),Tasks[[#This Row],[_Res1Row]]=0),0,N(Tasks[[#This Row],[_Days]])*HoursPerDay*IF(Tasks[[#This Row],[_Units1]]="",DefaultUnits,Tasks[[#This Row],[_Units1]]))</f>
        <v>0</v>
      </c>
      <c r="EQ6" s="43" t="n">
        <f aca="false">Tasks[[#This Row],[_LeafWork]]+Tasks[[#This Row],[_Res2Work]]+Tasks[[#This Row],[_Res3Work]]+Tasks[[#This Row],[_Res4Work]]</f>
        <v>0</v>
      </c>
      <c r="ER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 s="43" t="n">
        <f aca="false">IF(NOT(Tasks[[#This Row],[_IsLeaf]]=1),0,MAX(_xlfn.MAXIFS(Tasks[_Row],Tasks[_Pred1UID],Tasks[[#This Row],[UID]]),_xlfn.MAXIFS(Tasks[_Row],Tasks[_Pred2UID],Tasks[[#This Row],[UID]]),_xlfn.MAXIFS(Tasks[_Row],Tasks[_Pred3UID],Tasks[[#This Row],[UID]]),_xlfn.MAXIFS(Tasks[_Row],Tasks[_Pred4UID],Tasks[[#This Row],[UID]])))</f>
        <v>0</v>
      </c>
      <c r="FA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 s="91" t="str">
        <f aca="false">IF(NOT(Tasks[[#This Row],[_IsLeaf]]=1),"",IF(N(Tasks[[#This Row],[_Days]])&lt;=0,Tasks[[#This Row],[_LeafLateFinish]],WORKDAY.INTL(Tasks[[#This Row],[_LeafLateFinish]],-(Tasks[[#This Row],[_Days]]-1),WorkWeek,Holidays)))</f>
        <v/>
      </c>
      <c r="FD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 s="90" t="b">
        <f aca="false">AND(Tasks[[#This Row],[_IsLeaf]]=1,Tasks[[#This Row],[_LeafProgress]]&lt;1,N(Tasks[[#This Row],[_LeafTotalSlack]])&lt;=CriticalSlackDays)</f>
        <v>0</v>
      </c>
      <c r="FF6" s="43" t="n">
        <f aca="false">IF(AND(Tasks[[#This Row],[_IsLeaf]]=1,Tasks[[#This Row],[_ConstraintCode]]=1,Tasks[[#This Row],[Mode]]&lt;&gt;"Manual",N(Tasks[[#This Row],[Actual Start]])=0),MAX(0,N(Tasks[[#This Row],[Free Slack]])),0)</f>
        <v>0</v>
      </c>
      <c r="FG6" s="91" t="str">
        <f aca="false">IF(NOT(Tasks[[#This Row],[_IsLeaf]]=1),"",IF(Tasks[[#This Row],[_AlapShift]]=0,Tasks[[#This Row],[_LeafCalcStart]],WORKDAY.INTL(Tasks[[#This Row],[_LeafCalcStart]],Tasks[[#This Row],[_AlapShift]],WorkWeek,Holidays)))</f>
        <v/>
      </c>
      <c r="FH6" s="91" t="str">
        <f aca="false">IF(NOT(Tasks[[#This Row],[_IsLeaf]]=1),"",IF(Tasks[[#This Row],[_AlapShift]]=0,Tasks[[#This Row],[_LeafCalcFinish]],WORKDAY.INTL(Tasks[[#This Row],[_LeafCalcFinish]],Tasks[[#This Row],[_AlapShift]],WorkWeek,Holidays)))</f>
        <v/>
      </c>
      <c r="FI6" s="91" t="str">
        <f aca="false">IF(NOT(Tasks[[#This Row],[_IsLeaf]]=1),"",IF(Tasks[[#This Row],[_AlapShift]]=0,Tasks[[#This Row],[_LeafFcstStart]],WORKDAY.INTL(Tasks[[#This Row],[_LeafFcstStart]],Tasks[[#This Row],[_AlapShift]],WorkWeek,Holidays)))</f>
        <v/>
      </c>
      <c r="FJ6" s="91" t="str">
        <f aca="false">IF(NOT(Tasks[[#This Row],[_IsLeaf]]=1),"",IF(Tasks[[#This Row],[_AlapShift]]=0,Tasks[[#This Row],[_LeafFcstFinish]],WORKDAY.INTL(Tasks[[#This Row],[_LeafFcstFinish]],Tasks[[#This Row],[_AlapShift]],WorkWeek,Holidays)))</f>
        <v/>
      </c>
      <c r="FK6" s="91" t="n">
        <f aca="false">IF(Tasks[[#This Row],[Task Name]]="","",IF(Tasks[[#This Row],[_IsSummary]],MIN(INDEX(Tasks[_ShownCalcStart],Tasks[[#This Row],[_Row]]+1):INDEX(Tasks[_ShownCalcStart],Tasks[[#This Row],[_Row]]+Tasks[[#This Row],[_Descendants]])),Tasks[[#This Row],[_ShownCalcStart]]))</f>
        <v>46272</v>
      </c>
      <c r="FL6" s="91" t="n">
        <f aca="false">IF(Tasks[[#This Row],[Task Name]]="","",IF(Tasks[[#This Row],[_IsSummary]],MAX(INDEX(Tasks[_ShownCalcFinish],Tasks[[#This Row],[_Row]]+1):INDEX(Tasks[_ShownCalcFinish],Tasks[[#This Row],[_Row]]+Tasks[[#This Row],[_Descendants]])),Tasks[[#This Row],[_ShownCalcFinish]]))</f>
        <v>46276</v>
      </c>
      <c r="FM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 s="43" t="n">
        <f aca="false">IF(AND(Tasks[[#This Row],[_IsLeaf]]=1,Tasks[[#This Row],[_LeafTotalWork]]&gt;0),NETWORKDAYS.INTL(ProjectStart,Tasks[[#This Row],[_ShownFcstStart]],WorkWeek,Holidays),0)</f>
        <v>0</v>
      </c>
      <c r="FZ6" s="43" t="n">
        <f aca="false">IF(AND(Tasks[[#This Row],[_IsLeaf]]=1,Tasks[[#This Row],[_LeafTotalWork]]&gt;0),MAX(Tasks[[#This Row],[_StartWorkday]],NETWORKDAYS.INTL(ProjectStart,Tasks[[#This Row],[_ShownFcstFinish]],WorkWeek,Holidays)),0)</f>
        <v>0</v>
      </c>
      <c r="GA6" s="43" t="n">
        <f aca="false">IF(AND(Tasks[[#This Row],[_IsLeaf]]=1,Tasks[[#This Row],[_LeafTotalWork]]&gt;0),Tasks[[#This Row],[_LeafWork]]/(Tasks[[#This Row],[_FinishWorkday]]-Tasks[[#This Row],[_StartWorkday]]+1),0)</f>
        <v>0</v>
      </c>
      <c r="GB6" s="43" t="n">
        <f aca="false">Tasks[[#This Row],[_WorkPerWorkday]]*(Tasks[[#This Row],[_StartWorkday]]-1)</f>
        <v>-0</v>
      </c>
      <c r="GC6" s="43" t="n">
        <f aca="false">IF(Tasks[[#This Row],[_IsLeaf]]=1,MAX(N(Tasks[[#This Row],[_Days]]),0.1),0)</f>
        <v>0</v>
      </c>
      <c r="GD6" s="43" t="n">
        <f aca="false">Tasks[[#This Row],[_WeightDur]]*Tasks[[#This Row],[_LeafProgress]]</f>
        <v>0</v>
      </c>
      <c r="GE6" s="43" t="n">
        <f aca="false">Tasks[[#This Row],[_WeightDur]]*Tasks[[#This Row],[_PlannedPct]]</f>
        <v>0</v>
      </c>
      <c r="GF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 s="43" t="str">
        <f aca="false">IF(AND(Tasks[[#This Row],[_IsLeaf]]=1,N(Tasks[[#This Row],[_Days]])=0,Tasks[[#This Row],[_LeafProgress]]&lt;1),Tasks[[#This Row],[_ShownFcstFinish]]+Tasks[[#This Row],[_Row]]/100000,"")</f>
        <v/>
      </c>
      <c r="GH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 s="43" t="str">
        <f aca="false">IF(Tasks[[#This Row],[Task Name]]="","",LEFT(Tasks[[#This Row],[WBS]],FIND(".",Tasks[[#This Row],[WBS]]&amp;".")-1))</f>
        <v>1</v>
      </c>
      <c r="GJ6" s="43" t="n">
        <f aca="false">IF(AND(Tasks[[#This Row],[Task Name]]&lt;&gt;"",Tasks[[#This Row],[_Level]]=1),Tasks[[#This Row],[_Row]],"")</f>
        <v>1</v>
      </c>
      <c r="GK6" s="43" t="str">
        <f aca="false">IF(AND(Tasks[[#This Row],[_IsLeaf]]=1,N(Tasks[[#This Row],[_Days]])=0),Tasks[[#This Row],[Planned Finish]]+Tasks[[#This Row],[_Row]]/100000,"")</f>
        <v/>
      </c>
      <c r="GL6" s="43" t="str">
        <f aca="false">IF(AND(Tasks[[#This Row],[_IsLeaf]]=1,Tasks[[#This Row],[_LeafProgress]]&lt;1,OR(N(Tasks[[#This Row],[Finish Var]])&gt;0,Tasks[[#This Row],[Status]]="Late Start")),MAX(0,Tasks[[#This Row],[Finish Var]])+1-Tasks[[#This Row],[_Row]]/1000000,"")</f>
        <v/>
      </c>
      <c r="GM6" s="43" t="str">
        <f aca="false">IF(AND(Tasks[[#This Row],[_IsLeaf]]=1,N(Tasks[[#This Row],[Actual Start]])=0,Tasks[[#This Row],[_ShownFcstStart]]&gt;=StatusDate,Tasks[[#This Row],[_ShownFcstStart]]&lt;=LookaheadEnd),Tasks[[#This Row],[_ShownFcstStart]]+Tasks[[#This Row],[_Row]]/100000,"")</f>
        <v/>
      </c>
      <c r="GN6" s="43" t="str">
        <f aca="false">IF(AND(Tasks[[#This Row],[_IsLeaf]]=1,Tasks[[#This Row],[_LeafProgress]]&lt;1,Tasks[[#This Row],[_ShownFcstFinish]]&gt;=StatusDate,Tasks[[#This Row],[_ShownFcstFinish]]&lt;=LookaheadEnd),Tasks[[#This Row],[_ShownFcstFinish]]+Tasks[[#This Row],[_Row]]/100000,"")</f>
        <v/>
      </c>
      <c r="GO6" s="43" t="str">
        <f aca="false">IF(Tasks[[#This Row],[_LeafCritical]],Tasks[[#This Row],[_ShownFcstStart]]+Tasks[[#This Row],[_Row]]/100000,"")</f>
        <v/>
      </c>
      <c r="GP6" s="43" t="n">
        <f aca="false">Tasks[[#This Row],[_LeafWork]]*Tasks[[#This Row],[_LeafProgress]]</f>
        <v>0</v>
      </c>
      <c r="GQ6" s="91" t="str">
        <f aca="false">IF(AND(Tasks[[#This Row],[_IsLeaf]]=1,Tasks[[#This Row],[_LeafProgress]]&gt;=1),IF(N(Tasks[[#This Row],[Actual Finish]])&gt;0,Tasks[[#This Row],[Actual Finish]],Tasks[[#This Row],[_ShownFcstFinish]]),"")</f>
        <v/>
      </c>
      <c r="GR6" s="43" t="n">
        <f aca="false">IF(Tasks[[#This Row],[_IsLeaf]]=1,N(Tasks[[#This Row],[Story Points]]),0)</f>
        <v>0</v>
      </c>
      <c r="GS6" s="43" t="str">
        <f aca="false">""</f>
        <v/>
      </c>
      <c r="GT6" s="90" t="b">
        <f aca="false">IF(Tasks[[#This Row],[Task Name]]="",FALSE(),AND(Tasks[[#This Row],[_IsLeaf]]=1,N(Tasks[[#This Row],[_Days]])=0))</f>
        <v>0</v>
      </c>
      <c r="GU6" s="91" t="n">
        <f aca="false">IF(Tasks[[#This Row],[Task Name]]="",0,IF(AND(Tasks[[#This Row],[_IsLeaf]]=1,NOT(Tasks[[#This Row],[_IsMilestone]]),N(Tasks[[#This Row],[Progress]])&gt;0),Tasks[[#This Row],[Start]],0))</f>
        <v>0</v>
      </c>
      <c r="GV6" s="91" t="n">
        <f aca="false">IF(Tasks[[#This Row],[_DoneFrom]]=0,0,IF(Tasks[[#This Row],[Progress]]&gt;=1,Tasks[[#This Row],[Finish]],MAX(Tasks[[#This Row],[_DoneFrom]],Tasks[[#This Row],[Start]]+ROUND((Tasks[[#This Row],[Finish]]-Tasks[[#This Row],[Start]]+1)*Tasks[[#This Row],[Progress]],0)-1)))</f>
        <v>0</v>
      </c>
      <c r="GW6" s="91" t="n">
        <f aca="false">IF(Tasks[[#This Row],[Task Name]]="",0,IF(OR(NOT(Tasks[[#This Row],[_IsLeaf]]=1),Tasks[[#This Row],[_IsMilestone]],N(Tasks[[#This Row],[Progress]])&gt;=1),0,IF(Tasks[[#This Row],[_DoneTo]]&gt;0,Tasks[[#This Row],[_DoneTo]]+1,Tasks[[#This Row],[Start]])))</f>
        <v>0</v>
      </c>
      <c r="GX6" s="91" t="n">
        <f aca="false">IF(Tasks[[#This Row],[_RemFrom]]=0,0,Tasks[[#This Row],[Finish]])</f>
        <v>0</v>
      </c>
      <c r="GY6" s="90" t="b">
        <f aca="false">IF(Tasks[[#This Row],[Task Name]]="",FALSE(),OR(NOT(BaselineSet),N(Tasks[[#This Row],[Baseline Start]])&gt;0))</f>
        <v>1</v>
      </c>
      <c r="GZ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 s="92" t="str">
        <f aca="false">IF(Tasks[[#This Row],[_IsLeaf]]=1,Tasks[[#This Row],[_Row]],"")</f>
        <v/>
      </c>
      <c r="HD6" s="92" t="str">
        <f aca="false">IFERROR(INDEX(Tasks[UID],SMALL(Tasks[_PickKey],Tasks[[#This Row],[_Row]]))&amp;" "&amp;INDEX(Tasks[Task Name],SMALL(Tasks[_PickKey],Tasks[[#This Row],[_Row]])),"")</f>
        <v>2 Project charter &amp; scope statement</v>
      </c>
      <c r="HE6" s="43" t="n">
        <f aca="false">IF(Tasks[[#This Row],[Task Name]]="","",IF(Tasks[[#This Row],[_IsSummary]],NETWORKDAYS.INTL(Tasks[[#This Row],[Start]],Tasks[[#This Row],[Finish]],WorkWeek,Holidays),N(Tasks[[#This Row],[_Days]])))</f>
        <v>6</v>
      </c>
      <c r="HF6" s="43" t="n">
        <f aca="false">IF(Tasks[[#This Row],[Expected]]="",0,((Tasks[[#This Row],[Pessimistic]]-Tasks[[#This Row],[Optimistic]])/6)^2)</f>
        <v>0</v>
      </c>
      <c r="HG6" s="43" t="n">
        <f aca="false">IF(Tasks[[#This Row],[Expected]]="",0,Tasks[[#This Row],[Expected]]-N(Tasks[[#This Row],[_Days]]))</f>
        <v>0</v>
      </c>
    </row>
    <row r="7" customFormat="false" ht="15" hidden="false" customHeight="false" outlineLevel="1" collapsed="false">
      <c r="A7" s="21" t="n">
        <f aca="false">IF(Tasks[[#This Row],[Task Name]]="","",COUNTA(Tasks[[#Headers],[Task Name]]:Tasks[[#This Row],[Task Name]])-1)</f>
        <v>2</v>
      </c>
      <c r="B7" s="22" t="n">
        <v>2</v>
      </c>
      <c r="C7" s="22" t="n">
        <v>2</v>
      </c>
      <c r="D7" s="93" t="s">
        <v>641</v>
      </c>
      <c r="E7" s="22" t="n">
        <v>3</v>
      </c>
      <c r="F7" s="23"/>
      <c r="G7" s="22"/>
      <c r="H7" s="22"/>
      <c r="I7" s="23"/>
      <c r="J7" s="22"/>
      <c r="K7" s="22"/>
      <c r="L7" s="23"/>
      <c r="M7" s="22"/>
      <c r="N7" s="22"/>
      <c r="O7" s="23"/>
      <c r="P7" s="22"/>
      <c r="Q7" s="22"/>
      <c r="R7" s="23"/>
      <c r="S7" s="23" t="s">
        <v>6</v>
      </c>
      <c r="T7" s="84"/>
      <c r="U7" s="23"/>
      <c r="V7" s="84"/>
      <c r="W7" s="23"/>
      <c r="X7" s="84"/>
      <c r="Y7" s="23"/>
      <c r="Z7" s="84"/>
      <c r="AA7" s="23"/>
      <c r="AB7" s="23" t="s">
        <v>150</v>
      </c>
      <c r="AC7" s="7" t="n">
        <v>46272</v>
      </c>
      <c r="AD7" s="7" t="n">
        <v>46275</v>
      </c>
      <c r="AE7" s="63" t="n">
        <f aca="false">IF(Tasks[[#This Row],[Task Name]]="","",IF(Tasks[[#This Row],[_IsSummary]],MIN(INDEX(Tasks[_ShownFcstStart],Tasks[[#This Row],[_Row]]+1):INDEX(Tasks[_ShownFcstStart],Tasks[[#This Row],[_Row]]+Tasks[[#This Row],[_Descendants]])),Tasks[[#This Row],[_ShownFcstStart]]))</f>
        <v>46272</v>
      </c>
      <c r="AF7" s="63" t="n">
        <f aca="false">IF(Tasks[[#This Row],[Task Name]]="","",IF(Tasks[[#This Row],[_IsSummary]],MAX(INDEX(Tasks[_ShownFcstFinish],Tasks[[#This Row],[_Row]]+1):INDEX(Tasks[_ShownFcstFinish],Tasks[[#This Row],[_Row]]+Tasks[[#This Row],[_Descendants]])),Tasks[[#This Row],[_ShownFcstFinish]]))</f>
        <v>46275</v>
      </c>
      <c r="AG7" s="21" t="str">
        <f aca="false">""</f>
        <v/>
      </c>
      <c r="AH7" s="23" t="s">
        <v>642</v>
      </c>
      <c r="AI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 s="7"/>
      <c r="AK7" s="22" t="s">
        <v>248</v>
      </c>
      <c r="AL7" s="23"/>
      <c r="AM7" s="7"/>
      <c r="AN7" s="47" t="n">
        <f aca="false">IF(Tasks[[#This Row],[Task Name]]="","",IF(Tasks[[#This Row],[Finish]]&gt;=Tasks[[#This Row],[Planned Finish]],NETWORKDAYS.INTL(Tasks[[#This Row],[Planned Finish]],Tasks[[#This Row],[Finish]],WorkWeek,Holidays)-1,1-NETWORKDAYS.INTL(Tasks[[#This Row],[Finish]],Tasks[[#This Row],[Planned Finish]],WorkWeek,Holidays)))</f>
        <v>1</v>
      </c>
      <c r="AO7" s="21" t="str">
        <f aca="false">IF(Tasks[[#This Row],[Task Name]]="","",IF(Tasks[[#This Row],[Progress]]&gt;=1,"Complete",IF(OR(N(Tasks[[#This Row],[Actual Start]])&gt;0,Tasks[[#This Row],[Progress]]&gt;0),IF(Tasks[[#This Row],[Finish Var]]&gt;0,"Behind","In Progress"),IF(Tasks[[#This Row],[Planned Start]]&lt;StatusDate,"Late Start","Not Started"))))</f>
        <v>Complete</v>
      </c>
      <c r="AP7" s="21" t="str">
        <f aca="false">IF(Tasks[[#This Row],[Task Name]]="","",IF(IF(Tasks[[#This Row],[_IsSummary]],COUNTIF(INDEX(Tasks[_LeafCritical],Tasks[[#This Row],[_Row]]+1):INDEX(Tasks[_LeafCritical],Tasks[[#This Row],[_Row]]+Tasks[[#This Row],[_Descendants]]),TRUE())&gt;0,Tasks[[#This Row],[_LeafCritical]]),"Yes",""))</f>
        <v/>
      </c>
      <c r="AQ7" s="63" t="n">
        <f aca="false">IF(Tasks[[#This Row],[Task Name]]="","",IF(N(Tasks[[#This Row],[Baseline Start]])&gt;0,Tasks[[#This Row],[Baseline Start]],Tasks[[#This Row],[_CalcStart]]))</f>
        <v>46272</v>
      </c>
      <c r="AR7" s="63" t="n">
        <f aca="false">IF(Tasks[[#This Row],[Task Name]]="","",IF(N(Tasks[[#This Row],[Baseline Finish]])&gt;0,Tasks[[#This Row],[Baseline Finish]],Tasks[[#This Row],[_CalcFinish]]))</f>
        <v>46274</v>
      </c>
      <c r="AS7" s="47" t="n">
        <f aca="false">IF(Tasks[[#This Row],[Task Name]]="","",IF(Tasks[[#This Row],[Start]]&gt;=Tasks[[#This Row],[Planned Start]],NETWORKDAYS.INTL(Tasks[[#This Row],[Planned Start]],Tasks[[#This Row],[Start]],WorkWeek,Holidays)-1,1-NETWORKDAYS.INTL(Tasks[[#This Row],[Start]],Tasks[[#This Row],[Planned Start]],WorkWeek,Holidays)))</f>
        <v>0</v>
      </c>
      <c r="AT7" s="63" t="n">
        <f aca="false">IF(Tasks[[#This Row],[Task Name]]="","",IF(Tasks[[#This Row],[_IsSummary]],MIN(INDEX(Tasks[_LeafLateStart],Tasks[[#This Row],[_Row]]+1):INDEX(Tasks[_LeafLateStart],Tasks[[#This Row],[_Row]]+Tasks[[#This Row],[_Descendants]])),Tasks[[#This Row],[_LeafLateStart]]))</f>
        <v>46276</v>
      </c>
      <c r="AU7" s="63" t="n">
        <f aca="false">IF(Tasks[[#This Row],[Task Name]]="","",IF(Tasks[[#This Row],[_IsSummary]],MAX(INDEX(Tasks[_LeafLateFinish],Tasks[[#This Row],[_Row]]+1):INDEX(Tasks[_LeafLateFinish],Tasks[[#This Row],[_Row]]+Tasks[[#This Row],[_Descendants]])),Tasks[[#This Row],[_LeafLateFinish]]))</f>
        <v>46280</v>
      </c>
      <c r="AV7" s="47" t="n">
        <f aca="false">IF(Tasks[[#This Row],[Task Name]]="","",IF(Tasks[[#This Row],[_IsSummary]],MIN(INDEX(Tasks[_LeafTotalSlack],Tasks[[#This Row],[_Row]]+1):INDEX(Tasks[_LeafTotalSlack],Tasks[[#This Row],[_Row]]+Tasks[[#This Row],[_Descendants]])),Tasks[[#This Row],[_LeafTotalSlack]]))</f>
        <v>3</v>
      </c>
      <c r="AW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5"/>
      <c r="BA7"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BD7" s="21" t="str">
        <f aca="false">IF(Tasks[[#This Row],[Task Name]]="","",IF(Tasks[[#This Row],[_Level]]&lt;=OutlineShowLevel,"Yes","No"))</f>
        <v>Yes</v>
      </c>
      <c r="BE7" s="86" t="n">
        <f aca="false">IF(Tasks[[#This Row],[Task Name]]="","",IF(Tasks[[#This Row],[_IsSummary]],SUM(INDEX(Tasks[_LeafTotalWork],Tasks[[#This Row],[_Row]]+1):INDEX(Tasks[_LeafTotalWork],Tasks[[#This Row],[_Row]]+Tasks[[#This Row],[_Descendants]])),Tasks[[#This Row],[_LeafTotalWork]]))</f>
        <v>24</v>
      </c>
      <c r="BF7" s="23"/>
      <c r="BG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7" s="21" t="str">
        <f aca="false">""</f>
        <v/>
      </c>
      <c r="BI7" s="87"/>
      <c r="BJ7" s="22"/>
      <c r="BK7" s="47" t="n">
        <f aca="false">IF(OR(Tasks[[#This Row],[Task Name]]="",Tasks[[#This Row],[Baseline Duration]]=""),"",Tasks[[#This Row],[_SpanDays]]-N(Tasks[[#This Row],[Baseline Duration]]))</f>
        <v>0</v>
      </c>
      <c r="BL7" s="86" t="n">
        <f aca="false">IF(OR(Tasks[[#This Row],[Task Name]]="",Tasks[[#This Row],[Baseline Work]]=""),"",Tasks[[#This Row],[Work]]-N(Tasks[[#This Row],[Baseline Work]]))</f>
        <v>0</v>
      </c>
      <c r="BM7" s="63" t="n">
        <f aca="false">IF(Tasks[[#This Row],[Task Name]]="","",IF(OR(TakeBaseline="Yes",N(Tasks[[#This Row],[Baseline Start]])=0),Tasks[[#This Row],[Start]],Tasks[[#This Row],[Baseline Start]]))</f>
        <v>46272</v>
      </c>
      <c r="BN7" s="63" t="n">
        <f aca="false">IF(Tasks[[#This Row],[Task Name]]="","",IF(OR(TakeBaseline="Yes",N(Tasks[[#This Row],[Baseline Finish]])=0),Tasks[[#This Row],[Finish]],Tasks[[#This Row],[Baseline Finish]]))</f>
        <v>46274</v>
      </c>
      <c r="BO7" s="21" t="n">
        <f aca="false">IF(Tasks[[#This Row],[Task Name]]="","",IF(OR(TakeBaseline="Yes",N(Tasks[[#This Row],[Baseline Duration]])=0),Tasks[[#This Row],[_SpanDays]],Tasks[[#This Row],[Baseline Duration]]))</f>
        <v>3</v>
      </c>
      <c r="BP7" s="86" t="n">
        <f aca="false">IF(Tasks[[#This Row],[Task Name]]="","",IF(OR(TakeBaseline="Yes",N(Tasks[[#This Row],[Baseline Work]])=0),Tasks[[#This Row],[Work]],Tasks[[#This Row],[Baseline Work]]))</f>
        <v>24</v>
      </c>
      <c r="BQ7" s="7" t="n">
        <v>46272</v>
      </c>
      <c r="BR7" s="7" t="n">
        <v>46274</v>
      </c>
      <c r="BS7" s="22" t="n">
        <v>3</v>
      </c>
      <c r="BT7" s="88" t="n">
        <v>24</v>
      </c>
      <c r="BU7" s="23" t="s">
        <v>6</v>
      </c>
      <c r="BV7" s="23" t="s">
        <v>643</v>
      </c>
      <c r="BW7" s="23" t="s">
        <v>644</v>
      </c>
      <c r="BX7" s="89" t="str">
        <f aca="false">IF(AND(Tasks[[#This Row],[_IsLeaf]]=1,ISNUMBER(Tasks[[#This Row],[Optimistic]]),ISNUMBER(Tasks[[#This Row],[Pessimistic]])),ROUND((Tasks[[#This Row],[Optimistic]]+4*N(Tasks[[#This Row],[_Days]])+Tasks[[#This Row],[Pessimistic]])/6,1),"")</f>
        <v/>
      </c>
      <c r="BY7" s="87"/>
      <c r="BZ7" s="87"/>
      <c r="CA7" s="22"/>
      <c r="CB7" s="43" t="n">
        <f aca="false">IF(Tasks[[#This Row],[Task Name]]="","",MAX(1,N(Tasks[[#This Row],[Level]])))</f>
        <v>2</v>
      </c>
      <c r="CC7" s="43" t="n">
        <f aca="false">ROW()-ROW(Tasks[[#Headers],[ID]])</f>
        <v>2</v>
      </c>
      <c r="CD7" s="43" t="n">
        <f aca="false">IF(OR(Tasks[[#This Row],[Task Name]]="",Tasks[[#This Row],[_Level]]&lt;=1),0,IFERROR(LOOKUP(2,1/(Tasks[[#Headers],[_Level]]:Tasks[[#This Row],[_Level]]=Tasks[[#This Row],[_Level]]-1),ROW(Tasks[[#Headers],[_Level]]:Tasks[[#This Row],[_Level]])),0))</f>
        <v>6</v>
      </c>
      <c r="CE7" s="43" t="n">
        <f aca="false">IFERROR(N(INDEX(Tasks[_Level],Tasks[[#This Row],[_Row]]+1)),0)</f>
        <v>2</v>
      </c>
      <c r="CF7" s="90" t="b">
        <f aca="false">AND(Tasks[[#This Row],[Task Name]]&lt;&gt;"",Tasks[[#This Row],[_NextLevel]]&gt;Tasks[[#This Row],[_Level]])</f>
        <v>0</v>
      </c>
      <c r="CG7" s="43" t="n">
        <f aca="false">IF(Tasks[[#This Row],[_IsSummary]],COUNTIF(Tasks[WBS],Tasks[[#This Row],[WBS]]&amp;".*"),0)</f>
        <v>0</v>
      </c>
      <c r="CH7" s="43" t="n">
        <f aca="false">IF(AND(Tasks[[#This Row],[Task Name]]&lt;&gt;"",NOT(Tasks[[#This Row],[_IsSummary]])),1,0)</f>
        <v>1</v>
      </c>
      <c r="CI7" s="43" t="n">
        <f aca="false">IF(N(Tasks[[#This Row],[_Pred1UID]])=0,0,IFERROR(MATCH(Tasks[[#This Row],[_Pred1UID]],Tasks[UID],0),-1))</f>
        <v>0</v>
      </c>
      <c r="CJ7" s="43" t="n">
        <f aca="false">IF(N(Tasks[[#This Row],[_Pred2UID]])=0,0,IFERROR(MATCH(Tasks[[#This Row],[_Pred2UID]],Tasks[UID],0),-1))</f>
        <v>0</v>
      </c>
      <c r="CK7" s="43" t="n">
        <f aca="false">IF(N(Tasks[[#This Row],[_Pred3UID]])=0,0,IFERROR(MATCH(Tasks[[#This Row],[_Pred3UID]],Tasks[UID],0),-1))</f>
        <v>0</v>
      </c>
      <c r="CL7" s="43" t="n">
        <f aca="false">IF(N(Tasks[[#This Row],[_Pred4UID]])=0,0,IFERROR(MATCH(Tasks[[#This Row],[_Pred4UID]],Tasks[UID],0),-1))</f>
        <v>0</v>
      </c>
      <c r="CM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 s="91" t="n">
        <f aca="false">IF(OR(Tasks[[#This Row],[_ConstraintCode]]=2,Tasks[[#This Row],[_ConstraintCode]]=3,Tasks[[#This Row],[_ConstraintCode]]=4,Tasks[[#This Row],[_ConstraintCode]]=6),Tasks[[#This Row],[_ConstraintStart]],0)</f>
        <v>0</v>
      </c>
      <c r="CP7" s="91" t="n">
        <f aca="false">IF(OR(Tasks[[#This Row],[_ConstraintCode]]=2,Tasks[[#This Row],[_ConstraintCode]]=3,Tasks[[#This Row],[_ConstraintCode]]=5,Tasks[[#This Row],[_ConstraintCode]]=7),Tasks[[#This Row],[_ConstraintStart]],2958465)</f>
        <v>2958465</v>
      </c>
      <c r="CQ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CR7" s="91" t="n">
        <f aca="false">IF(NOT(Tasks[[#This Row],[_IsLeaf]]=1),"",IF(N(Tasks[[#This Row],[_Days]])&lt;=0,Tasks[[#This Row],[_LeafCalcStart]],WORKDAY.INTL(Tasks[[#This Row],[_LeafCalcStart]],Tasks[[#This Row],[_Days]]-1,WorkWeek,Holidays)))</f>
        <v>46274</v>
      </c>
      <c r="CS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CT7"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46275</v>
      </c>
      <c r="CU7" s="43" t="str">
        <f aca="false">IF(Tasks[[#This Row],[_Predecessors]]="","",TRIM(MID(SUBSTITUTE(SUBSTITUTE(SUBSTITUTE(UPPER(Tasks[[#This Row],[_Predecessors]]),";",",")," ",""),",",REPT(" ",99)),1,99)))</f>
        <v/>
      </c>
      <c r="CV7" s="43" t="str">
        <f aca="false">IF(Tasks[[#This Row],[_Pred1Text]]="","",IFERROR(VALUE(LEFT(Tasks[[#This Row],[_Pred1Text]],MIN(FIND("F",Tasks[[#This Row],[_Pred1Text]]&amp;"F"),FIND("S",Tasks[[#This Row],[_Pred1Text]]&amp;"S"),FIND("+",Tasks[[#This Row],[_Pred1Text]]&amp;"+"),FIND("-",Tasks[[#This Row],[_Pred1Text]]&amp;"-"))-1)),""))</f>
        <v/>
      </c>
      <c r="CW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 s="43" t="str">
        <f aca="false">IF(Tasks[[#This Row],[_Pred1Text]]="","",TRIM(MID(SUBSTITUTE(SUBSTITUTE(SUBSTITUTE(UPPER(Tasks[[#This Row],[_Predecessors]]),";",",")," ",""),",",REPT(" ",99)),100,99)))</f>
        <v/>
      </c>
      <c r="CZ7" s="43" t="str">
        <f aca="false">IF(Tasks[[#This Row],[_Pred2Text]]="","",IFERROR(VALUE(LEFT(Tasks[[#This Row],[_Pred2Text]],MIN(FIND("F",Tasks[[#This Row],[_Pred2Text]]&amp;"F"),FIND("S",Tasks[[#This Row],[_Pred2Text]]&amp;"S"),FIND("+",Tasks[[#This Row],[_Pred2Text]]&amp;"+"),FIND("-",Tasks[[#This Row],[_Pred2Text]]&amp;"-"))-1)),""))</f>
        <v/>
      </c>
      <c r="DA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 s="43" t="str">
        <f aca="false">IF(Tasks[[#This Row],[_Pred2Text]]="","",TRIM(MID(SUBSTITUTE(SUBSTITUTE(SUBSTITUTE(UPPER(Tasks[[#This Row],[_Predecessors]]),";",",")," ",""),",",REPT(" ",99)),199,99)))</f>
        <v/>
      </c>
      <c r="DD7" s="43" t="str">
        <f aca="false">IF(Tasks[[#This Row],[_Pred3Text]]="","",IFERROR(VALUE(LEFT(Tasks[[#This Row],[_Pred3Text]],MIN(FIND("F",Tasks[[#This Row],[_Pred3Text]]&amp;"F"),FIND("S",Tasks[[#This Row],[_Pred3Text]]&amp;"S"),FIND("+",Tasks[[#This Row],[_Pred3Text]]&amp;"+"),FIND("-",Tasks[[#This Row],[_Pred3Text]]&amp;"-"))-1)),""))</f>
        <v/>
      </c>
      <c r="DE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 s="43" t="str">
        <f aca="false">IF(Tasks[[#This Row],[_Pred3Text]]="","",TRIM(MID(SUBSTITUTE(SUBSTITUTE(SUBSTITUTE(UPPER(Tasks[[#This Row],[_Predecessors]]),";",",")," ",""),",",REPT(" ",99)),298,99)))</f>
        <v/>
      </c>
      <c r="DH7" s="43" t="str">
        <f aca="false">IF(Tasks[[#This Row],[_Pred4Text]]="","",IFERROR(VALUE(LEFT(Tasks[[#This Row],[_Pred4Text]],MIN(FIND("F",Tasks[[#This Row],[_Pred4Text]]&amp;"F"),FIND("S",Tasks[[#This Row],[_Pred4Text]]&amp;"S"),FIND("+",Tasks[[#This Row],[_Pred4Text]]&amp;"+"),FIND("-",Tasks[[#This Row],[_Pred4Text]]&amp;"-"))-1)),""))</f>
        <v/>
      </c>
      <c r="DI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 s="43" t="str">
        <f aca="false">IF(OR(Tasks[[#This Row],[Task Name]]="",Tasks[[#This Row],[_Resources]]=""),"",TRIM(MID(SUBSTITUTE(Tasks[[#This Row],[_Resources]],",",REPT(" ",99)),1,99)))</f>
        <v>Priya Sharma</v>
      </c>
      <c r="DL7" s="43" t="str">
        <f aca="false">IF(Tasks[[#This Row],[_Res1Text]]="","",TRIM(MID(SUBSTITUTE(Tasks[[#This Row],[_Resources]],",",REPT(" ",99)),100,99)))</f>
        <v/>
      </c>
      <c r="DM7" s="43" t="str">
        <f aca="false">IF(Tasks[[#This Row],[_Res2Text]]="","",TRIM(MID(SUBSTITUTE(Tasks[[#This Row],[_Resources]],",",REPT(" ",99)),199,99)))</f>
        <v/>
      </c>
      <c r="DN7" s="43" t="str">
        <f aca="false">IF(Tasks[[#This Row],[_Res3Text]]="","",TRIM(MID(SUBSTITUTE(Tasks[[#This Row],[_Resources]],",",REPT(" ",99)),298,99)))</f>
        <v/>
      </c>
      <c r="DO7" s="43" t="n">
        <f aca="false">IF(Tasks[[#This Row],[_Res1Text]]="",0,IFERROR(MATCH(TRIM(LEFT(Tasks[[#This Row],[_Res1Text]],FIND("[",Tasks[[#This Row],[_Res1Text]]&amp;"[")-1)),res_Name,0),IFERROR(MATCH(TRIM(LEFT(Tasks[[#This Row],[_Res1Text]],FIND("[",Tasks[[#This Row],[_Res1Text]]&amp;"[")-1)),res_Initials,0),0)))</f>
        <v>1</v>
      </c>
      <c r="DP7" s="43" t="n">
        <f aca="false">IF(Tasks[[#This Row],[_Res2Text]]="",0,IFERROR(MATCH(TRIM(LEFT(Tasks[[#This Row],[_Res2Text]],FIND("[",Tasks[[#This Row],[_Res2Text]]&amp;"[")-1)),res_Name,0),IFERROR(MATCH(TRIM(LEFT(Tasks[[#This Row],[_Res2Text]],FIND("[",Tasks[[#This Row],[_Res2Text]]&amp;"[")-1)),res_Initials,0),0)))</f>
        <v>0</v>
      </c>
      <c r="DQ7" s="43" t="n">
        <f aca="false">IF(Tasks[[#This Row],[_Res3Text]]="",0,IFERROR(MATCH(TRIM(LEFT(Tasks[[#This Row],[_Res3Text]],FIND("[",Tasks[[#This Row],[_Res3Text]]&amp;"[")-1)),res_Name,0),IFERROR(MATCH(TRIM(LEFT(Tasks[[#This Row],[_Res3Text]],FIND("[",Tasks[[#This Row],[_Res3Text]]&amp;"[")-1)),res_Initials,0),0)))</f>
        <v>0</v>
      </c>
      <c r="DR7" s="43" t="n">
        <f aca="false">IF(Tasks[[#This Row],[_Res4Text]]="",0,IFERROR(MATCH(TRIM(LEFT(Tasks[[#This Row],[_Res4Text]],FIND("[",Tasks[[#This Row],[_Res4Text]]&amp;"[")-1)),res_Name,0),IFERROR(MATCH(TRIM(LEFT(Tasks[[#This Row],[_Res4Text]],FIND("[",Tasks[[#This Row],[_Res4Text]]&amp;"[")-1)),res_Initials,0),0)))</f>
        <v>0</v>
      </c>
      <c r="DS7" s="43" t="str">
        <f aca="false">IF(Tasks[[#This Row],[_Res1Text]]="","",IF(Tasks[[#This Row],[_Res1Row]]&gt;0,INDEX(res_Name,Tasks[[#This Row],[_Res1Row]]),TRIM(LEFT(Tasks[[#This Row],[_Res1Text]],FIND("[",Tasks[[#This Row],[_Res1Text]]&amp;"[")-1))))</f>
        <v>Priya Sharma</v>
      </c>
      <c r="DT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 s="43" t="n">
        <f aca="false">IF(NOT(Tasks[[#This Row],[_IsLeaf]]=1),0,(Tasks[[#This Row],[_Resource1]]&lt;&gt;"")+(Tasks[[#This Row],[_Res2]]&lt;&gt;"")+(Tasks[[#This Row],[_Res3]]&lt;&gt;"")+(Tasks[[#This Row],[_Res4]]&lt;&gt;""))</f>
        <v>1</v>
      </c>
      <c r="DV7" s="43" t="str">
        <f aca="false">IF(Tasks[[#This Row],[_Res2Text]]="","",IF(Tasks[[#This Row],[_Res2Row]]&gt;0,INDEX(res_Name,Tasks[[#This Row],[_Res2Row]]),TRIM(LEFT(Tasks[[#This Row],[_Res2Text]],FIND("[",Tasks[[#This Row],[_Res2Text]]&amp;"[")-1))))</f>
        <v/>
      </c>
      <c r="DW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 s="43" t="n">
        <f aca="false">IF(OR(NOT(Tasks[[#This Row],[_IsLeaf]]=1),Tasks[[#This Row],[_Res2Row]]=0),0,N(Tasks[[#This Row],[_Days]])*HoursPerDay*IF(Tasks[[#This Row],[_Res2Units]]="",DefaultUnits,Tasks[[#This Row],[_Res2Units]]))</f>
        <v>0</v>
      </c>
      <c r="DY7" s="43" t="n">
        <f aca="false">IF(AND(AND(Tasks[[#This Row],[_IsLeaf]]=1,Tasks[[#This Row],[_LeafTotalWork]]&gt;0),Tasks[[#This Row],[_Res2Work]]&gt;0),Tasks[[#This Row],[_Res2Work]]/(Tasks[[#This Row],[_FinishWorkday]]-Tasks[[#This Row],[_StartWorkday]]+1),0)</f>
        <v>0</v>
      </c>
      <c r="DZ7" s="43" t="n">
        <f aca="false">Tasks[[#This Row],[_Res2WorkPerWD]]*MAX(0,Tasks[[#This Row],[_StartWorkday]]-1)</f>
        <v>0</v>
      </c>
      <c r="EA7" s="43" t="n">
        <f aca="false">Tasks[[#This Row],[_Res2Work]]*Tasks[[#This Row],[_LeafProgress]]</f>
        <v>0</v>
      </c>
      <c r="EB7" s="43" t="str">
        <f aca="false">IF(Tasks[[#This Row],[_Res3Text]]="","",IF(Tasks[[#This Row],[_Res3Row]]&gt;0,INDEX(res_Name,Tasks[[#This Row],[_Res3Row]]),TRIM(LEFT(Tasks[[#This Row],[_Res3Text]],FIND("[",Tasks[[#This Row],[_Res3Text]]&amp;"[")-1))))</f>
        <v/>
      </c>
      <c r="EC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 s="43" t="n">
        <f aca="false">IF(OR(NOT(Tasks[[#This Row],[_IsLeaf]]=1),Tasks[[#This Row],[_Res3Row]]=0),0,N(Tasks[[#This Row],[_Days]])*HoursPerDay*IF(Tasks[[#This Row],[_Res3Units]]="",DefaultUnits,Tasks[[#This Row],[_Res3Units]]))</f>
        <v>0</v>
      </c>
      <c r="EE7" s="43" t="n">
        <f aca="false">IF(AND(AND(Tasks[[#This Row],[_IsLeaf]]=1,Tasks[[#This Row],[_LeafTotalWork]]&gt;0),Tasks[[#This Row],[_Res3Work]]&gt;0),Tasks[[#This Row],[_Res3Work]]/(Tasks[[#This Row],[_FinishWorkday]]-Tasks[[#This Row],[_StartWorkday]]+1),0)</f>
        <v>0</v>
      </c>
      <c r="EF7" s="43" t="n">
        <f aca="false">Tasks[[#This Row],[_Res3WorkPerWD]]*MAX(0,Tasks[[#This Row],[_StartWorkday]]-1)</f>
        <v>0</v>
      </c>
      <c r="EG7" s="43" t="n">
        <f aca="false">Tasks[[#This Row],[_Res3Work]]*Tasks[[#This Row],[_LeafProgress]]</f>
        <v>0</v>
      </c>
      <c r="EH7" s="43" t="str">
        <f aca="false">IF(Tasks[[#This Row],[_Res4Text]]="","",IF(Tasks[[#This Row],[_Res4Row]]&gt;0,INDEX(res_Name,Tasks[[#This Row],[_Res4Row]]),TRIM(LEFT(Tasks[[#This Row],[_Res4Text]],FIND("[",Tasks[[#This Row],[_Res4Text]]&amp;"[")-1))))</f>
        <v/>
      </c>
      <c r="EI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 s="43" t="n">
        <f aca="false">IF(OR(NOT(Tasks[[#This Row],[_IsLeaf]]=1),Tasks[[#This Row],[_Res4Row]]=0),0,N(Tasks[[#This Row],[_Days]])*HoursPerDay*IF(Tasks[[#This Row],[_Res4Units]]="",DefaultUnits,Tasks[[#This Row],[_Res4Units]]))</f>
        <v>0</v>
      </c>
      <c r="EK7" s="43" t="n">
        <f aca="false">IF(AND(AND(Tasks[[#This Row],[_IsLeaf]]=1,Tasks[[#This Row],[_LeafTotalWork]]&gt;0),Tasks[[#This Row],[_Res4Work]]&gt;0),Tasks[[#This Row],[_Res4Work]]/(Tasks[[#This Row],[_FinishWorkday]]-Tasks[[#This Row],[_StartWorkday]]+1),0)</f>
        <v>0</v>
      </c>
      <c r="EL7" s="43" t="n">
        <f aca="false">Tasks[[#This Row],[_Res4WorkPerWD]]*MAX(0,Tasks[[#This Row],[_StartWorkday]]-1)</f>
        <v>0</v>
      </c>
      <c r="EM7" s="43" t="n">
        <f aca="false">Tasks[[#This Row],[_Res4Work]]*Tasks[[#This Row],[_LeafProgress]]</f>
        <v>0</v>
      </c>
      <c r="EN7" s="94" t="n">
        <f aca="false">IF(ISNUMBER(Tasks[[#This Row],[% Complete]]),Tasks[[#This Row],[% Complete]],IF(Tasks[[#This Row],[Stage]]="",0,IFERROR(INDEX(stg_Pct,MATCH(Tasks[[#This Row],[Stage]],stg_Name,0)),0)))</f>
        <v>1</v>
      </c>
      <c r="EO7" s="43" t="n">
        <f aca="false">IF(NOT(Tasks[[#This Row],[_IsLeaf]]=1),0,IF(N(Tasks[[#This Row],[Actual Finish]])&gt;0,1,MIN(1,Tasks[[#This Row],[_Pct]])))</f>
        <v>1</v>
      </c>
      <c r="EP7" s="43" t="n">
        <f aca="false">IF(OR(NOT(Tasks[[#This Row],[_IsLeaf]]=1),Tasks[[#This Row],[_Res1Row]]=0),0,N(Tasks[[#This Row],[_Days]])*HoursPerDay*IF(Tasks[[#This Row],[_Units1]]="",DefaultUnits,Tasks[[#This Row],[_Units1]]))</f>
        <v>24</v>
      </c>
      <c r="EQ7" s="43" t="n">
        <f aca="false">Tasks[[#This Row],[_LeafWork]]+Tasks[[#This Row],[_Res2Work]]+Tasks[[#This Row],[_Res3Work]]+Tasks[[#This Row],[_Res4Work]]</f>
        <v>24</v>
      </c>
      <c r="ER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 s="43" t="n">
        <f aca="false">IF(NOT(Tasks[[#This Row],[_IsLeaf]]=1),0,MAX(_xlfn.MAXIFS(Tasks[_Row],Tasks[_Pred1UID],Tasks[[#This Row],[UID]]),_xlfn.MAXIFS(Tasks[_Row],Tasks[_Pred2UID],Tasks[[#This Row],[UID]]),_xlfn.MAXIFS(Tasks[_Row],Tasks[_Pred3UID],Tasks[[#This Row],[UID]]),_xlfn.MAXIFS(Tasks[_Row],Tasks[_Pred4UID],Tasks[[#This Row],[UID]])))</f>
        <v>3</v>
      </c>
      <c r="FA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46280</v>
      </c>
      <c r="FB7"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46280</v>
      </c>
      <c r="FC7" s="91" t="n">
        <f aca="false">IF(NOT(Tasks[[#This Row],[_IsLeaf]]=1),"",IF(N(Tasks[[#This Row],[_Days]])&lt;=0,Tasks[[#This Row],[_LeafLateFinish]],WORKDAY.INTL(Tasks[[#This Row],[_LeafLateFinish]],-(Tasks[[#This Row],[_Days]]-1),WorkWeek,Holidays)))</f>
        <v>46276</v>
      </c>
      <c r="FD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E7" s="90" t="b">
        <f aca="false">AND(Tasks[[#This Row],[_IsLeaf]]=1,Tasks[[#This Row],[_LeafProgress]]&lt;1,N(Tasks[[#This Row],[_LeafTotalSlack]])&lt;=CriticalSlackDays)</f>
        <v>0</v>
      </c>
      <c r="FF7" s="43" t="n">
        <f aca="false">IF(AND(Tasks[[#This Row],[_IsLeaf]]=1,Tasks[[#This Row],[_ConstraintCode]]=1,Tasks[[#This Row],[Mode]]&lt;&gt;"Manual",N(Tasks[[#This Row],[Actual Start]])=0),MAX(0,N(Tasks[[#This Row],[Free Slack]])),0)</f>
        <v>0</v>
      </c>
      <c r="FG7" s="91" t="n">
        <f aca="false">IF(NOT(Tasks[[#This Row],[_IsLeaf]]=1),"",IF(Tasks[[#This Row],[_AlapShift]]=0,Tasks[[#This Row],[_LeafCalcStart]],WORKDAY.INTL(Tasks[[#This Row],[_LeafCalcStart]],Tasks[[#This Row],[_AlapShift]],WorkWeek,Holidays)))</f>
        <v>46272</v>
      </c>
      <c r="FH7" s="91" t="n">
        <f aca="false">IF(NOT(Tasks[[#This Row],[_IsLeaf]]=1),"",IF(Tasks[[#This Row],[_AlapShift]]=0,Tasks[[#This Row],[_LeafCalcFinish]],WORKDAY.INTL(Tasks[[#This Row],[_LeafCalcFinish]],Tasks[[#This Row],[_AlapShift]],WorkWeek,Holidays)))</f>
        <v>46274</v>
      </c>
      <c r="FI7" s="91" t="n">
        <f aca="false">IF(NOT(Tasks[[#This Row],[_IsLeaf]]=1),"",IF(Tasks[[#This Row],[_AlapShift]]=0,Tasks[[#This Row],[_LeafFcstStart]],WORKDAY.INTL(Tasks[[#This Row],[_LeafFcstStart]],Tasks[[#This Row],[_AlapShift]],WorkWeek,Holidays)))</f>
        <v>46272</v>
      </c>
      <c r="FJ7" s="91" t="n">
        <f aca="false">IF(NOT(Tasks[[#This Row],[_IsLeaf]]=1),"",IF(Tasks[[#This Row],[_AlapShift]]=0,Tasks[[#This Row],[_LeafFcstFinish]],WORKDAY.INTL(Tasks[[#This Row],[_LeafFcstFinish]],Tasks[[#This Row],[_AlapShift]],WorkWeek,Holidays)))</f>
        <v>46275</v>
      </c>
      <c r="FK7" s="91" t="n">
        <f aca="false">IF(Tasks[[#This Row],[Task Name]]="","",IF(Tasks[[#This Row],[_IsSummary]],MIN(INDEX(Tasks[_ShownCalcStart],Tasks[[#This Row],[_Row]]+1):INDEX(Tasks[_ShownCalcStart],Tasks[[#This Row],[_Row]]+Tasks[[#This Row],[_Descendants]])),Tasks[[#This Row],[_ShownCalcStart]]))</f>
        <v>46272</v>
      </c>
      <c r="FL7" s="91" t="n">
        <f aca="false">IF(Tasks[[#This Row],[Task Name]]="","",IF(Tasks[[#This Row],[_IsSummary]],MAX(INDEX(Tasks[_ShownCalcFinish],Tasks[[#This Row],[_Row]]+1):INDEX(Tasks[_ShownCalcFinish],Tasks[[#This Row],[_Row]]+Tasks[[#This Row],[_Descendants]])),Tasks[[#This Row],[_ShownCalcFinish]]))</f>
        <v>46274</v>
      </c>
      <c r="FM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 s="43" t="n">
        <f aca="false">IF(AND(Tasks[[#This Row],[_IsLeaf]]=1,Tasks[[#This Row],[_LeafTotalWork]]&gt;0),NETWORKDAYS.INTL(ProjectStart,Tasks[[#This Row],[_ShownFcstStart]],WorkWeek,Holidays),0)</f>
        <v>1</v>
      </c>
      <c r="FZ7" s="43" t="n">
        <f aca="false">IF(AND(Tasks[[#This Row],[_IsLeaf]]=1,Tasks[[#This Row],[_LeafTotalWork]]&gt;0),MAX(Tasks[[#This Row],[_StartWorkday]],NETWORKDAYS.INTL(ProjectStart,Tasks[[#This Row],[_ShownFcstFinish]],WorkWeek,Holidays)),0)</f>
        <v>4</v>
      </c>
      <c r="GA7" s="43" t="n">
        <f aca="false">IF(AND(Tasks[[#This Row],[_IsLeaf]]=1,Tasks[[#This Row],[_LeafTotalWork]]&gt;0),Tasks[[#This Row],[_LeafWork]]/(Tasks[[#This Row],[_FinishWorkday]]-Tasks[[#This Row],[_StartWorkday]]+1),0)</f>
        <v>6</v>
      </c>
      <c r="GB7" s="43" t="n">
        <f aca="false">Tasks[[#This Row],[_WorkPerWorkday]]*(Tasks[[#This Row],[_StartWorkday]]-1)</f>
        <v>0</v>
      </c>
      <c r="GC7" s="43" t="n">
        <f aca="false">IF(Tasks[[#This Row],[_IsLeaf]]=1,MAX(N(Tasks[[#This Row],[_Days]]),0.1),0)</f>
        <v>3</v>
      </c>
      <c r="GD7" s="43" t="n">
        <f aca="false">Tasks[[#This Row],[_WeightDur]]*Tasks[[#This Row],[_LeafProgress]]</f>
        <v>3</v>
      </c>
      <c r="GE7" s="43" t="n">
        <f aca="false">Tasks[[#This Row],[_WeightDur]]*Tasks[[#This Row],[_PlannedPct]]</f>
        <v>3</v>
      </c>
      <c r="GF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 s="43" t="str">
        <f aca="false">IF(AND(Tasks[[#This Row],[_IsLeaf]]=1,N(Tasks[[#This Row],[_Days]])=0,Tasks[[#This Row],[_LeafProgress]]&lt;1),Tasks[[#This Row],[_ShownFcstFinish]]+Tasks[[#This Row],[_Row]]/100000,"")</f>
        <v/>
      </c>
      <c r="GH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7" s="43" t="str">
        <f aca="false">IF(Tasks[[#This Row],[Task Name]]="","",LEFT(Tasks[[#This Row],[WBS]],FIND(".",Tasks[[#This Row],[WBS]]&amp;".")-1))</f>
        <v>1</v>
      </c>
      <c r="GJ7" s="43" t="str">
        <f aca="false">IF(AND(Tasks[[#This Row],[Task Name]]&lt;&gt;"",Tasks[[#This Row],[_Level]]=1),Tasks[[#This Row],[_Row]],"")</f>
        <v/>
      </c>
      <c r="GK7" s="43" t="str">
        <f aca="false">IF(AND(Tasks[[#This Row],[_IsLeaf]]=1,N(Tasks[[#This Row],[_Days]])=0),Tasks[[#This Row],[Planned Finish]]+Tasks[[#This Row],[_Row]]/100000,"")</f>
        <v/>
      </c>
      <c r="GL7" s="43" t="str">
        <f aca="false">IF(AND(Tasks[[#This Row],[_IsLeaf]]=1,Tasks[[#This Row],[_LeafProgress]]&lt;1,OR(N(Tasks[[#This Row],[Finish Var]])&gt;0,Tasks[[#This Row],[Status]]="Late Start")),MAX(0,Tasks[[#This Row],[Finish Var]])+1-Tasks[[#This Row],[_Row]]/1000000,"")</f>
        <v/>
      </c>
      <c r="GM7" s="43" t="str">
        <f aca="false">IF(AND(Tasks[[#This Row],[_IsLeaf]]=1,N(Tasks[[#This Row],[Actual Start]])=0,Tasks[[#This Row],[_ShownFcstStart]]&gt;=StatusDate,Tasks[[#This Row],[_ShownFcstStart]]&lt;=LookaheadEnd),Tasks[[#This Row],[_ShownFcstStart]]+Tasks[[#This Row],[_Row]]/100000,"")</f>
        <v/>
      </c>
      <c r="GN7" s="43" t="str">
        <f aca="false">IF(AND(Tasks[[#This Row],[_IsLeaf]]=1,Tasks[[#This Row],[_LeafProgress]]&lt;1,Tasks[[#This Row],[_ShownFcstFinish]]&gt;=StatusDate,Tasks[[#This Row],[_ShownFcstFinish]]&lt;=LookaheadEnd),Tasks[[#This Row],[_ShownFcstFinish]]+Tasks[[#This Row],[_Row]]/100000,"")</f>
        <v/>
      </c>
      <c r="GO7" s="43" t="str">
        <f aca="false">IF(Tasks[[#This Row],[_LeafCritical]],Tasks[[#This Row],[_ShownFcstStart]]+Tasks[[#This Row],[_Row]]/100000,"")</f>
        <v/>
      </c>
      <c r="GP7" s="43" t="n">
        <f aca="false">Tasks[[#This Row],[_LeafWork]]*Tasks[[#This Row],[_LeafProgress]]</f>
        <v>24</v>
      </c>
      <c r="GQ7" s="91" t="n">
        <f aca="false">IF(AND(Tasks[[#This Row],[_IsLeaf]]=1,Tasks[[#This Row],[_LeafProgress]]&gt;=1),IF(N(Tasks[[#This Row],[Actual Finish]])&gt;0,Tasks[[#This Row],[Actual Finish]],Tasks[[#This Row],[_ShownFcstFinish]]),"")</f>
        <v>46275</v>
      </c>
      <c r="GR7" s="43" t="n">
        <f aca="false">IF(Tasks[[#This Row],[_IsLeaf]]=1,N(Tasks[[#This Row],[Story Points]]),0)</f>
        <v>0</v>
      </c>
      <c r="GS7" s="43" t="str">
        <f aca="false">""</f>
        <v/>
      </c>
      <c r="GT7" s="90" t="b">
        <f aca="false">IF(Tasks[[#This Row],[Task Name]]="",FALSE(),AND(Tasks[[#This Row],[_IsLeaf]]=1,N(Tasks[[#This Row],[_Days]])=0))</f>
        <v>0</v>
      </c>
      <c r="GU7" s="91" t="n">
        <f aca="false">IF(Tasks[[#This Row],[Task Name]]="",0,IF(AND(Tasks[[#This Row],[_IsLeaf]]=1,NOT(Tasks[[#This Row],[_IsMilestone]]),N(Tasks[[#This Row],[Progress]])&gt;0),Tasks[[#This Row],[Start]],0))</f>
        <v>46272</v>
      </c>
      <c r="GV7" s="91" t="n">
        <f aca="false">IF(Tasks[[#This Row],[_DoneFrom]]=0,0,IF(Tasks[[#This Row],[Progress]]&gt;=1,Tasks[[#This Row],[Finish]],MAX(Tasks[[#This Row],[_DoneFrom]],Tasks[[#This Row],[Start]]+ROUND((Tasks[[#This Row],[Finish]]-Tasks[[#This Row],[Start]]+1)*Tasks[[#This Row],[Progress]],0)-1)))</f>
        <v>46275</v>
      </c>
      <c r="GW7" s="91" t="n">
        <f aca="false">IF(Tasks[[#This Row],[Task Name]]="",0,IF(OR(NOT(Tasks[[#This Row],[_IsLeaf]]=1),Tasks[[#This Row],[_IsMilestone]],N(Tasks[[#This Row],[Progress]])&gt;=1),0,IF(Tasks[[#This Row],[_DoneTo]]&gt;0,Tasks[[#This Row],[_DoneTo]]+1,Tasks[[#This Row],[Start]])))</f>
        <v>0</v>
      </c>
      <c r="GX7" s="91" t="n">
        <f aca="false">IF(Tasks[[#This Row],[_RemFrom]]=0,0,Tasks[[#This Row],[Finish]])</f>
        <v>0</v>
      </c>
      <c r="GY7" s="90" t="b">
        <f aca="false">IF(Tasks[[#This Row],[Task Name]]="",FALSE(),OR(NOT(BaselineSet),N(Tasks[[#This Row],[Baseline Start]])&gt;0))</f>
        <v>1</v>
      </c>
      <c r="GZ7"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3</v>
      </c>
      <c r="HA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HC7" s="92" t="n">
        <f aca="false">IF(Tasks[[#This Row],[_IsLeaf]]=1,Tasks[[#This Row],[_Row]],"")</f>
        <v>2</v>
      </c>
      <c r="HD7" s="92" t="str">
        <f aca="false">IFERROR(INDEX(Tasks[UID],SMALL(Tasks[_PickKey],Tasks[[#This Row],[_Row]]))&amp;" "&amp;INDEX(Tasks[Task Name],SMALL(Tasks[_PickKey],Tasks[[#This Row],[_Row]])),"")</f>
        <v>3 Stakeholder kickoff workshop</v>
      </c>
      <c r="HE7" s="43" t="n">
        <f aca="false">IF(Tasks[[#This Row],[Task Name]]="","",IF(Tasks[[#This Row],[_IsSummary]],NETWORKDAYS.INTL(Tasks[[#This Row],[Start]],Tasks[[#This Row],[Finish]],WorkWeek,Holidays),N(Tasks[[#This Row],[_Days]])))</f>
        <v>3</v>
      </c>
      <c r="HF7" s="43" t="n">
        <f aca="false">IF(Tasks[[#This Row],[Expected]]="",0,((Tasks[[#This Row],[Pessimistic]]-Tasks[[#This Row],[Optimistic]])/6)^2)</f>
        <v>0</v>
      </c>
      <c r="HG7" s="43" t="n">
        <f aca="false">IF(Tasks[[#This Row],[Expected]]="",0,Tasks[[#This Row],[Expected]]-N(Tasks[[#This Row],[_Days]]))</f>
        <v>0</v>
      </c>
    </row>
    <row r="8" customFormat="false" ht="15" hidden="false" customHeight="false" outlineLevel="1" collapsed="false">
      <c r="A8" s="21" t="n">
        <f aca="false">IF(Tasks[[#This Row],[Task Name]]="","",COUNTA(Tasks[[#Headers],[Task Name]]:Tasks[[#This Row],[Task Name]])-1)</f>
        <v>3</v>
      </c>
      <c r="B8" s="22" t="n">
        <v>3</v>
      </c>
      <c r="C8" s="22" t="n">
        <v>2</v>
      </c>
      <c r="D8" s="93" t="s">
        <v>645</v>
      </c>
      <c r="E8" s="22" t="n">
        <v>2</v>
      </c>
      <c r="F8" s="23" t="n">
        <v>2</v>
      </c>
      <c r="G8" s="22"/>
      <c r="H8" s="22"/>
      <c r="I8" s="23"/>
      <c r="J8" s="22"/>
      <c r="K8" s="22"/>
      <c r="L8" s="23"/>
      <c r="M8" s="22"/>
      <c r="N8" s="22"/>
      <c r="O8" s="23"/>
      <c r="P8" s="22"/>
      <c r="Q8" s="22"/>
      <c r="R8" s="23"/>
      <c r="S8" s="23" t="s">
        <v>643</v>
      </c>
      <c r="T8" s="84"/>
      <c r="U8" s="23"/>
      <c r="V8" s="84"/>
      <c r="W8" s="23"/>
      <c r="X8" s="84"/>
      <c r="Y8" s="23"/>
      <c r="Z8" s="84"/>
      <c r="AA8" s="23"/>
      <c r="AB8" s="23" t="s">
        <v>150</v>
      </c>
      <c r="AC8" s="7" t="n">
        <v>46276</v>
      </c>
      <c r="AD8" s="7" t="n">
        <v>46279</v>
      </c>
      <c r="AE8" s="63" t="n">
        <f aca="false">IF(Tasks[[#This Row],[Task Name]]="","",IF(Tasks[[#This Row],[_IsSummary]],MIN(INDEX(Tasks[_ShownFcstStart],Tasks[[#This Row],[_Row]]+1):INDEX(Tasks[_ShownFcstStart],Tasks[[#This Row],[_Row]]+Tasks[[#This Row],[_Descendants]])),Tasks[[#This Row],[_ShownFcstStart]]))</f>
        <v>46276</v>
      </c>
      <c r="AF8" s="63" t="n">
        <f aca="false">IF(Tasks[[#This Row],[Task Name]]="","",IF(Tasks[[#This Row],[_IsSummary]],MAX(INDEX(Tasks[_ShownFcstFinish],Tasks[[#This Row],[_Row]]+1):INDEX(Tasks[_ShownFcstFinish],Tasks[[#This Row],[_Row]]+Tasks[[#This Row],[_Descendants]])),Tasks[[#This Row],[_ShownFcstFinish]]))</f>
        <v>46279</v>
      </c>
      <c r="AG8" s="21" t="str">
        <f aca="false">""</f>
        <v/>
      </c>
      <c r="AH8" s="23"/>
      <c r="AI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 s="7"/>
      <c r="AK8" s="22" t="s">
        <v>248</v>
      </c>
      <c r="AL8" s="23"/>
      <c r="AM8" s="7"/>
      <c r="AN8" s="47" t="n">
        <f aca="false">IF(Tasks[[#This Row],[Task Name]]="","",IF(Tasks[[#This Row],[Finish]]&gt;=Tasks[[#This Row],[Planned Finish]],NETWORKDAYS.INTL(Tasks[[#This Row],[Planned Finish]],Tasks[[#This Row],[Finish]],WorkWeek,Holidays)-1,1-NETWORKDAYS.INTL(Tasks[[#This Row],[Finish]],Tasks[[#This Row],[Planned Finish]],WorkWeek,Holidays)))</f>
        <v>1</v>
      </c>
      <c r="AO8" s="21" t="str">
        <f aca="false">IF(Tasks[[#This Row],[Task Name]]="","",IF(Tasks[[#This Row],[Progress]]&gt;=1,"Complete",IF(OR(N(Tasks[[#This Row],[Actual Start]])&gt;0,Tasks[[#This Row],[Progress]]&gt;0),IF(Tasks[[#This Row],[Finish Var]]&gt;0,"Behind","In Progress"),IF(Tasks[[#This Row],[Planned Start]]&lt;StatusDate,"Late Start","Not Started"))))</f>
        <v>Complete</v>
      </c>
      <c r="AP8" s="21" t="str">
        <f aca="false">IF(Tasks[[#This Row],[Task Name]]="","",IF(IF(Tasks[[#This Row],[_IsSummary]],COUNTIF(INDEX(Tasks[_LeafCritical],Tasks[[#This Row],[_Row]]+1):INDEX(Tasks[_LeafCritical],Tasks[[#This Row],[_Row]]+Tasks[[#This Row],[_Descendants]]),TRUE())&gt;0,Tasks[[#This Row],[_LeafCritical]]),"Yes",""))</f>
        <v/>
      </c>
      <c r="AQ8" s="63" t="n">
        <f aca="false">IF(Tasks[[#This Row],[Task Name]]="","",IF(N(Tasks[[#This Row],[Baseline Start]])&gt;0,Tasks[[#This Row],[Baseline Start]],Tasks[[#This Row],[_CalcStart]]))</f>
        <v>46275</v>
      </c>
      <c r="AR8" s="63" t="n">
        <f aca="false">IF(Tasks[[#This Row],[Task Name]]="","",IF(N(Tasks[[#This Row],[Baseline Finish]])&gt;0,Tasks[[#This Row],[Baseline Finish]],Tasks[[#This Row],[_CalcFinish]]))</f>
        <v>46276</v>
      </c>
      <c r="AS8" s="47" t="n">
        <f aca="false">IF(Tasks[[#This Row],[Task Name]]="","",IF(Tasks[[#This Row],[Start]]&gt;=Tasks[[#This Row],[Planned Start]],NETWORKDAYS.INTL(Tasks[[#This Row],[Planned Start]],Tasks[[#This Row],[Start]],WorkWeek,Holidays)-1,1-NETWORKDAYS.INTL(Tasks[[#This Row],[Start]],Tasks[[#This Row],[Planned Start]],WorkWeek,Holidays)))</f>
        <v>1</v>
      </c>
      <c r="AT8" s="63" t="n">
        <f aca="false">IF(Tasks[[#This Row],[Task Name]]="","",IF(Tasks[[#This Row],[_IsSummary]],MIN(INDEX(Tasks[_LeafLateStart],Tasks[[#This Row],[_Row]]+1):INDEX(Tasks[_LeafLateStart],Tasks[[#This Row],[_Row]]+Tasks[[#This Row],[_Descendants]])),Tasks[[#This Row],[_LeafLateStart]]))</f>
        <v>46281</v>
      </c>
      <c r="AU8" s="63" t="n">
        <f aca="false">IF(Tasks[[#This Row],[Task Name]]="","",IF(Tasks[[#This Row],[_IsSummary]],MAX(INDEX(Tasks[_LeafLateFinish],Tasks[[#This Row],[_Row]]+1):INDEX(Tasks[_LeafLateFinish],Tasks[[#This Row],[_Row]]+Tasks[[#This Row],[_Descendants]])),Tasks[[#This Row],[_LeafLateFinish]]))</f>
        <v>46282</v>
      </c>
      <c r="AV8" s="47" t="n">
        <f aca="false">IF(Tasks[[#This Row],[Task Name]]="","",IF(Tasks[[#This Row],[_IsSummary]],MIN(INDEX(Tasks[_LeafTotalSlack],Tasks[[#This Row],[_Row]]+1):INDEX(Tasks[_LeafTotalSlack],Tasks[[#This Row],[_Row]]+Tasks[[#This Row],[_Descendants]])),Tasks[[#This Row],[_LeafTotalSlack]]))</f>
        <v>3</v>
      </c>
      <c r="AW8"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5"/>
      <c r="BA8"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v>
      </c>
      <c r="BC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BD8" s="21" t="str">
        <f aca="false">IF(Tasks[[#This Row],[Task Name]]="","",IF(Tasks[[#This Row],[_Level]]&lt;=OutlineShowLevel,"Yes","No"))</f>
        <v>Yes</v>
      </c>
      <c r="BE8" s="86" t="n">
        <f aca="false">IF(Tasks[[#This Row],[Task Name]]="","",IF(Tasks[[#This Row],[_IsSummary]],SUM(INDEX(Tasks[_LeafTotalWork],Tasks[[#This Row],[_Row]]+1):INDEX(Tasks[_LeafTotalWork],Tasks[[#This Row],[_Row]]+Tasks[[#This Row],[_Descendants]])),Tasks[[#This Row],[_LeafTotalWork]]))</f>
        <v>16</v>
      </c>
      <c r="BF8" s="23"/>
      <c r="BG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8" s="21" t="str">
        <f aca="false">""</f>
        <v/>
      </c>
      <c r="BI8" s="87"/>
      <c r="BJ8" s="22"/>
      <c r="BK8" s="47" t="n">
        <f aca="false">IF(OR(Tasks[[#This Row],[Task Name]]="",Tasks[[#This Row],[Baseline Duration]]=""),"",Tasks[[#This Row],[_SpanDays]]-N(Tasks[[#This Row],[Baseline Duration]]))</f>
        <v>0</v>
      </c>
      <c r="BL8" s="86" t="n">
        <f aca="false">IF(OR(Tasks[[#This Row],[Task Name]]="",Tasks[[#This Row],[Baseline Work]]=""),"",Tasks[[#This Row],[Work]]-N(Tasks[[#This Row],[Baseline Work]]))</f>
        <v>0</v>
      </c>
      <c r="BM8" s="63" t="n">
        <f aca="false">IF(Tasks[[#This Row],[Task Name]]="","",IF(OR(TakeBaseline="Yes",N(Tasks[[#This Row],[Baseline Start]])=0),Tasks[[#This Row],[Start]],Tasks[[#This Row],[Baseline Start]]))</f>
        <v>46275</v>
      </c>
      <c r="BN8" s="63" t="n">
        <f aca="false">IF(Tasks[[#This Row],[Task Name]]="","",IF(OR(TakeBaseline="Yes",N(Tasks[[#This Row],[Baseline Finish]])=0),Tasks[[#This Row],[Finish]],Tasks[[#This Row],[Baseline Finish]]))</f>
        <v>46276</v>
      </c>
      <c r="BO8" s="21" t="n">
        <f aca="false">IF(Tasks[[#This Row],[Task Name]]="","",IF(OR(TakeBaseline="Yes",N(Tasks[[#This Row],[Baseline Duration]])=0),Tasks[[#This Row],[_SpanDays]],Tasks[[#This Row],[Baseline Duration]]))</f>
        <v>2</v>
      </c>
      <c r="BP8" s="86" t="n">
        <f aca="false">IF(Tasks[[#This Row],[Task Name]]="","",IF(OR(TakeBaseline="Yes",N(Tasks[[#This Row],[Baseline Work]])=0),Tasks[[#This Row],[Work]],Tasks[[#This Row],[Baseline Work]]))</f>
        <v>16</v>
      </c>
      <c r="BQ8" s="7" t="n">
        <v>46275</v>
      </c>
      <c r="BR8" s="7" t="n">
        <v>46276</v>
      </c>
      <c r="BS8" s="22" t="n">
        <v>2</v>
      </c>
      <c r="BT8" s="88" t="n">
        <v>16</v>
      </c>
      <c r="BU8" s="23"/>
      <c r="BV8" s="23"/>
      <c r="BW8" s="23"/>
      <c r="BX8" s="89" t="str">
        <f aca="false">IF(AND(Tasks[[#This Row],[_IsLeaf]]=1,ISNUMBER(Tasks[[#This Row],[Optimistic]]),ISNUMBER(Tasks[[#This Row],[Pessimistic]])),ROUND((Tasks[[#This Row],[Optimistic]]+4*N(Tasks[[#This Row],[_Days]])+Tasks[[#This Row],[Pessimistic]])/6,1),"")</f>
        <v/>
      </c>
      <c r="BY8" s="87"/>
      <c r="BZ8" s="87"/>
      <c r="CA8" s="22"/>
      <c r="CB8" s="43" t="n">
        <f aca="false">IF(Tasks[[#This Row],[Task Name]]="","",MAX(1,N(Tasks[[#This Row],[Level]])))</f>
        <v>2</v>
      </c>
      <c r="CC8" s="43" t="n">
        <f aca="false">ROW()-ROW(Tasks[[#Headers],[ID]])</f>
        <v>3</v>
      </c>
      <c r="CD8" s="43" t="n">
        <f aca="false">IF(OR(Tasks[[#This Row],[Task Name]]="",Tasks[[#This Row],[_Level]]&lt;=1),0,IFERROR(LOOKUP(2,1/(Tasks[[#Headers],[_Level]]:Tasks[[#This Row],[_Level]]=Tasks[[#This Row],[_Level]]-1),ROW(Tasks[[#Headers],[_Level]]:Tasks[[#This Row],[_Level]])),0))</f>
        <v>6</v>
      </c>
      <c r="CE8" s="43" t="n">
        <f aca="false">IFERROR(N(INDEX(Tasks[_Level],Tasks[[#This Row],[_Row]]+1)),0)</f>
        <v>2</v>
      </c>
      <c r="CF8" s="90" t="b">
        <f aca="false">AND(Tasks[[#This Row],[Task Name]]&lt;&gt;"",Tasks[[#This Row],[_NextLevel]]&gt;Tasks[[#This Row],[_Level]])</f>
        <v>0</v>
      </c>
      <c r="CG8" s="43" t="n">
        <f aca="false">IF(Tasks[[#This Row],[_IsSummary]],COUNTIF(Tasks[WBS],Tasks[[#This Row],[WBS]]&amp;".*"),0)</f>
        <v>0</v>
      </c>
      <c r="CH8" s="43" t="n">
        <f aca="false">IF(AND(Tasks[[#This Row],[Task Name]]&lt;&gt;"",NOT(Tasks[[#This Row],[_IsSummary]])),1,0)</f>
        <v>1</v>
      </c>
      <c r="CI8" s="43" t="n">
        <f aca="false">IF(N(Tasks[[#This Row],[_Pred1UID]])=0,0,IFERROR(MATCH(Tasks[[#This Row],[_Pred1UID]],Tasks[UID],0),-1))</f>
        <v>2</v>
      </c>
      <c r="CJ8" s="43" t="n">
        <f aca="false">IF(N(Tasks[[#This Row],[_Pred2UID]])=0,0,IFERROR(MATCH(Tasks[[#This Row],[_Pred2UID]],Tasks[UID],0),-1))</f>
        <v>0</v>
      </c>
      <c r="CK8" s="43" t="n">
        <f aca="false">IF(N(Tasks[[#This Row],[_Pred3UID]])=0,0,IFERROR(MATCH(Tasks[[#This Row],[_Pred3UID]],Tasks[UID],0),-1))</f>
        <v>0</v>
      </c>
      <c r="CL8" s="43" t="n">
        <f aca="false">IF(N(Tasks[[#This Row],[_Pred4UID]])=0,0,IFERROR(MATCH(Tasks[[#This Row],[_Pred4UID]],Tasks[UID],0),-1))</f>
        <v>0</v>
      </c>
      <c r="CM8"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 s="91" t="n">
        <f aca="false">IF(OR(Tasks[[#This Row],[_ConstraintCode]]=2,Tasks[[#This Row],[_ConstraintCode]]=3,Tasks[[#This Row],[_ConstraintCode]]=4,Tasks[[#This Row],[_ConstraintCode]]=6),Tasks[[#This Row],[_ConstraintStart]],0)</f>
        <v>0</v>
      </c>
      <c r="CP8" s="91" t="n">
        <f aca="false">IF(OR(Tasks[[#This Row],[_ConstraintCode]]=2,Tasks[[#This Row],[_ConstraintCode]]=3,Tasks[[#This Row],[_ConstraintCode]]=5,Tasks[[#This Row],[_ConstraintCode]]=7),Tasks[[#This Row],[_ConstraintStart]],2958465)</f>
        <v>2958465</v>
      </c>
      <c r="CQ8"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CR8" s="91" t="n">
        <f aca="false">IF(NOT(Tasks[[#This Row],[_IsLeaf]]=1),"",IF(N(Tasks[[#This Row],[_Days]])&lt;=0,Tasks[[#This Row],[_LeafCalcStart]],WORKDAY.INTL(Tasks[[#This Row],[_LeafCalcStart]],Tasks[[#This Row],[_Days]]-1,WorkWeek,Holidays)))</f>
        <v>46276</v>
      </c>
      <c r="CS8"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CT8"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U8" s="43" t="str">
        <f aca="false">IF(Tasks[[#This Row],[_Predecessors]]="","",TRIM(MID(SUBSTITUTE(SUBSTITUTE(SUBSTITUTE(UPPER(Tasks[[#This Row],[_Predecessors]]),";",",")," ",""),",",REPT(" ",99)),1,99)))</f>
        <v>2</v>
      </c>
      <c r="CV8" s="43" t="n">
        <f aca="false">IF(Tasks[[#This Row],[_Pred1Text]]="","",IFERROR(VALUE(LEFT(Tasks[[#This Row],[_Pred1Text]],MIN(FIND("F",Tasks[[#This Row],[_Pred1Text]]&amp;"F"),FIND("S",Tasks[[#This Row],[_Pred1Text]]&amp;"S"),FIND("+",Tasks[[#This Row],[_Pred1Text]]&amp;"+"),FIND("-",Tasks[[#This Row],[_Pred1Text]]&amp;"-"))-1)),""))</f>
        <v>2</v>
      </c>
      <c r="CW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8"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8" s="43" t="str">
        <f aca="false">IF(Tasks[[#This Row],[_Pred1Text]]="","",TRIM(MID(SUBSTITUTE(SUBSTITUTE(SUBSTITUTE(UPPER(Tasks[[#This Row],[_Predecessors]]),";",",")," ",""),",",REPT(" ",99)),100,99)))</f>
        <v/>
      </c>
      <c r="CZ8" s="43" t="str">
        <f aca="false">IF(Tasks[[#This Row],[_Pred2Text]]="","",IFERROR(VALUE(LEFT(Tasks[[#This Row],[_Pred2Text]],MIN(FIND("F",Tasks[[#This Row],[_Pred2Text]]&amp;"F"),FIND("S",Tasks[[#This Row],[_Pred2Text]]&amp;"S"),FIND("+",Tasks[[#This Row],[_Pred2Text]]&amp;"+"),FIND("-",Tasks[[#This Row],[_Pred2Text]]&amp;"-"))-1)),""))</f>
        <v/>
      </c>
      <c r="DA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 s="43" t="str">
        <f aca="false">IF(Tasks[[#This Row],[_Pred2Text]]="","",TRIM(MID(SUBSTITUTE(SUBSTITUTE(SUBSTITUTE(UPPER(Tasks[[#This Row],[_Predecessors]]),";",",")," ",""),",",REPT(" ",99)),199,99)))</f>
        <v/>
      </c>
      <c r="DD8" s="43" t="str">
        <f aca="false">IF(Tasks[[#This Row],[_Pred3Text]]="","",IFERROR(VALUE(LEFT(Tasks[[#This Row],[_Pred3Text]],MIN(FIND("F",Tasks[[#This Row],[_Pred3Text]]&amp;"F"),FIND("S",Tasks[[#This Row],[_Pred3Text]]&amp;"S"),FIND("+",Tasks[[#This Row],[_Pred3Text]]&amp;"+"),FIND("-",Tasks[[#This Row],[_Pred3Text]]&amp;"-"))-1)),""))</f>
        <v/>
      </c>
      <c r="DE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 s="43" t="str">
        <f aca="false">IF(Tasks[[#This Row],[_Pred3Text]]="","",TRIM(MID(SUBSTITUTE(SUBSTITUTE(SUBSTITUTE(UPPER(Tasks[[#This Row],[_Predecessors]]),";",",")," ",""),",",REPT(" ",99)),298,99)))</f>
        <v/>
      </c>
      <c r="DH8" s="43" t="str">
        <f aca="false">IF(Tasks[[#This Row],[_Pred4Text]]="","",IFERROR(VALUE(LEFT(Tasks[[#This Row],[_Pred4Text]],MIN(FIND("F",Tasks[[#This Row],[_Pred4Text]]&amp;"F"),FIND("S",Tasks[[#This Row],[_Pred4Text]]&amp;"S"),FIND("+",Tasks[[#This Row],[_Pred4Text]]&amp;"+"),FIND("-",Tasks[[#This Row],[_Pred4Text]]&amp;"-"))-1)),""))</f>
        <v/>
      </c>
      <c r="DI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 s="43" t="str">
        <f aca="false">IF(OR(Tasks[[#This Row],[Task Name]]="",Tasks[[#This Row],[_Resources]]=""),"",TRIM(MID(SUBSTITUTE(Tasks[[#This Row],[_Resources]],",",REPT(" ",99)),1,99)))</f>
        <v>Morgan Patel</v>
      </c>
      <c r="DL8" s="43" t="str">
        <f aca="false">IF(Tasks[[#This Row],[_Res1Text]]="","",TRIM(MID(SUBSTITUTE(Tasks[[#This Row],[_Resources]],",",REPT(" ",99)),100,99)))</f>
        <v/>
      </c>
      <c r="DM8" s="43" t="str">
        <f aca="false">IF(Tasks[[#This Row],[_Res2Text]]="","",TRIM(MID(SUBSTITUTE(Tasks[[#This Row],[_Resources]],",",REPT(" ",99)),199,99)))</f>
        <v/>
      </c>
      <c r="DN8" s="43" t="str">
        <f aca="false">IF(Tasks[[#This Row],[_Res3Text]]="","",TRIM(MID(SUBSTITUTE(Tasks[[#This Row],[_Resources]],",",REPT(" ",99)),298,99)))</f>
        <v/>
      </c>
      <c r="DO8" s="43" t="n">
        <f aca="false">IF(Tasks[[#This Row],[_Res1Text]]="",0,IFERROR(MATCH(TRIM(LEFT(Tasks[[#This Row],[_Res1Text]],FIND("[",Tasks[[#This Row],[_Res1Text]]&amp;"[")-1)),res_Name,0),IFERROR(MATCH(TRIM(LEFT(Tasks[[#This Row],[_Res1Text]],FIND("[",Tasks[[#This Row],[_Res1Text]]&amp;"[")-1)),res_Initials,0),0)))</f>
        <v>2</v>
      </c>
      <c r="DP8" s="43" t="n">
        <f aca="false">IF(Tasks[[#This Row],[_Res2Text]]="",0,IFERROR(MATCH(TRIM(LEFT(Tasks[[#This Row],[_Res2Text]],FIND("[",Tasks[[#This Row],[_Res2Text]]&amp;"[")-1)),res_Name,0),IFERROR(MATCH(TRIM(LEFT(Tasks[[#This Row],[_Res2Text]],FIND("[",Tasks[[#This Row],[_Res2Text]]&amp;"[")-1)),res_Initials,0),0)))</f>
        <v>0</v>
      </c>
      <c r="DQ8" s="43" t="n">
        <f aca="false">IF(Tasks[[#This Row],[_Res3Text]]="",0,IFERROR(MATCH(TRIM(LEFT(Tasks[[#This Row],[_Res3Text]],FIND("[",Tasks[[#This Row],[_Res3Text]]&amp;"[")-1)),res_Name,0),IFERROR(MATCH(TRIM(LEFT(Tasks[[#This Row],[_Res3Text]],FIND("[",Tasks[[#This Row],[_Res3Text]]&amp;"[")-1)),res_Initials,0),0)))</f>
        <v>0</v>
      </c>
      <c r="DR8" s="43" t="n">
        <f aca="false">IF(Tasks[[#This Row],[_Res4Text]]="",0,IFERROR(MATCH(TRIM(LEFT(Tasks[[#This Row],[_Res4Text]],FIND("[",Tasks[[#This Row],[_Res4Text]]&amp;"[")-1)),res_Name,0),IFERROR(MATCH(TRIM(LEFT(Tasks[[#This Row],[_Res4Text]],FIND("[",Tasks[[#This Row],[_Res4Text]]&amp;"[")-1)),res_Initials,0),0)))</f>
        <v>0</v>
      </c>
      <c r="DS8" s="43" t="str">
        <f aca="false">IF(Tasks[[#This Row],[_Res1Text]]="","",IF(Tasks[[#This Row],[_Res1Row]]&gt;0,INDEX(res_Name,Tasks[[#This Row],[_Res1Row]]),TRIM(LEFT(Tasks[[#This Row],[_Res1Text]],FIND("[",Tasks[[#This Row],[_Res1Text]]&amp;"[")-1))))</f>
        <v>Morgan Patel</v>
      </c>
      <c r="DT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 s="43" t="n">
        <f aca="false">IF(NOT(Tasks[[#This Row],[_IsLeaf]]=1),0,(Tasks[[#This Row],[_Resource1]]&lt;&gt;"")+(Tasks[[#This Row],[_Res2]]&lt;&gt;"")+(Tasks[[#This Row],[_Res3]]&lt;&gt;"")+(Tasks[[#This Row],[_Res4]]&lt;&gt;""))</f>
        <v>1</v>
      </c>
      <c r="DV8" s="43" t="str">
        <f aca="false">IF(Tasks[[#This Row],[_Res2Text]]="","",IF(Tasks[[#This Row],[_Res2Row]]&gt;0,INDEX(res_Name,Tasks[[#This Row],[_Res2Row]]),TRIM(LEFT(Tasks[[#This Row],[_Res2Text]],FIND("[",Tasks[[#This Row],[_Res2Text]]&amp;"[")-1))))</f>
        <v/>
      </c>
      <c r="DW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 s="43" t="n">
        <f aca="false">IF(OR(NOT(Tasks[[#This Row],[_IsLeaf]]=1),Tasks[[#This Row],[_Res2Row]]=0),0,N(Tasks[[#This Row],[_Days]])*HoursPerDay*IF(Tasks[[#This Row],[_Res2Units]]="",DefaultUnits,Tasks[[#This Row],[_Res2Units]]))</f>
        <v>0</v>
      </c>
      <c r="DY8" s="43" t="n">
        <f aca="false">IF(AND(AND(Tasks[[#This Row],[_IsLeaf]]=1,Tasks[[#This Row],[_LeafTotalWork]]&gt;0),Tasks[[#This Row],[_Res2Work]]&gt;0),Tasks[[#This Row],[_Res2Work]]/(Tasks[[#This Row],[_FinishWorkday]]-Tasks[[#This Row],[_StartWorkday]]+1),0)</f>
        <v>0</v>
      </c>
      <c r="DZ8" s="43" t="n">
        <f aca="false">Tasks[[#This Row],[_Res2WorkPerWD]]*MAX(0,Tasks[[#This Row],[_StartWorkday]]-1)</f>
        <v>0</v>
      </c>
      <c r="EA8" s="43" t="n">
        <f aca="false">Tasks[[#This Row],[_Res2Work]]*Tasks[[#This Row],[_LeafProgress]]</f>
        <v>0</v>
      </c>
      <c r="EB8" s="43" t="str">
        <f aca="false">IF(Tasks[[#This Row],[_Res3Text]]="","",IF(Tasks[[#This Row],[_Res3Row]]&gt;0,INDEX(res_Name,Tasks[[#This Row],[_Res3Row]]),TRIM(LEFT(Tasks[[#This Row],[_Res3Text]],FIND("[",Tasks[[#This Row],[_Res3Text]]&amp;"[")-1))))</f>
        <v/>
      </c>
      <c r="EC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 s="43" t="n">
        <f aca="false">IF(OR(NOT(Tasks[[#This Row],[_IsLeaf]]=1),Tasks[[#This Row],[_Res3Row]]=0),0,N(Tasks[[#This Row],[_Days]])*HoursPerDay*IF(Tasks[[#This Row],[_Res3Units]]="",DefaultUnits,Tasks[[#This Row],[_Res3Units]]))</f>
        <v>0</v>
      </c>
      <c r="EE8" s="43" t="n">
        <f aca="false">IF(AND(AND(Tasks[[#This Row],[_IsLeaf]]=1,Tasks[[#This Row],[_LeafTotalWork]]&gt;0),Tasks[[#This Row],[_Res3Work]]&gt;0),Tasks[[#This Row],[_Res3Work]]/(Tasks[[#This Row],[_FinishWorkday]]-Tasks[[#This Row],[_StartWorkday]]+1),0)</f>
        <v>0</v>
      </c>
      <c r="EF8" s="43" t="n">
        <f aca="false">Tasks[[#This Row],[_Res3WorkPerWD]]*MAX(0,Tasks[[#This Row],[_StartWorkday]]-1)</f>
        <v>0</v>
      </c>
      <c r="EG8" s="43" t="n">
        <f aca="false">Tasks[[#This Row],[_Res3Work]]*Tasks[[#This Row],[_LeafProgress]]</f>
        <v>0</v>
      </c>
      <c r="EH8" s="43" t="str">
        <f aca="false">IF(Tasks[[#This Row],[_Res4Text]]="","",IF(Tasks[[#This Row],[_Res4Row]]&gt;0,INDEX(res_Name,Tasks[[#This Row],[_Res4Row]]),TRIM(LEFT(Tasks[[#This Row],[_Res4Text]],FIND("[",Tasks[[#This Row],[_Res4Text]]&amp;"[")-1))))</f>
        <v/>
      </c>
      <c r="EI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 s="43" t="n">
        <f aca="false">IF(OR(NOT(Tasks[[#This Row],[_IsLeaf]]=1),Tasks[[#This Row],[_Res4Row]]=0),0,N(Tasks[[#This Row],[_Days]])*HoursPerDay*IF(Tasks[[#This Row],[_Res4Units]]="",DefaultUnits,Tasks[[#This Row],[_Res4Units]]))</f>
        <v>0</v>
      </c>
      <c r="EK8" s="43" t="n">
        <f aca="false">IF(AND(AND(Tasks[[#This Row],[_IsLeaf]]=1,Tasks[[#This Row],[_LeafTotalWork]]&gt;0),Tasks[[#This Row],[_Res4Work]]&gt;0),Tasks[[#This Row],[_Res4Work]]/(Tasks[[#This Row],[_FinishWorkday]]-Tasks[[#This Row],[_StartWorkday]]+1),0)</f>
        <v>0</v>
      </c>
      <c r="EL8" s="43" t="n">
        <f aca="false">Tasks[[#This Row],[_Res4WorkPerWD]]*MAX(0,Tasks[[#This Row],[_StartWorkday]]-1)</f>
        <v>0</v>
      </c>
      <c r="EM8" s="43" t="n">
        <f aca="false">Tasks[[#This Row],[_Res4Work]]*Tasks[[#This Row],[_LeafProgress]]</f>
        <v>0</v>
      </c>
      <c r="EN8" s="94" t="n">
        <f aca="false">IF(ISNUMBER(Tasks[[#This Row],[% Complete]]),Tasks[[#This Row],[% Complete]],IF(Tasks[[#This Row],[Stage]]="",0,IFERROR(INDEX(stg_Pct,MATCH(Tasks[[#This Row],[Stage]],stg_Name,0)),0)))</f>
        <v>1</v>
      </c>
      <c r="EO8" s="43" t="n">
        <f aca="false">IF(NOT(Tasks[[#This Row],[_IsLeaf]]=1),0,IF(N(Tasks[[#This Row],[Actual Finish]])&gt;0,1,MIN(1,Tasks[[#This Row],[_Pct]])))</f>
        <v>1</v>
      </c>
      <c r="EP8" s="43" t="n">
        <f aca="false">IF(OR(NOT(Tasks[[#This Row],[_IsLeaf]]=1),Tasks[[#This Row],[_Res1Row]]=0),0,N(Tasks[[#This Row],[_Days]])*HoursPerDay*IF(Tasks[[#This Row],[_Units1]]="",DefaultUnits,Tasks[[#This Row],[_Units1]]))</f>
        <v>16</v>
      </c>
      <c r="EQ8" s="43" t="n">
        <f aca="false">Tasks[[#This Row],[_LeafWork]]+Tasks[[#This Row],[_Res2Work]]+Tasks[[#This Row],[_Res3Work]]+Tasks[[#This Row],[_Res4Work]]</f>
        <v>16</v>
      </c>
      <c r="ER8"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2912185</v>
      </c>
      <c r="ES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 s="43" t="n">
        <f aca="false">IF(NOT(Tasks[[#This Row],[_IsLeaf]]=1),0,MAX(_xlfn.MAXIFS(Tasks[_Row],Tasks[_Pred1UID],Tasks[[#This Row],[UID]]),_xlfn.MAXIFS(Tasks[_Row],Tasks[_Pred2UID],Tasks[[#This Row],[UID]]),_xlfn.MAXIFS(Tasks[_Row],Tasks[_Pred3UID],Tasks[[#This Row],[UID]]),_xlfn.MAXIFS(Tasks[_Row],Tasks[_Pred4UID],Tasks[[#This Row],[UID]])))</f>
        <v>4</v>
      </c>
      <c r="FA8"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FB8"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FC8" s="91" t="n">
        <f aca="false">IF(NOT(Tasks[[#This Row],[_IsLeaf]]=1),"",IF(N(Tasks[[#This Row],[_Days]])&lt;=0,Tasks[[#This Row],[_LeafLateFinish]],WORKDAY.INTL(Tasks[[#This Row],[_LeafLateFinish]],-(Tasks[[#This Row],[_Days]]-1),WorkWeek,Holidays)))</f>
        <v>46281</v>
      </c>
      <c r="FD8"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E8" s="90" t="b">
        <f aca="false">AND(Tasks[[#This Row],[_IsLeaf]]=1,Tasks[[#This Row],[_LeafProgress]]&lt;1,N(Tasks[[#This Row],[_LeafTotalSlack]])&lt;=CriticalSlackDays)</f>
        <v>0</v>
      </c>
      <c r="FF8" s="43" t="n">
        <f aca="false">IF(AND(Tasks[[#This Row],[_IsLeaf]]=1,Tasks[[#This Row],[_ConstraintCode]]=1,Tasks[[#This Row],[Mode]]&lt;&gt;"Manual",N(Tasks[[#This Row],[Actual Start]])=0),MAX(0,N(Tasks[[#This Row],[Free Slack]])),0)</f>
        <v>0</v>
      </c>
      <c r="FG8" s="91" t="n">
        <f aca="false">IF(NOT(Tasks[[#This Row],[_IsLeaf]]=1),"",IF(Tasks[[#This Row],[_AlapShift]]=0,Tasks[[#This Row],[_LeafCalcStart]],WORKDAY.INTL(Tasks[[#This Row],[_LeafCalcStart]],Tasks[[#This Row],[_AlapShift]],WorkWeek,Holidays)))</f>
        <v>46275</v>
      </c>
      <c r="FH8" s="91" t="n">
        <f aca="false">IF(NOT(Tasks[[#This Row],[_IsLeaf]]=1),"",IF(Tasks[[#This Row],[_AlapShift]]=0,Tasks[[#This Row],[_LeafCalcFinish]],WORKDAY.INTL(Tasks[[#This Row],[_LeafCalcFinish]],Tasks[[#This Row],[_AlapShift]],WorkWeek,Holidays)))</f>
        <v>46276</v>
      </c>
      <c r="FI8" s="91" t="n">
        <f aca="false">IF(NOT(Tasks[[#This Row],[_IsLeaf]]=1),"",IF(Tasks[[#This Row],[_AlapShift]]=0,Tasks[[#This Row],[_LeafFcstStart]],WORKDAY.INTL(Tasks[[#This Row],[_LeafFcstStart]],Tasks[[#This Row],[_AlapShift]],WorkWeek,Holidays)))</f>
        <v>46276</v>
      </c>
      <c r="FJ8" s="91" t="n">
        <f aca="false">IF(NOT(Tasks[[#This Row],[_IsLeaf]]=1),"",IF(Tasks[[#This Row],[_AlapShift]]=0,Tasks[[#This Row],[_LeafFcstFinish]],WORKDAY.INTL(Tasks[[#This Row],[_LeafFcstFinish]],Tasks[[#This Row],[_AlapShift]],WorkWeek,Holidays)))</f>
        <v>46279</v>
      </c>
      <c r="FK8" s="91" t="n">
        <f aca="false">IF(Tasks[[#This Row],[Task Name]]="","",IF(Tasks[[#This Row],[_IsSummary]],MIN(INDEX(Tasks[_ShownCalcStart],Tasks[[#This Row],[_Row]]+1):INDEX(Tasks[_ShownCalcStart],Tasks[[#This Row],[_Row]]+Tasks[[#This Row],[_Descendants]])),Tasks[[#This Row],[_ShownCalcStart]]))</f>
        <v>46275</v>
      </c>
      <c r="FL8" s="91" t="n">
        <f aca="false">IF(Tasks[[#This Row],[Task Name]]="","",IF(Tasks[[#This Row],[_IsSummary]],MAX(INDEX(Tasks[_ShownCalcFinish],Tasks[[#This Row],[_Row]]+1):INDEX(Tasks[_ShownCalcFinish],Tasks[[#This Row],[_Row]]+Tasks[[#This Row],[_Descendants]])),Tasks[[#This Row],[_ShownCalcFinish]]))</f>
        <v>46276</v>
      </c>
      <c r="FM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46275</v>
      </c>
      <c r="FR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46276</v>
      </c>
      <c r="FV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 s="43" t="n">
        <f aca="false">IF(AND(Tasks[[#This Row],[_IsLeaf]]=1,Tasks[[#This Row],[_LeafTotalWork]]&gt;0),NETWORKDAYS.INTL(ProjectStart,Tasks[[#This Row],[_ShownFcstStart]],WorkWeek,Holidays),0)</f>
        <v>5</v>
      </c>
      <c r="FZ8" s="43" t="n">
        <f aca="false">IF(AND(Tasks[[#This Row],[_IsLeaf]]=1,Tasks[[#This Row],[_LeafTotalWork]]&gt;0),MAX(Tasks[[#This Row],[_StartWorkday]],NETWORKDAYS.INTL(ProjectStart,Tasks[[#This Row],[_ShownFcstFinish]],WorkWeek,Holidays)),0)</f>
        <v>6</v>
      </c>
      <c r="GA8" s="43" t="n">
        <f aca="false">IF(AND(Tasks[[#This Row],[_IsLeaf]]=1,Tasks[[#This Row],[_LeafTotalWork]]&gt;0),Tasks[[#This Row],[_LeafWork]]/(Tasks[[#This Row],[_FinishWorkday]]-Tasks[[#This Row],[_StartWorkday]]+1),0)</f>
        <v>8</v>
      </c>
      <c r="GB8" s="43" t="n">
        <f aca="false">Tasks[[#This Row],[_WorkPerWorkday]]*(Tasks[[#This Row],[_StartWorkday]]-1)</f>
        <v>32</v>
      </c>
      <c r="GC8" s="43" t="n">
        <f aca="false">IF(Tasks[[#This Row],[_IsLeaf]]=1,MAX(N(Tasks[[#This Row],[_Days]]),0.1),0)</f>
        <v>2</v>
      </c>
      <c r="GD8" s="43" t="n">
        <f aca="false">Tasks[[#This Row],[_WeightDur]]*Tasks[[#This Row],[_LeafProgress]]</f>
        <v>2</v>
      </c>
      <c r="GE8" s="43" t="n">
        <f aca="false">Tasks[[#This Row],[_WeightDur]]*Tasks[[#This Row],[_PlannedPct]]</f>
        <v>2</v>
      </c>
      <c r="GF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v>
      </c>
      <c r="GG8" s="43" t="str">
        <f aca="false">IF(AND(Tasks[[#This Row],[_IsLeaf]]=1,N(Tasks[[#This Row],[_Days]])=0,Tasks[[#This Row],[_LeafProgress]]&lt;1),Tasks[[#This Row],[_ShownFcstFinish]]+Tasks[[#This Row],[_Row]]/100000,"")</f>
        <v/>
      </c>
      <c r="GH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8" s="43" t="str">
        <f aca="false">IF(Tasks[[#This Row],[Task Name]]="","",LEFT(Tasks[[#This Row],[WBS]],FIND(".",Tasks[[#This Row],[WBS]]&amp;".")-1))</f>
        <v>1</v>
      </c>
      <c r="GJ8" s="43" t="str">
        <f aca="false">IF(AND(Tasks[[#This Row],[Task Name]]&lt;&gt;"",Tasks[[#This Row],[_Level]]=1),Tasks[[#This Row],[_Row]],"")</f>
        <v/>
      </c>
      <c r="GK8" s="43" t="str">
        <f aca="false">IF(AND(Tasks[[#This Row],[_IsLeaf]]=1,N(Tasks[[#This Row],[_Days]])=0),Tasks[[#This Row],[Planned Finish]]+Tasks[[#This Row],[_Row]]/100000,"")</f>
        <v/>
      </c>
      <c r="GL8" s="43" t="str">
        <f aca="false">IF(AND(Tasks[[#This Row],[_IsLeaf]]=1,Tasks[[#This Row],[_LeafProgress]]&lt;1,OR(N(Tasks[[#This Row],[Finish Var]])&gt;0,Tasks[[#This Row],[Status]]="Late Start")),MAX(0,Tasks[[#This Row],[Finish Var]])+1-Tasks[[#This Row],[_Row]]/1000000,"")</f>
        <v/>
      </c>
      <c r="GM8" s="43" t="str">
        <f aca="false">IF(AND(Tasks[[#This Row],[_IsLeaf]]=1,N(Tasks[[#This Row],[Actual Start]])=0,Tasks[[#This Row],[_ShownFcstStart]]&gt;=StatusDate,Tasks[[#This Row],[_ShownFcstStart]]&lt;=LookaheadEnd),Tasks[[#This Row],[_ShownFcstStart]]+Tasks[[#This Row],[_Row]]/100000,"")</f>
        <v/>
      </c>
      <c r="GN8" s="43" t="str">
        <f aca="false">IF(AND(Tasks[[#This Row],[_IsLeaf]]=1,Tasks[[#This Row],[_LeafProgress]]&lt;1,Tasks[[#This Row],[_ShownFcstFinish]]&gt;=StatusDate,Tasks[[#This Row],[_ShownFcstFinish]]&lt;=LookaheadEnd),Tasks[[#This Row],[_ShownFcstFinish]]+Tasks[[#This Row],[_Row]]/100000,"")</f>
        <v/>
      </c>
      <c r="GO8" s="43" t="str">
        <f aca="false">IF(Tasks[[#This Row],[_LeafCritical]],Tasks[[#This Row],[_ShownFcstStart]]+Tasks[[#This Row],[_Row]]/100000,"")</f>
        <v/>
      </c>
      <c r="GP8" s="43" t="n">
        <f aca="false">Tasks[[#This Row],[_LeafWork]]*Tasks[[#This Row],[_LeafProgress]]</f>
        <v>16</v>
      </c>
      <c r="GQ8" s="91" t="n">
        <f aca="false">IF(AND(Tasks[[#This Row],[_IsLeaf]]=1,Tasks[[#This Row],[_LeafProgress]]&gt;=1),IF(N(Tasks[[#This Row],[Actual Finish]])&gt;0,Tasks[[#This Row],[Actual Finish]],Tasks[[#This Row],[_ShownFcstFinish]]),"")</f>
        <v>46279</v>
      </c>
      <c r="GR8" s="43" t="n">
        <f aca="false">IF(Tasks[[#This Row],[_IsLeaf]]=1,N(Tasks[[#This Row],[Story Points]]),0)</f>
        <v>0</v>
      </c>
      <c r="GS8" s="43" t="str">
        <f aca="false">""</f>
        <v/>
      </c>
      <c r="GT8" s="90" t="b">
        <f aca="false">IF(Tasks[[#This Row],[Task Name]]="",FALSE(),AND(Tasks[[#This Row],[_IsLeaf]]=1,N(Tasks[[#This Row],[_Days]])=0))</f>
        <v>0</v>
      </c>
      <c r="GU8" s="91" t="n">
        <f aca="false">IF(Tasks[[#This Row],[Task Name]]="",0,IF(AND(Tasks[[#This Row],[_IsLeaf]]=1,NOT(Tasks[[#This Row],[_IsMilestone]]),N(Tasks[[#This Row],[Progress]])&gt;0),Tasks[[#This Row],[Start]],0))</f>
        <v>46276</v>
      </c>
      <c r="GV8" s="91" t="n">
        <f aca="false">IF(Tasks[[#This Row],[_DoneFrom]]=0,0,IF(Tasks[[#This Row],[Progress]]&gt;=1,Tasks[[#This Row],[Finish]],MAX(Tasks[[#This Row],[_DoneFrom]],Tasks[[#This Row],[Start]]+ROUND((Tasks[[#This Row],[Finish]]-Tasks[[#This Row],[Start]]+1)*Tasks[[#This Row],[Progress]],0)-1)))</f>
        <v>46279</v>
      </c>
      <c r="GW8" s="91" t="n">
        <f aca="false">IF(Tasks[[#This Row],[Task Name]]="",0,IF(OR(NOT(Tasks[[#This Row],[_IsLeaf]]=1),Tasks[[#This Row],[_IsMilestone]],N(Tasks[[#This Row],[Progress]])&gt;=1),0,IF(Tasks[[#This Row],[_DoneTo]]&gt;0,Tasks[[#This Row],[_DoneTo]]+1,Tasks[[#This Row],[Start]])))</f>
        <v>0</v>
      </c>
      <c r="GX8" s="91" t="n">
        <f aca="false">IF(Tasks[[#This Row],[_RemFrom]]=0,0,Tasks[[#This Row],[Finish]])</f>
        <v>0</v>
      </c>
      <c r="GY8" s="90" t="b">
        <f aca="false">IF(Tasks[[#This Row],[Task Name]]="",FALSE(),OR(NOT(BaselineSet),N(Tasks[[#This Row],[Baseline Start]])&gt;0))</f>
        <v>1</v>
      </c>
      <c r="GZ8"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2</v>
      </c>
      <c r="HA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v>
      </c>
      <c r="HB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HC8" s="92" t="n">
        <f aca="false">IF(Tasks[[#This Row],[_IsLeaf]]=1,Tasks[[#This Row],[_Row]],"")</f>
        <v>3</v>
      </c>
      <c r="HD8" s="92" t="str">
        <f aca="false">IFERROR(INDEX(Tasks[UID],SMALL(Tasks[_PickKey],Tasks[[#This Row],[_Row]]))&amp;" "&amp;INDEX(Tasks[Task Name],SMALL(Tasks[_PickKey],Tasks[[#This Row],[_Row]])),"")</f>
        <v>4 Kickoff complete</v>
      </c>
      <c r="HE8" s="43" t="n">
        <f aca="false">IF(Tasks[[#This Row],[Task Name]]="","",IF(Tasks[[#This Row],[_IsSummary]],NETWORKDAYS.INTL(Tasks[[#This Row],[Start]],Tasks[[#This Row],[Finish]],WorkWeek,Holidays),N(Tasks[[#This Row],[_Days]])))</f>
        <v>2</v>
      </c>
      <c r="HF8" s="43" t="n">
        <f aca="false">IF(Tasks[[#This Row],[Expected]]="",0,((Tasks[[#This Row],[Pessimistic]]-Tasks[[#This Row],[Optimistic]])/6)^2)</f>
        <v>0</v>
      </c>
      <c r="HG8" s="43" t="n">
        <f aca="false">IF(Tasks[[#This Row],[Expected]]="",0,Tasks[[#This Row],[Expected]]-N(Tasks[[#This Row],[_Days]]))</f>
        <v>0</v>
      </c>
    </row>
    <row r="9" customFormat="false" ht="15" hidden="false" customHeight="false" outlineLevel="1" collapsed="false">
      <c r="A9" s="21" t="n">
        <f aca="false">IF(Tasks[[#This Row],[Task Name]]="","",COUNTA(Tasks[[#Headers],[Task Name]]:Tasks[[#This Row],[Task Name]])-1)</f>
        <v>4</v>
      </c>
      <c r="B9" s="22" t="n">
        <v>4</v>
      </c>
      <c r="C9" s="22" t="n">
        <v>2</v>
      </c>
      <c r="D9" s="93" t="s">
        <v>646</v>
      </c>
      <c r="E9" s="22" t="n">
        <v>0</v>
      </c>
      <c r="F9" s="23" t="n">
        <v>3</v>
      </c>
      <c r="G9" s="22"/>
      <c r="H9" s="22"/>
      <c r="I9" s="23"/>
      <c r="J9" s="22"/>
      <c r="K9" s="22"/>
      <c r="L9" s="23"/>
      <c r="M9" s="22"/>
      <c r="N9" s="22"/>
      <c r="O9" s="23"/>
      <c r="P9" s="22"/>
      <c r="Q9" s="22"/>
      <c r="R9" s="23"/>
      <c r="S9" s="23"/>
      <c r="T9" s="84"/>
      <c r="U9" s="23"/>
      <c r="V9" s="84"/>
      <c r="W9" s="23"/>
      <c r="X9" s="84"/>
      <c r="Y9" s="23"/>
      <c r="Z9" s="84"/>
      <c r="AA9" s="23"/>
      <c r="AB9" s="23" t="s">
        <v>150</v>
      </c>
      <c r="AC9" s="7" t="n">
        <v>46279</v>
      </c>
      <c r="AD9" s="7" t="n">
        <v>46279</v>
      </c>
      <c r="AE9" s="63" t="n">
        <f aca="false">IF(Tasks[[#This Row],[Task Name]]="","",IF(Tasks[[#This Row],[_IsSummary]],MIN(INDEX(Tasks[_ShownFcstStart],Tasks[[#This Row],[_Row]]+1):INDEX(Tasks[_ShownFcstStart],Tasks[[#This Row],[_Row]]+Tasks[[#This Row],[_Descendants]])),Tasks[[#This Row],[_ShownFcstStart]]))</f>
        <v>46279</v>
      </c>
      <c r="AF9" s="63" t="n">
        <f aca="false">IF(Tasks[[#This Row],[Task Name]]="","",IF(Tasks[[#This Row],[_IsSummary]],MAX(INDEX(Tasks[_ShownFcstFinish],Tasks[[#This Row],[_Row]]+1):INDEX(Tasks[_ShownFcstFinish],Tasks[[#This Row],[_Row]]+Tasks[[#This Row],[_Descendants]])),Tasks[[#This Row],[_ShownFcstFinish]]))</f>
        <v>46279</v>
      </c>
      <c r="AG9" s="21" t="str">
        <f aca="false">""</f>
        <v/>
      </c>
      <c r="AH9" s="23" t="s">
        <v>647</v>
      </c>
      <c r="AI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 s="7"/>
      <c r="AK9" s="22" t="s">
        <v>248</v>
      </c>
      <c r="AL9" s="23"/>
      <c r="AM9" s="7"/>
      <c r="AN9" s="47" t="n">
        <f aca="false">IF(Tasks[[#This Row],[Task Name]]="","",IF(Tasks[[#This Row],[Finish]]&gt;=Tasks[[#This Row],[Planned Finish]],NETWORKDAYS.INTL(Tasks[[#This Row],[Planned Finish]],Tasks[[#This Row],[Finish]],WorkWeek,Holidays)-1,1-NETWORKDAYS.INTL(Tasks[[#This Row],[Finish]],Tasks[[#This Row],[Planned Finish]],WorkWeek,Holidays)))</f>
        <v>1</v>
      </c>
      <c r="AO9" s="21" t="str">
        <f aca="false">IF(Tasks[[#This Row],[Task Name]]="","",IF(Tasks[[#This Row],[Progress]]&gt;=1,"Complete",IF(OR(N(Tasks[[#This Row],[Actual Start]])&gt;0,Tasks[[#This Row],[Progress]]&gt;0),IF(Tasks[[#This Row],[Finish Var]]&gt;0,"Behind","In Progress"),IF(Tasks[[#This Row],[Planned Start]]&lt;StatusDate,"Late Start","Not Started"))))</f>
        <v>Complete</v>
      </c>
      <c r="AP9" s="21" t="str">
        <f aca="false">IF(Tasks[[#This Row],[Task Name]]="","",IF(IF(Tasks[[#This Row],[_IsSummary]],COUNTIF(INDEX(Tasks[_LeafCritical],Tasks[[#This Row],[_Row]]+1):INDEX(Tasks[_LeafCritical],Tasks[[#This Row],[_Row]]+Tasks[[#This Row],[_Descendants]]),TRUE())&gt;0,Tasks[[#This Row],[_LeafCritical]]),"Yes",""))</f>
        <v/>
      </c>
      <c r="AQ9" s="63" t="n">
        <f aca="false">IF(Tasks[[#This Row],[Task Name]]="","",IF(N(Tasks[[#This Row],[Baseline Start]])&gt;0,Tasks[[#This Row],[Baseline Start]],Tasks[[#This Row],[_CalcStart]]))</f>
        <v>46276</v>
      </c>
      <c r="AR9" s="63" t="n">
        <f aca="false">IF(Tasks[[#This Row],[Task Name]]="","",IF(N(Tasks[[#This Row],[Baseline Finish]])&gt;0,Tasks[[#This Row],[Baseline Finish]],Tasks[[#This Row],[_CalcFinish]]))</f>
        <v>46276</v>
      </c>
      <c r="AS9" s="47" t="n">
        <f aca="false">IF(Tasks[[#This Row],[Task Name]]="","",IF(Tasks[[#This Row],[Start]]&gt;=Tasks[[#This Row],[Planned Start]],NETWORKDAYS.INTL(Tasks[[#This Row],[Planned Start]],Tasks[[#This Row],[Start]],WorkWeek,Holidays)-1,1-NETWORKDAYS.INTL(Tasks[[#This Row],[Start]],Tasks[[#This Row],[Planned Start]],WorkWeek,Holidays)))</f>
        <v>1</v>
      </c>
      <c r="AT9" s="63" t="n">
        <f aca="false">IF(Tasks[[#This Row],[Task Name]]="","",IF(Tasks[[#This Row],[_IsSummary]],MIN(INDEX(Tasks[_LeafLateStart],Tasks[[#This Row],[_Row]]+1):INDEX(Tasks[_LeafLateStart],Tasks[[#This Row],[_Row]]+Tasks[[#This Row],[_Descendants]])),Tasks[[#This Row],[_LeafLateStart]]))</f>
        <v>46282</v>
      </c>
      <c r="AU9" s="63" t="n">
        <f aca="false">IF(Tasks[[#This Row],[Task Name]]="","",IF(Tasks[[#This Row],[_IsSummary]],MAX(INDEX(Tasks[_LeafLateFinish],Tasks[[#This Row],[_Row]]+1):INDEX(Tasks[_LeafLateFinish],Tasks[[#This Row],[_Row]]+Tasks[[#This Row],[_Descendants]])),Tasks[[#This Row],[_LeafLateFinish]]))</f>
        <v>46282</v>
      </c>
      <c r="AV9" s="47" t="n">
        <f aca="false">IF(Tasks[[#This Row],[Task Name]]="","",IF(Tasks[[#This Row],[_IsSummary]],MIN(INDEX(Tasks[_LeafTotalSlack],Tasks[[#This Row],[_Row]]+1):INDEX(Tasks[_LeafTotalSlack],Tasks[[#This Row],[_Row]]+Tasks[[#This Row],[_Descendants]])),Tasks[[#This Row],[_LeafTotalSlack]]))</f>
        <v>3</v>
      </c>
      <c r="AW9"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5"/>
      <c r="BA9"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3</v>
      </c>
      <c r="BC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BD9" s="21" t="str">
        <f aca="false">IF(Tasks[[#This Row],[Task Name]]="","",IF(Tasks[[#This Row],[_Level]]&lt;=OutlineShowLevel,"Yes","No"))</f>
        <v>Yes</v>
      </c>
      <c r="BE9" s="86" t="n">
        <f aca="false">IF(Tasks[[#This Row],[Task Name]]="","",IF(Tasks[[#This Row],[_IsSummary]],SUM(INDEX(Tasks[_LeafTotalWork],Tasks[[#This Row],[_Row]]+1):INDEX(Tasks[_LeafTotalWork],Tasks[[#This Row],[_Row]]+Tasks[[#This Row],[_Descendants]])),Tasks[[#This Row],[_LeafTotalWork]]))</f>
        <v>0</v>
      </c>
      <c r="BF9" s="23"/>
      <c r="BG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 s="21" t="str">
        <f aca="false">""</f>
        <v/>
      </c>
      <c r="BI9" s="87"/>
      <c r="BJ9" s="22"/>
      <c r="BK9" s="47" t="n">
        <f aca="false">IF(OR(Tasks[[#This Row],[Task Name]]="",Tasks[[#This Row],[Baseline Duration]]=""),"",Tasks[[#This Row],[_SpanDays]]-N(Tasks[[#This Row],[Baseline Duration]]))</f>
        <v>0</v>
      </c>
      <c r="BL9" s="86" t="n">
        <f aca="false">IF(OR(Tasks[[#This Row],[Task Name]]="",Tasks[[#This Row],[Baseline Work]]=""),"",Tasks[[#This Row],[Work]]-N(Tasks[[#This Row],[Baseline Work]]))</f>
        <v>0</v>
      </c>
      <c r="BM9" s="63" t="n">
        <f aca="false">IF(Tasks[[#This Row],[Task Name]]="","",IF(OR(TakeBaseline="Yes",N(Tasks[[#This Row],[Baseline Start]])=0),Tasks[[#This Row],[Start]],Tasks[[#This Row],[Baseline Start]]))</f>
        <v>46276</v>
      </c>
      <c r="BN9" s="63" t="n">
        <f aca="false">IF(Tasks[[#This Row],[Task Name]]="","",IF(OR(TakeBaseline="Yes",N(Tasks[[#This Row],[Baseline Finish]])=0),Tasks[[#This Row],[Finish]],Tasks[[#This Row],[Baseline Finish]]))</f>
        <v>46276</v>
      </c>
      <c r="BO9" s="21" t="n">
        <f aca="false">IF(Tasks[[#This Row],[Task Name]]="","",IF(OR(TakeBaseline="Yes",N(Tasks[[#This Row],[Baseline Duration]])=0),Tasks[[#This Row],[_SpanDays]],Tasks[[#This Row],[Baseline Duration]]))</f>
        <v>0</v>
      </c>
      <c r="BP9" s="86" t="n">
        <f aca="false">IF(Tasks[[#This Row],[Task Name]]="","",IF(OR(TakeBaseline="Yes",N(Tasks[[#This Row],[Baseline Work]])=0),Tasks[[#This Row],[Work]],Tasks[[#This Row],[Baseline Work]]))</f>
        <v>0</v>
      </c>
      <c r="BQ9" s="7" t="n">
        <v>46276</v>
      </c>
      <c r="BR9" s="7" t="n">
        <v>46276</v>
      </c>
      <c r="BS9" s="22" t="n">
        <v>0</v>
      </c>
      <c r="BT9" s="88" t="n">
        <v>0</v>
      </c>
      <c r="BU9" s="23"/>
      <c r="BV9" s="23"/>
      <c r="BW9" s="23"/>
      <c r="BX9" s="89" t="str">
        <f aca="false">IF(AND(Tasks[[#This Row],[_IsLeaf]]=1,ISNUMBER(Tasks[[#This Row],[Optimistic]]),ISNUMBER(Tasks[[#This Row],[Pessimistic]])),ROUND((Tasks[[#This Row],[Optimistic]]+4*N(Tasks[[#This Row],[_Days]])+Tasks[[#This Row],[Pessimistic]])/6,1),"")</f>
        <v/>
      </c>
      <c r="BY9" s="87"/>
      <c r="BZ9" s="87"/>
      <c r="CA9" s="22"/>
      <c r="CB9" s="43" t="n">
        <f aca="false">IF(Tasks[[#This Row],[Task Name]]="","",MAX(1,N(Tasks[[#This Row],[Level]])))</f>
        <v>2</v>
      </c>
      <c r="CC9" s="43" t="n">
        <f aca="false">ROW()-ROW(Tasks[[#Headers],[ID]])</f>
        <v>4</v>
      </c>
      <c r="CD9" s="43" t="n">
        <f aca="false">IF(OR(Tasks[[#This Row],[Task Name]]="",Tasks[[#This Row],[_Level]]&lt;=1),0,IFERROR(LOOKUP(2,1/(Tasks[[#Headers],[_Level]]:Tasks[[#This Row],[_Level]]=Tasks[[#This Row],[_Level]]-1),ROW(Tasks[[#Headers],[_Level]]:Tasks[[#This Row],[_Level]])),0))</f>
        <v>6</v>
      </c>
      <c r="CE9" s="43" t="n">
        <f aca="false">IFERROR(N(INDEX(Tasks[_Level],Tasks[[#This Row],[_Row]]+1)),0)</f>
        <v>1</v>
      </c>
      <c r="CF9" s="90" t="b">
        <f aca="false">AND(Tasks[[#This Row],[Task Name]]&lt;&gt;"",Tasks[[#This Row],[_NextLevel]]&gt;Tasks[[#This Row],[_Level]])</f>
        <v>0</v>
      </c>
      <c r="CG9" s="43" t="n">
        <f aca="false">IF(Tasks[[#This Row],[_IsSummary]],COUNTIF(Tasks[WBS],Tasks[[#This Row],[WBS]]&amp;".*"),0)</f>
        <v>0</v>
      </c>
      <c r="CH9" s="43" t="n">
        <f aca="false">IF(AND(Tasks[[#This Row],[Task Name]]&lt;&gt;"",NOT(Tasks[[#This Row],[_IsSummary]])),1,0)</f>
        <v>1</v>
      </c>
      <c r="CI9" s="43" t="n">
        <f aca="false">IF(N(Tasks[[#This Row],[_Pred1UID]])=0,0,IFERROR(MATCH(Tasks[[#This Row],[_Pred1UID]],Tasks[UID],0),-1))</f>
        <v>3</v>
      </c>
      <c r="CJ9" s="43" t="n">
        <f aca="false">IF(N(Tasks[[#This Row],[_Pred2UID]])=0,0,IFERROR(MATCH(Tasks[[#This Row],[_Pred2UID]],Tasks[UID],0),-1))</f>
        <v>0</v>
      </c>
      <c r="CK9" s="43" t="n">
        <f aca="false">IF(N(Tasks[[#This Row],[_Pred3UID]])=0,0,IFERROR(MATCH(Tasks[[#This Row],[_Pred3UID]],Tasks[UID],0),-1))</f>
        <v>0</v>
      </c>
      <c r="CL9" s="43" t="n">
        <f aca="false">IF(N(Tasks[[#This Row],[_Pred4UID]])=0,0,IFERROR(MATCH(Tasks[[#This Row],[_Pred4UID]],Tasks[UID],0),-1))</f>
        <v>0</v>
      </c>
      <c r="CM9"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 s="91" t="n">
        <f aca="false">IF(OR(Tasks[[#This Row],[_ConstraintCode]]=2,Tasks[[#This Row],[_ConstraintCode]]=3,Tasks[[#This Row],[_ConstraintCode]]=4,Tasks[[#This Row],[_ConstraintCode]]=6),Tasks[[#This Row],[_ConstraintStart]],0)</f>
        <v>0</v>
      </c>
      <c r="CP9" s="91" t="n">
        <f aca="false">IF(OR(Tasks[[#This Row],[_ConstraintCode]]=2,Tasks[[#This Row],[_ConstraintCode]]=3,Tasks[[#This Row],[_ConstraintCode]]=5,Tasks[[#This Row],[_ConstraintCode]]=7),Tasks[[#This Row],[_ConstraintStart]],2958465)</f>
        <v>2958465</v>
      </c>
      <c r="CQ9"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CR9" s="91" t="n">
        <f aca="false">IF(NOT(Tasks[[#This Row],[_IsLeaf]]=1),"",IF(N(Tasks[[#This Row],[_Days]])&lt;=0,Tasks[[#This Row],[_LeafCalcStart]],WORKDAY.INTL(Tasks[[#This Row],[_LeafCalcStart]],Tasks[[#This Row],[_Days]]-1,WorkWeek,Holidays)))</f>
        <v>46276</v>
      </c>
      <c r="CS9"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CT9"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U9" s="43" t="str">
        <f aca="false">IF(Tasks[[#This Row],[_Predecessors]]="","",TRIM(MID(SUBSTITUTE(SUBSTITUTE(SUBSTITUTE(UPPER(Tasks[[#This Row],[_Predecessors]]),";",",")," ",""),",",REPT(" ",99)),1,99)))</f>
        <v>3</v>
      </c>
      <c r="CV9" s="43" t="n">
        <f aca="false">IF(Tasks[[#This Row],[_Pred1Text]]="","",IFERROR(VALUE(LEFT(Tasks[[#This Row],[_Pred1Text]],MIN(FIND("F",Tasks[[#This Row],[_Pred1Text]]&amp;"F"),FIND("S",Tasks[[#This Row],[_Pred1Text]]&amp;"S"),FIND("+",Tasks[[#This Row],[_Pred1Text]]&amp;"+"),FIND("-",Tasks[[#This Row],[_Pred1Text]]&amp;"-"))-1)),""))</f>
        <v>3</v>
      </c>
      <c r="CW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9"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9" s="43" t="str">
        <f aca="false">IF(Tasks[[#This Row],[_Pred1Text]]="","",TRIM(MID(SUBSTITUTE(SUBSTITUTE(SUBSTITUTE(UPPER(Tasks[[#This Row],[_Predecessors]]),";",",")," ",""),",",REPT(" ",99)),100,99)))</f>
        <v/>
      </c>
      <c r="CZ9" s="43" t="str">
        <f aca="false">IF(Tasks[[#This Row],[_Pred2Text]]="","",IFERROR(VALUE(LEFT(Tasks[[#This Row],[_Pred2Text]],MIN(FIND("F",Tasks[[#This Row],[_Pred2Text]]&amp;"F"),FIND("S",Tasks[[#This Row],[_Pred2Text]]&amp;"S"),FIND("+",Tasks[[#This Row],[_Pred2Text]]&amp;"+"),FIND("-",Tasks[[#This Row],[_Pred2Text]]&amp;"-"))-1)),""))</f>
        <v/>
      </c>
      <c r="DA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 s="43" t="str">
        <f aca="false">IF(Tasks[[#This Row],[_Pred2Text]]="","",TRIM(MID(SUBSTITUTE(SUBSTITUTE(SUBSTITUTE(UPPER(Tasks[[#This Row],[_Predecessors]]),";",",")," ",""),",",REPT(" ",99)),199,99)))</f>
        <v/>
      </c>
      <c r="DD9" s="43" t="str">
        <f aca="false">IF(Tasks[[#This Row],[_Pred3Text]]="","",IFERROR(VALUE(LEFT(Tasks[[#This Row],[_Pred3Text]],MIN(FIND("F",Tasks[[#This Row],[_Pred3Text]]&amp;"F"),FIND("S",Tasks[[#This Row],[_Pred3Text]]&amp;"S"),FIND("+",Tasks[[#This Row],[_Pred3Text]]&amp;"+"),FIND("-",Tasks[[#This Row],[_Pred3Text]]&amp;"-"))-1)),""))</f>
        <v/>
      </c>
      <c r="DE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 s="43" t="str">
        <f aca="false">IF(Tasks[[#This Row],[_Pred3Text]]="","",TRIM(MID(SUBSTITUTE(SUBSTITUTE(SUBSTITUTE(UPPER(Tasks[[#This Row],[_Predecessors]]),";",",")," ",""),",",REPT(" ",99)),298,99)))</f>
        <v/>
      </c>
      <c r="DH9" s="43" t="str">
        <f aca="false">IF(Tasks[[#This Row],[_Pred4Text]]="","",IFERROR(VALUE(LEFT(Tasks[[#This Row],[_Pred4Text]],MIN(FIND("F",Tasks[[#This Row],[_Pred4Text]]&amp;"F"),FIND("S",Tasks[[#This Row],[_Pred4Text]]&amp;"S"),FIND("+",Tasks[[#This Row],[_Pred4Text]]&amp;"+"),FIND("-",Tasks[[#This Row],[_Pred4Text]]&amp;"-"))-1)),""))</f>
        <v/>
      </c>
      <c r="DI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 s="43" t="str">
        <f aca="false">IF(OR(Tasks[[#This Row],[Task Name]]="",Tasks[[#This Row],[_Resources]]=""),"",TRIM(MID(SUBSTITUTE(Tasks[[#This Row],[_Resources]],",",REPT(" ",99)),1,99)))</f>
        <v/>
      </c>
      <c r="DL9" s="43" t="str">
        <f aca="false">IF(Tasks[[#This Row],[_Res1Text]]="","",TRIM(MID(SUBSTITUTE(Tasks[[#This Row],[_Resources]],",",REPT(" ",99)),100,99)))</f>
        <v/>
      </c>
      <c r="DM9" s="43" t="str">
        <f aca="false">IF(Tasks[[#This Row],[_Res2Text]]="","",TRIM(MID(SUBSTITUTE(Tasks[[#This Row],[_Resources]],",",REPT(" ",99)),199,99)))</f>
        <v/>
      </c>
      <c r="DN9" s="43" t="str">
        <f aca="false">IF(Tasks[[#This Row],[_Res3Text]]="","",TRIM(MID(SUBSTITUTE(Tasks[[#This Row],[_Resources]],",",REPT(" ",99)),298,99)))</f>
        <v/>
      </c>
      <c r="DO9" s="43" t="n">
        <f aca="false">IF(Tasks[[#This Row],[_Res1Text]]="",0,IFERROR(MATCH(TRIM(LEFT(Tasks[[#This Row],[_Res1Text]],FIND("[",Tasks[[#This Row],[_Res1Text]]&amp;"[")-1)),res_Name,0),IFERROR(MATCH(TRIM(LEFT(Tasks[[#This Row],[_Res1Text]],FIND("[",Tasks[[#This Row],[_Res1Text]]&amp;"[")-1)),res_Initials,0),0)))</f>
        <v>0</v>
      </c>
      <c r="DP9" s="43" t="n">
        <f aca="false">IF(Tasks[[#This Row],[_Res2Text]]="",0,IFERROR(MATCH(TRIM(LEFT(Tasks[[#This Row],[_Res2Text]],FIND("[",Tasks[[#This Row],[_Res2Text]]&amp;"[")-1)),res_Name,0),IFERROR(MATCH(TRIM(LEFT(Tasks[[#This Row],[_Res2Text]],FIND("[",Tasks[[#This Row],[_Res2Text]]&amp;"[")-1)),res_Initials,0),0)))</f>
        <v>0</v>
      </c>
      <c r="DQ9" s="43" t="n">
        <f aca="false">IF(Tasks[[#This Row],[_Res3Text]]="",0,IFERROR(MATCH(TRIM(LEFT(Tasks[[#This Row],[_Res3Text]],FIND("[",Tasks[[#This Row],[_Res3Text]]&amp;"[")-1)),res_Name,0),IFERROR(MATCH(TRIM(LEFT(Tasks[[#This Row],[_Res3Text]],FIND("[",Tasks[[#This Row],[_Res3Text]]&amp;"[")-1)),res_Initials,0),0)))</f>
        <v>0</v>
      </c>
      <c r="DR9" s="43" t="n">
        <f aca="false">IF(Tasks[[#This Row],[_Res4Text]]="",0,IFERROR(MATCH(TRIM(LEFT(Tasks[[#This Row],[_Res4Text]],FIND("[",Tasks[[#This Row],[_Res4Text]]&amp;"[")-1)),res_Name,0),IFERROR(MATCH(TRIM(LEFT(Tasks[[#This Row],[_Res4Text]],FIND("[",Tasks[[#This Row],[_Res4Text]]&amp;"[")-1)),res_Initials,0),0)))</f>
        <v>0</v>
      </c>
      <c r="DS9" s="43" t="str">
        <f aca="false">IF(Tasks[[#This Row],[_Res1Text]]="","",IF(Tasks[[#This Row],[_Res1Row]]&gt;0,INDEX(res_Name,Tasks[[#This Row],[_Res1Row]]),TRIM(LEFT(Tasks[[#This Row],[_Res1Text]],FIND("[",Tasks[[#This Row],[_Res1Text]]&amp;"[")-1))))</f>
        <v/>
      </c>
      <c r="DT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 s="43" t="n">
        <f aca="false">IF(NOT(Tasks[[#This Row],[_IsLeaf]]=1),0,(Tasks[[#This Row],[_Resource1]]&lt;&gt;"")+(Tasks[[#This Row],[_Res2]]&lt;&gt;"")+(Tasks[[#This Row],[_Res3]]&lt;&gt;"")+(Tasks[[#This Row],[_Res4]]&lt;&gt;""))</f>
        <v>0</v>
      </c>
      <c r="DV9" s="43" t="str">
        <f aca="false">IF(Tasks[[#This Row],[_Res2Text]]="","",IF(Tasks[[#This Row],[_Res2Row]]&gt;0,INDEX(res_Name,Tasks[[#This Row],[_Res2Row]]),TRIM(LEFT(Tasks[[#This Row],[_Res2Text]],FIND("[",Tasks[[#This Row],[_Res2Text]]&amp;"[")-1))))</f>
        <v/>
      </c>
      <c r="DW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 s="43" t="n">
        <f aca="false">IF(OR(NOT(Tasks[[#This Row],[_IsLeaf]]=1),Tasks[[#This Row],[_Res2Row]]=0),0,N(Tasks[[#This Row],[_Days]])*HoursPerDay*IF(Tasks[[#This Row],[_Res2Units]]="",DefaultUnits,Tasks[[#This Row],[_Res2Units]]))</f>
        <v>0</v>
      </c>
      <c r="DY9" s="43" t="n">
        <f aca="false">IF(AND(AND(Tasks[[#This Row],[_IsLeaf]]=1,Tasks[[#This Row],[_LeafTotalWork]]&gt;0),Tasks[[#This Row],[_Res2Work]]&gt;0),Tasks[[#This Row],[_Res2Work]]/(Tasks[[#This Row],[_FinishWorkday]]-Tasks[[#This Row],[_StartWorkday]]+1),0)</f>
        <v>0</v>
      </c>
      <c r="DZ9" s="43" t="n">
        <f aca="false">Tasks[[#This Row],[_Res2WorkPerWD]]*MAX(0,Tasks[[#This Row],[_StartWorkday]]-1)</f>
        <v>0</v>
      </c>
      <c r="EA9" s="43" t="n">
        <f aca="false">Tasks[[#This Row],[_Res2Work]]*Tasks[[#This Row],[_LeafProgress]]</f>
        <v>0</v>
      </c>
      <c r="EB9" s="43" t="str">
        <f aca="false">IF(Tasks[[#This Row],[_Res3Text]]="","",IF(Tasks[[#This Row],[_Res3Row]]&gt;0,INDEX(res_Name,Tasks[[#This Row],[_Res3Row]]),TRIM(LEFT(Tasks[[#This Row],[_Res3Text]],FIND("[",Tasks[[#This Row],[_Res3Text]]&amp;"[")-1))))</f>
        <v/>
      </c>
      <c r="EC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 s="43" t="n">
        <f aca="false">IF(OR(NOT(Tasks[[#This Row],[_IsLeaf]]=1),Tasks[[#This Row],[_Res3Row]]=0),0,N(Tasks[[#This Row],[_Days]])*HoursPerDay*IF(Tasks[[#This Row],[_Res3Units]]="",DefaultUnits,Tasks[[#This Row],[_Res3Units]]))</f>
        <v>0</v>
      </c>
      <c r="EE9" s="43" t="n">
        <f aca="false">IF(AND(AND(Tasks[[#This Row],[_IsLeaf]]=1,Tasks[[#This Row],[_LeafTotalWork]]&gt;0),Tasks[[#This Row],[_Res3Work]]&gt;0),Tasks[[#This Row],[_Res3Work]]/(Tasks[[#This Row],[_FinishWorkday]]-Tasks[[#This Row],[_StartWorkday]]+1),0)</f>
        <v>0</v>
      </c>
      <c r="EF9" s="43" t="n">
        <f aca="false">Tasks[[#This Row],[_Res3WorkPerWD]]*MAX(0,Tasks[[#This Row],[_StartWorkday]]-1)</f>
        <v>0</v>
      </c>
      <c r="EG9" s="43" t="n">
        <f aca="false">Tasks[[#This Row],[_Res3Work]]*Tasks[[#This Row],[_LeafProgress]]</f>
        <v>0</v>
      </c>
      <c r="EH9" s="43" t="str">
        <f aca="false">IF(Tasks[[#This Row],[_Res4Text]]="","",IF(Tasks[[#This Row],[_Res4Row]]&gt;0,INDEX(res_Name,Tasks[[#This Row],[_Res4Row]]),TRIM(LEFT(Tasks[[#This Row],[_Res4Text]],FIND("[",Tasks[[#This Row],[_Res4Text]]&amp;"[")-1))))</f>
        <v/>
      </c>
      <c r="EI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 s="43" t="n">
        <f aca="false">IF(OR(NOT(Tasks[[#This Row],[_IsLeaf]]=1),Tasks[[#This Row],[_Res4Row]]=0),0,N(Tasks[[#This Row],[_Days]])*HoursPerDay*IF(Tasks[[#This Row],[_Res4Units]]="",DefaultUnits,Tasks[[#This Row],[_Res4Units]]))</f>
        <v>0</v>
      </c>
      <c r="EK9" s="43" t="n">
        <f aca="false">IF(AND(AND(Tasks[[#This Row],[_IsLeaf]]=1,Tasks[[#This Row],[_LeafTotalWork]]&gt;0),Tasks[[#This Row],[_Res4Work]]&gt;0),Tasks[[#This Row],[_Res4Work]]/(Tasks[[#This Row],[_FinishWorkday]]-Tasks[[#This Row],[_StartWorkday]]+1),0)</f>
        <v>0</v>
      </c>
      <c r="EL9" s="43" t="n">
        <f aca="false">Tasks[[#This Row],[_Res4WorkPerWD]]*MAX(0,Tasks[[#This Row],[_StartWorkday]]-1)</f>
        <v>0</v>
      </c>
      <c r="EM9" s="43" t="n">
        <f aca="false">Tasks[[#This Row],[_Res4Work]]*Tasks[[#This Row],[_LeafProgress]]</f>
        <v>0</v>
      </c>
      <c r="EN9" s="94" t="n">
        <f aca="false">IF(ISNUMBER(Tasks[[#This Row],[% Complete]]),Tasks[[#This Row],[% Complete]],IF(Tasks[[#This Row],[Stage]]="",0,IFERROR(INDEX(stg_Pct,MATCH(Tasks[[#This Row],[Stage]],stg_Name,0)),0)))</f>
        <v>1</v>
      </c>
      <c r="EO9" s="43" t="n">
        <f aca="false">IF(NOT(Tasks[[#This Row],[_IsLeaf]]=1),0,IF(N(Tasks[[#This Row],[Actual Finish]])&gt;0,1,MIN(1,Tasks[[#This Row],[_Pct]])))</f>
        <v>1</v>
      </c>
      <c r="EP9" s="43" t="n">
        <f aca="false">IF(OR(NOT(Tasks[[#This Row],[_IsLeaf]]=1),Tasks[[#This Row],[_Res1Row]]=0),0,N(Tasks[[#This Row],[_Days]])*HoursPerDay*IF(Tasks[[#This Row],[_Units1]]="",DefaultUnits,Tasks[[#This Row],[_Units1]]))</f>
        <v>0</v>
      </c>
      <c r="EQ9" s="43" t="n">
        <f aca="false">Tasks[[#This Row],[_LeafWork]]+Tasks[[#This Row],[_Res2Work]]+Tasks[[#This Row],[_Res3Work]]+Tasks[[#This Row],[_Res4Work]]</f>
        <v>0</v>
      </c>
      <c r="ER9"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S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 s="43" t="n">
        <f aca="false">IF(NOT(Tasks[[#This Row],[_IsLeaf]]=1),0,MAX(_xlfn.MAXIFS(Tasks[_Row],Tasks[_Pred1UID],Tasks[[#This Row],[UID]]),_xlfn.MAXIFS(Tasks[_Row],Tasks[_Pred2UID],Tasks[[#This Row],[UID]]),_xlfn.MAXIFS(Tasks[_Row],Tasks[_Pred3UID],Tasks[[#This Row],[UID]]),_xlfn.MAXIFS(Tasks[_Row],Tasks[_Pred4UID],Tasks[[#This Row],[UID]])))</f>
        <v>6</v>
      </c>
      <c r="FA9"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FB9"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FC9" s="91" t="n">
        <f aca="false">IF(NOT(Tasks[[#This Row],[_IsLeaf]]=1),"",IF(N(Tasks[[#This Row],[_Days]])&lt;=0,Tasks[[#This Row],[_LeafLateFinish]],WORKDAY.INTL(Tasks[[#This Row],[_LeafLateFinish]],-(Tasks[[#This Row],[_Days]]-1),WorkWeek,Holidays)))</f>
        <v>46282</v>
      </c>
      <c r="FD9"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E9" s="90" t="b">
        <f aca="false">AND(Tasks[[#This Row],[_IsLeaf]]=1,Tasks[[#This Row],[_LeafProgress]]&lt;1,N(Tasks[[#This Row],[_LeafTotalSlack]])&lt;=CriticalSlackDays)</f>
        <v>0</v>
      </c>
      <c r="FF9" s="43" t="n">
        <f aca="false">IF(AND(Tasks[[#This Row],[_IsLeaf]]=1,Tasks[[#This Row],[_ConstraintCode]]=1,Tasks[[#This Row],[Mode]]&lt;&gt;"Manual",N(Tasks[[#This Row],[Actual Start]])=0),MAX(0,N(Tasks[[#This Row],[Free Slack]])),0)</f>
        <v>0</v>
      </c>
      <c r="FG9" s="91" t="n">
        <f aca="false">IF(NOT(Tasks[[#This Row],[_IsLeaf]]=1),"",IF(Tasks[[#This Row],[_AlapShift]]=0,Tasks[[#This Row],[_LeafCalcStart]],WORKDAY.INTL(Tasks[[#This Row],[_LeafCalcStart]],Tasks[[#This Row],[_AlapShift]],WorkWeek,Holidays)))</f>
        <v>46276</v>
      </c>
      <c r="FH9" s="91" t="n">
        <f aca="false">IF(NOT(Tasks[[#This Row],[_IsLeaf]]=1),"",IF(Tasks[[#This Row],[_AlapShift]]=0,Tasks[[#This Row],[_LeafCalcFinish]],WORKDAY.INTL(Tasks[[#This Row],[_LeafCalcFinish]],Tasks[[#This Row],[_AlapShift]],WorkWeek,Holidays)))</f>
        <v>46276</v>
      </c>
      <c r="FI9" s="91" t="n">
        <f aca="false">IF(NOT(Tasks[[#This Row],[_IsLeaf]]=1),"",IF(Tasks[[#This Row],[_AlapShift]]=0,Tasks[[#This Row],[_LeafFcstStart]],WORKDAY.INTL(Tasks[[#This Row],[_LeafFcstStart]],Tasks[[#This Row],[_AlapShift]],WorkWeek,Holidays)))</f>
        <v>46279</v>
      </c>
      <c r="FJ9" s="91" t="n">
        <f aca="false">IF(NOT(Tasks[[#This Row],[_IsLeaf]]=1),"",IF(Tasks[[#This Row],[_AlapShift]]=0,Tasks[[#This Row],[_LeafFcstFinish]],WORKDAY.INTL(Tasks[[#This Row],[_LeafFcstFinish]],Tasks[[#This Row],[_AlapShift]],WorkWeek,Holidays)))</f>
        <v>46279</v>
      </c>
      <c r="FK9" s="91" t="n">
        <f aca="false">IF(Tasks[[#This Row],[Task Name]]="","",IF(Tasks[[#This Row],[_IsSummary]],MIN(INDEX(Tasks[_ShownCalcStart],Tasks[[#This Row],[_Row]]+1):INDEX(Tasks[_ShownCalcStart],Tasks[[#This Row],[_Row]]+Tasks[[#This Row],[_Descendants]])),Tasks[[#This Row],[_ShownCalcStart]]))</f>
        <v>46276</v>
      </c>
      <c r="FL9" s="91" t="n">
        <f aca="false">IF(Tasks[[#This Row],[Task Name]]="","",IF(Tasks[[#This Row],[_IsSummary]],MAX(INDEX(Tasks[_ShownCalcFinish],Tasks[[#This Row],[_Row]]+1):INDEX(Tasks[_ShownCalcFinish],Tasks[[#This Row],[_Row]]+Tasks[[#This Row],[_Descendants]])),Tasks[[#This Row],[_ShownCalcFinish]]))</f>
        <v>46276</v>
      </c>
      <c r="FM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46276</v>
      </c>
      <c r="FR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46279</v>
      </c>
      <c r="FV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 s="43" t="n">
        <f aca="false">IF(AND(Tasks[[#This Row],[_IsLeaf]]=1,Tasks[[#This Row],[_LeafTotalWork]]&gt;0),NETWORKDAYS.INTL(ProjectStart,Tasks[[#This Row],[_ShownFcstStart]],WorkWeek,Holidays),0)</f>
        <v>0</v>
      </c>
      <c r="FZ9" s="43" t="n">
        <f aca="false">IF(AND(Tasks[[#This Row],[_IsLeaf]]=1,Tasks[[#This Row],[_LeafTotalWork]]&gt;0),MAX(Tasks[[#This Row],[_StartWorkday]],NETWORKDAYS.INTL(ProjectStart,Tasks[[#This Row],[_ShownFcstFinish]],WorkWeek,Holidays)),0)</f>
        <v>0</v>
      </c>
      <c r="GA9" s="43" t="n">
        <f aca="false">IF(AND(Tasks[[#This Row],[_IsLeaf]]=1,Tasks[[#This Row],[_LeafTotalWork]]&gt;0),Tasks[[#This Row],[_LeafWork]]/(Tasks[[#This Row],[_FinishWorkday]]-Tasks[[#This Row],[_StartWorkday]]+1),0)</f>
        <v>0</v>
      </c>
      <c r="GB9" s="43" t="n">
        <f aca="false">Tasks[[#This Row],[_WorkPerWorkday]]*(Tasks[[#This Row],[_StartWorkday]]-1)</f>
        <v>-0</v>
      </c>
      <c r="GC9" s="43" t="n">
        <f aca="false">IF(Tasks[[#This Row],[_IsLeaf]]=1,MAX(N(Tasks[[#This Row],[_Days]]),0.1),0)</f>
        <v>0.1</v>
      </c>
      <c r="GD9" s="43" t="n">
        <f aca="false">Tasks[[#This Row],[_WeightDur]]*Tasks[[#This Row],[_LeafProgress]]</f>
        <v>0.1</v>
      </c>
      <c r="GE9" s="43" t="n">
        <f aca="false">Tasks[[#This Row],[_WeightDur]]*Tasks[[#This Row],[_PlannedPct]]</f>
        <v>0.1</v>
      </c>
      <c r="GF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3</v>
      </c>
      <c r="GG9" s="43" t="str">
        <f aca="false">IF(AND(Tasks[[#This Row],[_IsLeaf]]=1,N(Tasks[[#This Row],[_Days]])=0,Tasks[[#This Row],[_LeafProgress]]&lt;1),Tasks[[#This Row],[_ShownFcstFinish]]+Tasks[[#This Row],[_Row]]/100000,"")</f>
        <v/>
      </c>
      <c r="GH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9" s="43" t="str">
        <f aca="false">IF(Tasks[[#This Row],[Task Name]]="","",LEFT(Tasks[[#This Row],[WBS]],FIND(".",Tasks[[#This Row],[WBS]]&amp;".")-1))</f>
        <v>1</v>
      </c>
      <c r="GJ9" s="43" t="str">
        <f aca="false">IF(AND(Tasks[[#This Row],[Task Name]]&lt;&gt;"",Tasks[[#This Row],[_Level]]=1),Tasks[[#This Row],[_Row]],"")</f>
        <v/>
      </c>
      <c r="GK9" s="95" t="n">
        <f aca="false">IF(AND(Tasks[[#This Row],[_IsLeaf]]=1,N(Tasks[[#This Row],[_Days]])=0),Tasks[[#This Row],[Planned Finish]]+Tasks[[#This Row],[_Row]]/100000,"")</f>
        <v>46276.00004</v>
      </c>
      <c r="GL9" s="43" t="str">
        <f aca="false">IF(AND(Tasks[[#This Row],[_IsLeaf]]=1,Tasks[[#This Row],[_LeafProgress]]&lt;1,OR(N(Tasks[[#This Row],[Finish Var]])&gt;0,Tasks[[#This Row],[Status]]="Late Start")),MAX(0,Tasks[[#This Row],[Finish Var]])+1-Tasks[[#This Row],[_Row]]/1000000,"")</f>
        <v/>
      </c>
      <c r="GM9" s="43" t="str">
        <f aca="false">IF(AND(Tasks[[#This Row],[_IsLeaf]]=1,N(Tasks[[#This Row],[Actual Start]])=0,Tasks[[#This Row],[_ShownFcstStart]]&gt;=StatusDate,Tasks[[#This Row],[_ShownFcstStart]]&lt;=LookaheadEnd),Tasks[[#This Row],[_ShownFcstStart]]+Tasks[[#This Row],[_Row]]/100000,"")</f>
        <v/>
      </c>
      <c r="GN9" s="43" t="str">
        <f aca="false">IF(AND(Tasks[[#This Row],[_IsLeaf]]=1,Tasks[[#This Row],[_LeafProgress]]&lt;1,Tasks[[#This Row],[_ShownFcstFinish]]&gt;=StatusDate,Tasks[[#This Row],[_ShownFcstFinish]]&lt;=LookaheadEnd),Tasks[[#This Row],[_ShownFcstFinish]]+Tasks[[#This Row],[_Row]]/100000,"")</f>
        <v/>
      </c>
      <c r="GO9" s="43" t="str">
        <f aca="false">IF(Tasks[[#This Row],[_LeafCritical]],Tasks[[#This Row],[_ShownFcstStart]]+Tasks[[#This Row],[_Row]]/100000,"")</f>
        <v/>
      </c>
      <c r="GP9" s="43" t="n">
        <f aca="false">Tasks[[#This Row],[_LeafWork]]*Tasks[[#This Row],[_LeafProgress]]</f>
        <v>0</v>
      </c>
      <c r="GQ9" s="91" t="n">
        <f aca="false">IF(AND(Tasks[[#This Row],[_IsLeaf]]=1,Tasks[[#This Row],[_LeafProgress]]&gt;=1),IF(N(Tasks[[#This Row],[Actual Finish]])&gt;0,Tasks[[#This Row],[Actual Finish]],Tasks[[#This Row],[_ShownFcstFinish]]),"")</f>
        <v>46279</v>
      </c>
      <c r="GR9" s="43" t="n">
        <f aca="false">IF(Tasks[[#This Row],[_IsLeaf]]=1,N(Tasks[[#This Row],[Story Points]]),0)</f>
        <v>0</v>
      </c>
      <c r="GS9" s="43" t="str">
        <f aca="false">""</f>
        <v/>
      </c>
      <c r="GT9" s="90" t="b">
        <f aca="false">IF(Tasks[[#This Row],[Task Name]]="",FALSE(),AND(Tasks[[#This Row],[_IsLeaf]]=1,N(Tasks[[#This Row],[_Days]])=0))</f>
        <v>1</v>
      </c>
      <c r="GU9" s="91" t="n">
        <f aca="false">IF(Tasks[[#This Row],[Task Name]]="",0,IF(AND(Tasks[[#This Row],[_IsLeaf]]=1,NOT(Tasks[[#This Row],[_IsMilestone]]),N(Tasks[[#This Row],[Progress]])&gt;0),Tasks[[#This Row],[Start]],0))</f>
        <v>0</v>
      </c>
      <c r="GV9" s="91" t="n">
        <f aca="false">IF(Tasks[[#This Row],[_DoneFrom]]=0,0,IF(Tasks[[#This Row],[Progress]]&gt;=1,Tasks[[#This Row],[Finish]],MAX(Tasks[[#This Row],[_DoneFrom]],Tasks[[#This Row],[Start]]+ROUND((Tasks[[#This Row],[Finish]]-Tasks[[#This Row],[Start]]+1)*Tasks[[#This Row],[Progress]],0)-1)))</f>
        <v>0</v>
      </c>
      <c r="GW9" s="91" t="n">
        <f aca="false">IF(Tasks[[#This Row],[Task Name]]="",0,IF(OR(NOT(Tasks[[#This Row],[_IsLeaf]]=1),Tasks[[#This Row],[_IsMilestone]],N(Tasks[[#This Row],[Progress]])&gt;=1),0,IF(Tasks[[#This Row],[_DoneTo]]&gt;0,Tasks[[#This Row],[_DoneTo]]+1,Tasks[[#This Row],[Start]])))</f>
        <v>0</v>
      </c>
      <c r="GX9" s="91" t="n">
        <f aca="false">IF(Tasks[[#This Row],[_RemFrom]]=0,0,Tasks[[#This Row],[Finish]])</f>
        <v>0</v>
      </c>
      <c r="GY9" s="90" t="b">
        <f aca="false">IF(Tasks[[#This Row],[Task Name]]="",FALSE(),OR(NOT(BaselineSet),N(Tasks[[#This Row],[Baseline Start]])&gt;0))</f>
        <v>1</v>
      </c>
      <c r="GZ9"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A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3</v>
      </c>
      <c r="HB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 s="92" t="n">
        <f aca="false">IF(Tasks[[#This Row],[_IsLeaf]]=1,Tasks[[#This Row],[_Row]],"")</f>
        <v>4</v>
      </c>
      <c r="HD9" s="92" t="str">
        <f aca="false">IFERROR(INDEX(Tasks[UID],SMALL(Tasks[_PickKey],Tasks[[#This Row],[_Row]]))&amp;" "&amp;INDEX(Tasks[Task Name],SMALL(Tasks[_PickKey],Tasks[[#This Row],[_Row]])),"")</f>
        <v>6 Requirements gathering</v>
      </c>
      <c r="HE9" s="43" t="n">
        <f aca="false">IF(Tasks[[#This Row],[Task Name]]="","",IF(Tasks[[#This Row],[_IsSummary]],NETWORKDAYS.INTL(Tasks[[#This Row],[Start]],Tasks[[#This Row],[Finish]],WorkWeek,Holidays),N(Tasks[[#This Row],[_Days]])))</f>
        <v>0</v>
      </c>
      <c r="HF9" s="43" t="n">
        <f aca="false">IF(Tasks[[#This Row],[Expected]]="",0,((Tasks[[#This Row],[Pessimistic]]-Tasks[[#This Row],[Optimistic]])/6)^2)</f>
        <v>0</v>
      </c>
      <c r="HG9" s="43" t="n">
        <f aca="false">IF(Tasks[[#This Row],[Expected]]="",0,Tasks[[#This Row],[Expected]]-N(Tasks[[#This Row],[_Days]]))</f>
        <v>0</v>
      </c>
    </row>
    <row r="10" customFormat="false" ht="15" hidden="false" customHeight="false" outlineLevel="0" collapsed="false">
      <c r="A10" s="21" t="n">
        <f aca="false">IF(Tasks[[#This Row],[Task Name]]="","",COUNTA(Tasks[[#Headers],[Task Name]]:Tasks[[#This Row],[Task Name]])-1)</f>
        <v>5</v>
      </c>
      <c r="B10" s="22" t="n">
        <v>5</v>
      </c>
      <c r="C10" s="22" t="n">
        <v>1</v>
      </c>
      <c r="D10" s="23" t="s">
        <v>648</v>
      </c>
      <c r="E10" s="22"/>
      <c r="F10" s="23"/>
      <c r="G10" s="22"/>
      <c r="H10" s="22"/>
      <c r="I10" s="23"/>
      <c r="J10" s="22"/>
      <c r="K10" s="22"/>
      <c r="L10" s="23"/>
      <c r="M10" s="22"/>
      <c r="N10" s="22"/>
      <c r="O10" s="23"/>
      <c r="P10" s="22"/>
      <c r="Q10" s="22"/>
      <c r="R10" s="23"/>
      <c r="S10" s="23"/>
      <c r="T10" s="84"/>
      <c r="U10" s="23"/>
      <c r="V10" s="84"/>
      <c r="W10" s="23"/>
      <c r="X10" s="84"/>
      <c r="Y10" s="23"/>
      <c r="Z10" s="84"/>
      <c r="AA10" s="23"/>
      <c r="AB10" s="23"/>
      <c r="AC10" s="7"/>
      <c r="AD10" s="7"/>
      <c r="AE10" s="63" t="n">
        <f aca="false">IF(Tasks[[#This Row],[Task Name]]="","",IF(Tasks[[#This Row],[_IsSummary]],MIN(INDEX(Tasks[_ShownFcstStart],Tasks[[#This Row],[_Row]]+1):INDEX(Tasks[_ShownFcstStart],Tasks[[#This Row],[_Row]]+Tasks[[#This Row],[_Descendants]])),Tasks[[#This Row],[_ShownFcstStart]]))</f>
        <v>46280</v>
      </c>
      <c r="AF10" s="63" t="n">
        <f aca="false">IF(Tasks[[#This Row],[Task Name]]="","",IF(Tasks[[#This Row],[_IsSummary]],MAX(INDEX(Tasks[_ShownFcstFinish],Tasks[[#This Row],[_Row]]+1):INDEX(Tasks[_ShownFcstFinish],Tasks[[#This Row],[_Row]]+Tasks[[#This Row],[_Descendants]])),Tasks[[#This Row],[_ShownFcstFinish]]))</f>
        <v>46301</v>
      </c>
      <c r="AG10" s="21" t="str">
        <f aca="false">""</f>
        <v/>
      </c>
      <c r="AH10" s="23"/>
      <c r="AI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 s="7"/>
      <c r="AK10" s="22" t="s">
        <v>248</v>
      </c>
      <c r="AL10" s="23"/>
      <c r="AM10" s="7"/>
      <c r="AN10" s="47" t="n">
        <f aca="false">IF(Tasks[[#This Row],[Task Name]]="","",IF(Tasks[[#This Row],[Finish]]&gt;=Tasks[[#This Row],[Planned Finish]],NETWORKDAYS.INTL(Tasks[[#This Row],[Planned Finish]],Tasks[[#This Row],[Finish]],WorkWeek,Holidays)-1,1-NETWORKDAYS.INTL(Tasks[[#This Row],[Finish]],Tasks[[#This Row],[Planned Finish]],WorkWeek,Holidays)))</f>
        <v>3</v>
      </c>
      <c r="AO10" s="21" t="str">
        <f aca="false">IF(Tasks[[#This Row],[Task Name]]="","",IF(Tasks[[#This Row],[Progress]]&gt;=1,"Complete",IF(OR(N(Tasks[[#This Row],[Actual Start]])&gt;0,Tasks[[#This Row],[Progress]]&gt;0),IF(Tasks[[#This Row],[Finish Var]]&gt;0,"Behind","In Progress"),IF(Tasks[[#This Row],[Planned Start]]&lt;StatusDate,"Late Start","Not Started"))))</f>
        <v>Complete</v>
      </c>
      <c r="AP10" s="21" t="str">
        <f aca="false">IF(Tasks[[#This Row],[Task Name]]="","",IF(IF(Tasks[[#This Row],[_IsSummary]],COUNTIF(INDEX(Tasks[_LeafCritical],Tasks[[#This Row],[_Row]]+1):INDEX(Tasks[_LeafCritical],Tasks[[#This Row],[_Row]]+Tasks[[#This Row],[_Descendants]]),TRUE())&gt;0,Tasks[[#This Row],[_LeafCritical]]),"Yes",""))</f>
        <v/>
      </c>
      <c r="AQ10" s="63" t="n">
        <f aca="false">IF(Tasks[[#This Row],[Task Name]]="","",IF(N(Tasks[[#This Row],[Baseline Start]])&gt;0,Tasks[[#This Row],[Baseline Start]],Tasks[[#This Row],[_CalcStart]]))</f>
        <v>46279</v>
      </c>
      <c r="AR10" s="63" t="n">
        <f aca="false">IF(Tasks[[#This Row],[Task Name]]="","",IF(N(Tasks[[#This Row],[Baseline Finish]])&gt;0,Tasks[[#This Row],[Baseline Finish]],Tasks[[#This Row],[_CalcFinish]]))</f>
        <v>46296</v>
      </c>
      <c r="AS10" s="47" t="n">
        <f aca="false">IF(Tasks[[#This Row],[Task Name]]="","",IF(Tasks[[#This Row],[Start]]&gt;=Tasks[[#This Row],[Planned Start]],NETWORKDAYS.INTL(Tasks[[#This Row],[Planned Start]],Tasks[[#This Row],[Start]],WorkWeek,Holidays)-1,1-NETWORKDAYS.INTL(Tasks[[#This Row],[Start]],Tasks[[#This Row],[Planned Start]],WorkWeek,Holidays)))</f>
        <v>1</v>
      </c>
      <c r="AT10" s="63" t="n">
        <f aca="false">IF(Tasks[[#This Row],[Task Name]]="","",IF(Tasks[[#This Row],[_IsSummary]],MIN(INDEX(Tasks[_LeafLateStart],Tasks[[#This Row],[_Row]]+1):INDEX(Tasks[_LeafLateStart],Tasks[[#This Row],[_Row]]+Tasks[[#This Row],[_Descendants]])),Tasks[[#This Row],[_LeafLateStart]]))</f>
        <v>46283</v>
      </c>
      <c r="AU10" s="63" t="n">
        <f aca="false">IF(Tasks[[#This Row],[Task Name]]="","",IF(Tasks[[#This Row],[_IsSummary]],MAX(INDEX(Tasks[_LeafLateFinish],Tasks[[#This Row],[_Row]]+1):INDEX(Tasks[_LeafLateFinish],Tasks[[#This Row],[_Row]]+Tasks[[#This Row],[_Descendants]])),Tasks[[#This Row],[_LeafLateFinish]]))</f>
        <v>46302</v>
      </c>
      <c r="AV10" s="47" t="n">
        <f aca="false">IF(Tasks[[#This Row],[Task Name]]="","",IF(Tasks[[#This Row],[_IsSummary]],MIN(INDEX(Tasks[_LeafTotalSlack],Tasks[[#This Row],[_Row]]+1):INDEX(Tasks[_LeafTotalSlack],Tasks[[#This Row],[_Row]]+Tasks[[#This Row],[_Descendants]])),Tasks[[#This Row],[_LeafTotalSlack]]))</f>
        <v>1</v>
      </c>
      <c r="AW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5"/>
      <c r="BA10"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BD10" s="21" t="str">
        <f aca="false">IF(Tasks[[#This Row],[Task Name]]="","",IF(Tasks[[#This Row],[_Level]]&lt;=OutlineShowLevel,"Yes","No"))</f>
        <v>Yes</v>
      </c>
      <c r="BE10" s="86" t="n">
        <f aca="false">IF(Tasks[[#This Row],[Task Name]]="","",IF(Tasks[[#This Row],[_IsSummary]],SUM(INDEX(Tasks[_LeafTotalWork],Tasks[[#This Row],[_Row]]+1):INDEX(Tasks[_LeafTotalWork],Tasks[[#This Row],[_Row]]+Tasks[[#This Row],[_Descendants]])),Tasks[[#This Row],[_LeafTotalWork]]))</f>
        <v>112</v>
      </c>
      <c r="BF10" s="23" t="s">
        <v>643</v>
      </c>
      <c r="BG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 s="21" t="str">
        <f aca="false">""</f>
        <v/>
      </c>
      <c r="BI10" s="87"/>
      <c r="BJ10" s="22"/>
      <c r="BK10" s="47" t="n">
        <f aca="false">IF(OR(Tasks[[#This Row],[Task Name]]="",Tasks[[#This Row],[Baseline Duration]]=""),"",Tasks[[#This Row],[_SpanDays]]-N(Tasks[[#This Row],[Baseline Duration]]))</f>
        <v>2</v>
      </c>
      <c r="BL10" s="86" t="n">
        <f aca="false">IF(OR(Tasks[[#This Row],[Task Name]]="",Tasks[[#This Row],[Baseline Work]]=""),"",Tasks[[#This Row],[Work]]-N(Tasks[[#This Row],[Baseline Work]]))</f>
        <v>0</v>
      </c>
      <c r="BM10" s="63" t="n">
        <f aca="false">IF(Tasks[[#This Row],[Task Name]]="","",IF(OR(TakeBaseline="Yes",N(Tasks[[#This Row],[Baseline Start]])=0),Tasks[[#This Row],[Start]],Tasks[[#This Row],[Baseline Start]]))</f>
        <v>46279</v>
      </c>
      <c r="BN10" s="63" t="n">
        <f aca="false">IF(Tasks[[#This Row],[Task Name]]="","",IF(OR(TakeBaseline="Yes",N(Tasks[[#This Row],[Baseline Finish]])=0),Tasks[[#This Row],[Finish]],Tasks[[#This Row],[Baseline Finish]]))</f>
        <v>46296</v>
      </c>
      <c r="BO10" s="21" t="n">
        <f aca="false">IF(Tasks[[#This Row],[Task Name]]="","",IF(OR(TakeBaseline="Yes",N(Tasks[[#This Row],[Baseline Duration]])=0),Tasks[[#This Row],[_SpanDays]],Tasks[[#This Row],[Baseline Duration]]))</f>
        <v>14</v>
      </c>
      <c r="BP10" s="86" t="n">
        <f aca="false">IF(Tasks[[#This Row],[Task Name]]="","",IF(OR(TakeBaseline="Yes",N(Tasks[[#This Row],[Baseline Work]])=0),Tasks[[#This Row],[Work]],Tasks[[#This Row],[Baseline Work]]))</f>
        <v>112</v>
      </c>
      <c r="BQ10" s="7" t="n">
        <v>46279</v>
      </c>
      <c r="BR10" s="7" t="n">
        <v>46296</v>
      </c>
      <c r="BS10" s="22" t="n">
        <v>14</v>
      </c>
      <c r="BT10" s="88" t="n">
        <v>112</v>
      </c>
      <c r="BU10" s="23"/>
      <c r="BV10" s="23"/>
      <c r="BW10" s="23"/>
      <c r="BX10" s="89" t="str">
        <f aca="false">IF(AND(Tasks[[#This Row],[_IsLeaf]]=1,ISNUMBER(Tasks[[#This Row],[Optimistic]]),ISNUMBER(Tasks[[#This Row],[Pessimistic]])),ROUND((Tasks[[#This Row],[Optimistic]]+4*N(Tasks[[#This Row],[_Days]])+Tasks[[#This Row],[Pessimistic]])/6,1),"")</f>
        <v/>
      </c>
      <c r="BY10" s="87"/>
      <c r="BZ10" s="87"/>
      <c r="CA10" s="22"/>
      <c r="CB10" s="43" t="n">
        <f aca="false">IF(Tasks[[#This Row],[Task Name]]="","",MAX(1,N(Tasks[[#This Row],[Level]])))</f>
        <v>1</v>
      </c>
      <c r="CC10" s="43" t="n">
        <f aca="false">ROW()-ROW(Tasks[[#Headers],[ID]])</f>
        <v>5</v>
      </c>
      <c r="CD10" s="43" t="n">
        <f aca="false">IF(OR(Tasks[[#This Row],[Task Name]]="",Tasks[[#This Row],[_Level]]&lt;=1),0,IFERROR(LOOKUP(2,1/(Tasks[[#Headers],[_Level]]:Tasks[[#This Row],[_Level]]=Tasks[[#This Row],[_Level]]-1),ROW(Tasks[[#Headers],[_Level]]:Tasks[[#This Row],[_Level]])),0))</f>
        <v>0</v>
      </c>
      <c r="CE10" s="43" t="n">
        <f aca="false">IFERROR(N(INDEX(Tasks[_Level],Tasks[[#This Row],[_Row]]+1)),0)</f>
        <v>2</v>
      </c>
      <c r="CF10" s="90" t="b">
        <f aca="false">AND(Tasks[[#This Row],[Task Name]]&lt;&gt;"",Tasks[[#This Row],[_NextLevel]]&gt;Tasks[[#This Row],[_Level]])</f>
        <v>1</v>
      </c>
      <c r="CG10" s="43" t="n">
        <f aca="false">IF(Tasks[[#This Row],[_IsSummary]],COUNTIF(Tasks[WBS],Tasks[[#This Row],[WBS]]&amp;".*"),0)</f>
        <v>3</v>
      </c>
      <c r="CH10" s="43" t="n">
        <f aca="false">IF(AND(Tasks[[#This Row],[Task Name]]&lt;&gt;"",NOT(Tasks[[#This Row],[_IsSummary]])),1,0)</f>
        <v>0</v>
      </c>
      <c r="CI10" s="43" t="n">
        <f aca="false">IF(N(Tasks[[#This Row],[_Pred1UID]])=0,0,IFERROR(MATCH(Tasks[[#This Row],[_Pred1UID]],Tasks[UID],0),-1))</f>
        <v>0</v>
      </c>
      <c r="CJ10" s="43" t="n">
        <f aca="false">IF(N(Tasks[[#This Row],[_Pred2UID]])=0,0,IFERROR(MATCH(Tasks[[#This Row],[_Pred2UID]],Tasks[UID],0),-1))</f>
        <v>0</v>
      </c>
      <c r="CK10" s="43" t="n">
        <f aca="false">IF(N(Tasks[[#This Row],[_Pred3UID]])=0,0,IFERROR(MATCH(Tasks[[#This Row],[_Pred3UID]],Tasks[UID],0),-1))</f>
        <v>0</v>
      </c>
      <c r="CL10" s="43" t="n">
        <f aca="false">IF(N(Tasks[[#This Row],[_Pred4UID]])=0,0,IFERROR(MATCH(Tasks[[#This Row],[_Pred4UID]],Tasks[UID],0),-1))</f>
        <v>0</v>
      </c>
      <c r="CM1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 s="91" t="n">
        <f aca="false">IF(OR(Tasks[[#This Row],[_ConstraintCode]]=2,Tasks[[#This Row],[_ConstraintCode]]=3,Tasks[[#This Row],[_ConstraintCode]]=4,Tasks[[#This Row],[_ConstraintCode]]=6),Tasks[[#This Row],[_ConstraintStart]],0)</f>
        <v>0</v>
      </c>
      <c r="CP10" s="91" t="n">
        <f aca="false">IF(OR(Tasks[[#This Row],[_ConstraintCode]]=2,Tasks[[#This Row],[_ConstraintCode]]=3,Tasks[[#This Row],[_ConstraintCode]]=5,Tasks[[#This Row],[_ConstraintCode]]=7),Tasks[[#This Row],[_ConstraintStart]],2958465)</f>
        <v>2958465</v>
      </c>
      <c r="CQ1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 s="91" t="str">
        <f aca="false">IF(NOT(Tasks[[#This Row],[_IsLeaf]]=1),"",IF(N(Tasks[[#This Row],[_Days]])&lt;=0,Tasks[[#This Row],[_LeafCalcStart]],WORKDAY.INTL(Tasks[[#This Row],[_LeafCalcStart]],Tasks[[#This Row],[_Days]]-1,WorkWeek,Holidays)))</f>
        <v/>
      </c>
      <c r="CS1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 s="43" t="str">
        <f aca="false">IF(Tasks[[#This Row],[_Predecessors]]="","",TRIM(MID(SUBSTITUTE(SUBSTITUTE(SUBSTITUTE(UPPER(Tasks[[#This Row],[_Predecessors]]),";",",")," ",""),",",REPT(" ",99)),1,99)))</f>
        <v/>
      </c>
      <c r="CV10" s="43" t="str">
        <f aca="false">IF(Tasks[[#This Row],[_Pred1Text]]="","",IFERROR(VALUE(LEFT(Tasks[[#This Row],[_Pred1Text]],MIN(FIND("F",Tasks[[#This Row],[_Pred1Text]]&amp;"F"),FIND("S",Tasks[[#This Row],[_Pred1Text]]&amp;"S"),FIND("+",Tasks[[#This Row],[_Pred1Text]]&amp;"+"),FIND("-",Tasks[[#This Row],[_Pred1Text]]&amp;"-"))-1)),""))</f>
        <v/>
      </c>
      <c r="CW1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 s="43" t="str">
        <f aca="false">IF(Tasks[[#This Row],[_Pred1Text]]="","",TRIM(MID(SUBSTITUTE(SUBSTITUTE(SUBSTITUTE(UPPER(Tasks[[#This Row],[_Predecessors]]),";",",")," ",""),",",REPT(" ",99)),100,99)))</f>
        <v/>
      </c>
      <c r="CZ10" s="43" t="str">
        <f aca="false">IF(Tasks[[#This Row],[_Pred2Text]]="","",IFERROR(VALUE(LEFT(Tasks[[#This Row],[_Pred2Text]],MIN(FIND("F",Tasks[[#This Row],[_Pred2Text]]&amp;"F"),FIND("S",Tasks[[#This Row],[_Pred2Text]]&amp;"S"),FIND("+",Tasks[[#This Row],[_Pred2Text]]&amp;"+"),FIND("-",Tasks[[#This Row],[_Pred2Text]]&amp;"-"))-1)),""))</f>
        <v/>
      </c>
      <c r="DA1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 s="43" t="str">
        <f aca="false">IF(Tasks[[#This Row],[_Pred2Text]]="","",TRIM(MID(SUBSTITUTE(SUBSTITUTE(SUBSTITUTE(UPPER(Tasks[[#This Row],[_Predecessors]]),";",",")," ",""),",",REPT(" ",99)),199,99)))</f>
        <v/>
      </c>
      <c r="DD10" s="43" t="str">
        <f aca="false">IF(Tasks[[#This Row],[_Pred3Text]]="","",IFERROR(VALUE(LEFT(Tasks[[#This Row],[_Pred3Text]],MIN(FIND("F",Tasks[[#This Row],[_Pred3Text]]&amp;"F"),FIND("S",Tasks[[#This Row],[_Pred3Text]]&amp;"S"),FIND("+",Tasks[[#This Row],[_Pred3Text]]&amp;"+"),FIND("-",Tasks[[#This Row],[_Pred3Text]]&amp;"-"))-1)),""))</f>
        <v/>
      </c>
      <c r="DE1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 s="43" t="str">
        <f aca="false">IF(Tasks[[#This Row],[_Pred3Text]]="","",TRIM(MID(SUBSTITUTE(SUBSTITUTE(SUBSTITUTE(UPPER(Tasks[[#This Row],[_Predecessors]]),";",",")," ",""),",",REPT(" ",99)),298,99)))</f>
        <v/>
      </c>
      <c r="DH10" s="43" t="str">
        <f aca="false">IF(Tasks[[#This Row],[_Pred4Text]]="","",IFERROR(VALUE(LEFT(Tasks[[#This Row],[_Pred4Text]],MIN(FIND("F",Tasks[[#This Row],[_Pred4Text]]&amp;"F"),FIND("S",Tasks[[#This Row],[_Pred4Text]]&amp;"S"),FIND("+",Tasks[[#This Row],[_Pred4Text]]&amp;"+"),FIND("-",Tasks[[#This Row],[_Pred4Text]]&amp;"-"))-1)),""))</f>
        <v/>
      </c>
      <c r="DI1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 s="43" t="str">
        <f aca="false">IF(OR(Tasks[[#This Row],[Task Name]]="",Tasks[[#This Row],[_Resources]]=""),"",TRIM(MID(SUBSTITUTE(Tasks[[#This Row],[_Resources]],",",REPT(" ",99)),1,99)))</f>
        <v/>
      </c>
      <c r="DL10" s="43" t="str">
        <f aca="false">IF(Tasks[[#This Row],[_Res1Text]]="","",TRIM(MID(SUBSTITUTE(Tasks[[#This Row],[_Resources]],",",REPT(" ",99)),100,99)))</f>
        <v/>
      </c>
      <c r="DM10" s="43" t="str">
        <f aca="false">IF(Tasks[[#This Row],[_Res2Text]]="","",TRIM(MID(SUBSTITUTE(Tasks[[#This Row],[_Resources]],",",REPT(" ",99)),199,99)))</f>
        <v/>
      </c>
      <c r="DN10" s="43" t="str">
        <f aca="false">IF(Tasks[[#This Row],[_Res3Text]]="","",TRIM(MID(SUBSTITUTE(Tasks[[#This Row],[_Resources]],",",REPT(" ",99)),298,99)))</f>
        <v/>
      </c>
      <c r="DO10" s="43" t="n">
        <f aca="false">IF(Tasks[[#This Row],[_Res1Text]]="",0,IFERROR(MATCH(TRIM(LEFT(Tasks[[#This Row],[_Res1Text]],FIND("[",Tasks[[#This Row],[_Res1Text]]&amp;"[")-1)),res_Name,0),IFERROR(MATCH(TRIM(LEFT(Tasks[[#This Row],[_Res1Text]],FIND("[",Tasks[[#This Row],[_Res1Text]]&amp;"[")-1)),res_Initials,0),0)))</f>
        <v>0</v>
      </c>
      <c r="DP10" s="43" t="n">
        <f aca="false">IF(Tasks[[#This Row],[_Res2Text]]="",0,IFERROR(MATCH(TRIM(LEFT(Tasks[[#This Row],[_Res2Text]],FIND("[",Tasks[[#This Row],[_Res2Text]]&amp;"[")-1)),res_Name,0),IFERROR(MATCH(TRIM(LEFT(Tasks[[#This Row],[_Res2Text]],FIND("[",Tasks[[#This Row],[_Res2Text]]&amp;"[")-1)),res_Initials,0),0)))</f>
        <v>0</v>
      </c>
      <c r="DQ10" s="43" t="n">
        <f aca="false">IF(Tasks[[#This Row],[_Res3Text]]="",0,IFERROR(MATCH(TRIM(LEFT(Tasks[[#This Row],[_Res3Text]],FIND("[",Tasks[[#This Row],[_Res3Text]]&amp;"[")-1)),res_Name,0),IFERROR(MATCH(TRIM(LEFT(Tasks[[#This Row],[_Res3Text]],FIND("[",Tasks[[#This Row],[_Res3Text]]&amp;"[")-1)),res_Initials,0),0)))</f>
        <v>0</v>
      </c>
      <c r="DR10" s="43" t="n">
        <f aca="false">IF(Tasks[[#This Row],[_Res4Text]]="",0,IFERROR(MATCH(TRIM(LEFT(Tasks[[#This Row],[_Res4Text]],FIND("[",Tasks[[#This Row],[_Res4Text]]&amp;"[")-1)),res_Name,0),IFERROR(MATCH(TRIM(LEFT(Tasks[[#This Row],[_Res4Text]],FIND("[",Tasks[[#This Row],[_Res4Text]]&amp;"[")-1)),res_Initials,0),0)))</f>
        <v>0</v>
      </c>
      <c r="DS10" s="43" t="str">
        <f aca="false">IF(Tasks[[#This Row],[_Res1Text]]="","",IF(Tasks[[#This Row],[_Res1Row]]&gt;0,INDEX(res_Name,Tasks[[#This Row],[_Res1Row]]),TRIM(LEFT(Tasks[[#This Row],[_Res1Text]],FIND("[",Tasks[[#This Row],[_Res1Text]]&amp;"[")-1))))</f>
        <v/>
      </c>
      <c r="DT1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 s="43" t="n">
        <f aca="false">IF(NOT(Tasks[[#This Row],[_IsLeaf]]=1),0,(Tasks[[#This Row],[_Resource1]]&lt;&gt;"")+(Tasks[[#This Row],[_Res2]]&lt;&gt;"")+(Tasks[[#This Row],[_Res3]]&lt;&gt;"")+(Tasks[[#This Row],[_Res4]]&lt;&gt;""))</f>
        <v>0</v>
      </c>
      <c r="DV10" s="43" t="str">
        <f aca="false">IF(Tasks[[#This Row],[_Res2Text]]="","",IF(Tasks[[#This Row],[_Res2Row]]&gt;0,INDEX(res_Name,Tasks[[#This Row],[_Res2Row]]),TRIM(LEFT(Tasks[[#This Row],[_Res2Text]],FIND("[",Tasks[[#This Row],[_Res2Text]]&amp;"[")-1))))</f>
        <v/>
      </c>
      <c r="DW1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 s="43" t="n">
        <f aca="false">IF(OR(NOT(Tasks[[#This Row],[_IsLeaf]]=1),Tasks[[#This Row],[_Res2Row]]=0),0,N(Tasks[[#This Row],[_Days]])*HoursPerDay*IF(Tasks[[#This Row],[_Res2Units]]="",DefaultUnits,Tasks[[#This Row],[_Res2Units]]))</f>
        <v>0</v>
      </c>
      <c r="DY10" s="43" t="n">
        <f aca="false">IF(AND(AND(Tasks[[#This Row],[_IsLeaf]]=1,Tasks[[#This Row],[_LeafTotalWork]]&gt;0),Tasks[[#This Row],[_Res2Work]]&gt;0),Tasks[[#This Row],[_Res2Work]]/(Tasks[[#This Row],[_FinishWorkday]]-Tasks[[#This Row],[_StartWorkday]]+1),0)</f>
        <v>0</v>
      </c>
      <c r="DZ10" s="43" t="n">
        <f aca="false">Tasks[[#This Row],[_Res2WorkPerWD]]*MAX(0,Tasks[[#This Row],[_StartWorkday]]-1)</f>
        <v>0</v>
      </c>
      <c r="EA10" s="43" t="n">
        <f aca="false">Tasks[[#This Row],[_Res2Work]]*Tasks[[#This Row],[_LeafProgress]]</f>
        <v>0</v>
      </c>
      <c r="EB10" s="43" t="str">
        <f aca="false">IF(Tasks[[#This Row],[_Res3Text]]="","",IF(Tasks[[#This Row],[_Res3Row]]&gt;0,INDEX(res_Name,Tasks[[#This Row],[_Res3Row]]),TRIM(LEFT(Tasks[[#This Row],[_Res3Text]],FIND("[",Tasks[[#This Row],[_Res3Text]]&amp;"[")-1))))</f>
        <v/>
      </c>
      <c r="EC1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 s="43" t="n">
        <f aca="false">IF(OR(NOT(Tasks[[#This Row],[_IsLeaf]]=1),Tasks[[#This Row],[_Res3Row]]=0),0,N(Tasks[[#This Row],[_Days]])*HoursPerDay*IF(Tasks[[#This Row],[_Res3Units]]="",DefaultUnits,Tasks[[#This Row],[_Res3Units]]))</f>
        <v>0</v>
      </c>
      <c r="EE10" s="43" t="n">
        <f aca="false">IF(AND(AND(Tasks[[#This Row],[_IsLeaf]]=1,Tasks[[#This Row],[_LeafTotalWork]]&gt;0),Tasks[[#This Row],[_Res3Work]]&gt;0),Tasks[[#This Row],[_Res3Work]]/(Tasks[[#This Row],[_FinishWorkday]]-Tasks[[#This Row],[_StartWorkday]]+1),0)</f>
        <v>0</v>
      </c>
      <c r="EF10" s="43" t="n">
        <f aca="false">Tasks[[#This Row],[_Res3WorkPerWD]]*MAX(0,Tasks[[#This Row],[_StartWorkday]]-1)</f>
        <v>0</v>
      </c>
      <c r="EG10" s="43" t="n">
        <f aca="false">Tasks[[#This Row],[_Res3Work]]*Tasks[[#This Row],[_LeafProgress]]</f>
        <v>0</v>
      </c>
      <c r="EH10" s="43" t="str">
        <f aca="false">IF(Tasks[[#This Row],[_Res4Text]]="","",IF(Tasks[[#This Row],[_Res4Row]]&gt;0,INDEX(res_Name,Tasks[[#This Row],[_Res4Row]]),TRIM(LEFT(Tasks[[#This Row],[_Res4Text]],FIND("[",Tasks[[#This Row],[_Res4Text]]&amp;"[")-1))))</f>
        <v/>
      </c>
      <c r="EI1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 s="43" t="n">
        <f aca="false">IF(OR(NOT(Tasks[[#This Row],[_IsLeaf]]=1),Tasks[[#This Row],[_Res4Row]]=0),0,N(Tasks[[#This Row],[_Days]])*HoursPerDay*IF(Tasks[[#This Row],[_Res4Units]]="",DefaultUnits,Tasks[[#This Row],[_Res4Units]]))</f>
        <v>0</v>
      </c>
      <c r="EK10" s="43" t="n">
        <f aca="false">IF(AND(AND(Tasks[[#This Row],[_IsLeaf]]=1,Tasks[[#This Row],[_LeafTotalWork]]&gt;0),Tasks[[#This Row],[_Res4Work]]&gt;0),Tasks[[#This Row],[_Res4Work]]/(Tasks[[#This Row],[_FinishWorkday]]-Tasks[[#This Row],[_StartWorkday]]+1),0)</f>
        <v>0</v>
      </c>
      <c r="EL10" s="43" t="n">
        <f aca="false">Tasks[[#This Row],[_Res4WorkPerWD]]*MAX(0,Tasks[[#This Row],[_StartWorkday]]-1)</f>
        <v>0</v>
      </c>
      <c r="EM10" s="43" t="n">
        <f aca="false">Tasks[[#This Row],[_Res4Work]]*Tasks[[#This Row],[_LeafProgress]]</f>
        <v>0</v>
      </c>
      <c r="EN10" s="43" t="n">
        <f aca="false">IF(ISNUMBER(Tasks[[#This Row],[% Complete]]),Tasks[[#This Row],[% Complete]],IF(Tasks[[#This Row],[Stage]]="",0,IFERROR(INDEX(stg_Pct,MATCH(Tasks[[#This Row],[Stage]],stg_Name,0)),0)))</f>
        <v>0</v>
      </c>
      <c r="EO10" s="43" t="n">
        <f aca="false">IF(NOT(Tasks[[#This Row],[_IsLeaf]]=1),0,IF(N(Tasks[[#This Row],[Actual Finish]])&gt;0,1,MIN(1,Tasks[[#This Row],[_Pct]])))</f>
        <v>0</v>
      </c>
      <c r="EP10" s="43" t="n">
        <f aca="false">IF(OR(NOT(Tasks[[#This Row],[_IsLeaf]]=1),Tasks[[#This Row],[_Res1Row]]=0),0,N(Tasks[[#This Row],[_Days]])*HoursPerDay*IF(Tasks[[#This Row],[_Units1]]="",DefaultUnits,Tasks[[#This Row],[_Units1]]))</f>
        <v>0</v>
      </c>
      <c r="EQ10" s="43" t="n">
        <f aca="false">Tasks[[#This Row],[_LeafWork]]+Tasks[[#This Row],[_Res2Work]]+Tasks[[#This Row],[_Res3Work]]+Tasks[[#This Row],[_Res4Work]]</f>
        <v>0</v>
      </c>
      <c r="ER1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 s="43" t="n">
        <f aca="false">IF(NOT(Tasks[[#This Row],[_IsLeaf]]=1),0,MAX(_xlfn.MAXIFS(Tasks[_Row],Tasks[_Pred1UID],Tasks[[#This Row],[UID]]),_xlfn.MAXIFS(Tasks[_Row],Tasks[_Pred2UID],Tasks[[#This Row],[UID]]),_xlfn.MAXIFS(Tasks[_Row],Tasks[_Pred3UID],Tasks[[#This Row],[UID]]),_xlfn.MAXIFS(Tasks[_Row],Tasks[_Pred4UID],Tasks[[#This Row],[UID]])))</f>
        <v>0</v>
      </c>
      <c r="FA1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 s="91" t="str">
        <f aca="false">IF(NOT(Tasks[[#This Row],[_IsLeaf]]=1),"",IF(N(Tasks[[#This Row],[_Days]])&lt;=0,Tasks[[#This Row],[_LeafLateFinish]],WORKDAY.INTL(Tasks[[#This Row],[_LeafLateFinish]],-(Tasks[[#This Row],[_Days]]-1),WorkWeek,Holidays)))</f>
        <v/>
      </c>
      <c r="FD1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 s="90" t="b">
        <f aca="false">AND(Tasks[[#This Row],[_IsLeaf]]=1,Tasks[[#This Row],[_LeafProgress]]&lt;1,N(Tasks[[#This Row],[_LeafTotalSlack]])&lt;=CriticalSlackDays)</f>
        <v>0</v>
      </c>
      <c r="FF10" s="43" t="n">
        <f aca="false">IF(AND(Tasks[[#This Row],[_IsLeaf]]=1,Tasks[[#This Row],[_ConstraintCode]]=1,Tasks[[#This Row],[Mode]]&lt;&gt;"Manual",N(Tasks[[#This Row],[Actual Start]])=0),MAX(0,N(Tasks[[#This Row],[Free Slack]])),0)</f>
        <v>0</v>
      </c>
      <c r="FG10" s="91" t="str">
        <f aca="false">IF(NOT(Tasks[[#This Row],[_IsLeaf]]=1),"",IF(Tasks[[#This Row],[_AlapShift]]=0,Tasks[[#This Row],[_LeafCalcStart]],WORKDAY.INTL(Tasks[[#This Row],[_LeafCalcStart]],Tasks[[#This Row],[_AlapShift]],WorkWeek,Holidays)))</f>
        <v/>
      </c>
      <c r="FH10" s="91" t="str">
        <f aca="false">IF(NOT(Tasks[[#This Row],[_IsLeaf]]=1),"",IF(Tasks[[#This Row],[_AlapShift]]=0,Tasks[[#This Row],[_LeafCalcFinish]],WORKDAY.INTL(Tasks[[#This Row],[_LeafCalcFinish]],Tasks[[#This Row],[_AlapShift]],WorkWeek,Holidays)))</f>
        <v/>
      </c>
      <c r="FI10" s="91" t="str">
        <f aca="false">IF(NOT(Tasks[[#This Row],[_IsLeaf]]=1),"",IF(Tasks[[#This Row],[_AlapShift]]=0,Tasks[[#This Row],[_LeafFcstStart]],WORKDAY.INTL(Tasks[[#This Row],[_LeafFcstStart]],Tasks[[#This Row],[_AlapShift]],WorkWeek,Holidays)))</f>
        <v/>
      </c>
      <c r="FJ10" s="91" t="str">
        <f aca="false">IF(NOT(Tasks[[#This Row],[_IsLeaf]]=1),"",IF(Tasks[[#This Row],[_AlapShift]]=0,Tasks[[#This Row],[_LeafFcstFinish]],WORKDAY.INTL(Tasks[[#This Row],[_LeafFcstFinish]],Tasks[[#This Row],[_AlapShift]],WorkWeek,Holidays)))</f>
        <v/>
      </c>
      <c r="FK10" s="91" t="n">
        <f aca="false">IF(Tasks[[#This Row],[Task Name]]="","",IF(Tasks[[#This Row],[_IsSummary]],MIN(INDEX(Tasks[_ShownCalcStart],Tasks[[#This Row],[_Row]]+1):INDEX(Tasks[_ShownCalcStart],Tasks[[#This Row],[_Row]]+Tasks[[#This Row],[_Descendants]])),Tasks[[#This Row],[_ShownCalcStart]]))</f>
        <v>46279</v>
      </c>
      <c r="FL10" s="91" t="n">
        <f aca="false">IF(Tasks[[#This Row],[Task Name]]="","",IF(Tasks[[#This Row],[_IsSummary]],MAX(INDEX(Tasks[_ShownCalcFinish],Tasks[[#This Row],[_Row]]+1):INDEX(Tasks[_ShownCalcFinish],Tasks[[#This Row],[_Row]]+Tasks[[#This Row],[_Descendants]])),Tasks[[#This Row],[_ShownCalcFinish]]))</f>
        <v>46296</v>
      </c>
      <c r="FM1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 s="43" t="n">
        <f aca="false">IF(AND(Tasks[[#This Row],[_IsLeaf]]=1,Tasks[[#This Row],[_LeafTotalWork]]&gt;0),NETWORKDAYS.INTL(ProjectStart,Tasks[[#This Row],[_ShownFcstStart]],WorkWeek,Holidays),0)</f>
        <v>0</v>
      </c>
      <c r="FZ10" s="43" t="n">
        <f aca="false">IF(AND(Tasks[[#This Row],[_IsLeaf]]=1,Tasks[[#This Row],[_LeafTotalWork]]&gt;0),MAX(Tasks[[#This Row],[_StartWorkday]],NETWORKDAYS.INTL(ProjectStart,Tasks[[#This Row],[_ShownFcstFinish]],WorkWeek,Holidays)),0)</f>
        <v>0</v>
      </c>
      <c r="GA10" s="43" t="n">
        <f aca="false">IF(AND(Tasks[[#This Row],[_IsLeaf]]=1,Tasks[[#This Row],[_LeafTotalWork]]&gt;0),Tasks[[#This Row],[_LeafWork]]/(Tasks[[#This Row],[_FinishWorkday]]-Tasks[[#This Row],[_StartWorkday]]+1),0)</f>
        <v>0</v>
      </c>
      <c r="GB10" s="43" t="n">
        <f aca="false">Tasks[[#This Row],[_WorkPerWorkday]]*(Tasks[[#This Row],[_StartWorkday]]-1)</f>
        <v>-0</v>
      </c>
      <c r="GC10" s="43" t="n">
        <f aca="false">IF(Tasks[[#This Row],[_IsLeaf]]=1,MAX(N(Tasks[[#This Row],[_Days]]),0.1),0)</f>
        <v>0</v>
      </c>
      <c r="GD10" s="43" t="n">
        <f aca="false">Tasks[[#This Row],[_WeightDur]]*Tasks[[#This Row],[_LeafProgress]]</f>
        <v>0</v>
      </c>
      <c r="GE10" s="43" t="n">
        <f aca="false">Tasks[[#This Row],[_WeightDur]]*Tasks[[#This Row],[_PlannedPct]]</f>
        <v>0</v>
      </c>
      <c r="GF1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 s="43" t="str">
        <f aca="false">IF(AND(Tasks[[#This Row],[_IsLeaf]]=1,N(Tasks[[#This Row],[_Days]])=0,Tasks[[#This Row],[_LeafProgress]]&lt;1),Tasks[[#This Row],[_ShownFcstFinish]]+Tasks[[#This Row],[_Row]]/100000,"")</f>
        <v/>
      </c>
      <c r="GH1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 s="43" t="str">
        <f aca="false">IF(Tasks[[#This Row],[Task Name]]="","",LEFT(Tasks[[#This Row],[WBS]],FIND(".",Tasks[[#This Row],[WBS]]&amp;".")-1))</f>
        <v>2</v>
      </c>
      <c r="GJ10" s="43" t="n">
        <f aca="false">IF(AND(Tasks[[#This Row],[Task Name]]&lt;&gt;"",Tasks[[#This Row],[_Level]]=1),Tasks[[#This Row],[_Row]],"")</f>
        <v>5</v>
      </c>
      <c r="GK10" s="43" t="str">
        <f aca="false">IF(AND(Tasks[[#This Row],[_IsLeaf]]=1,N(Tasks[[#This Row],[_Days]])=0),Tasks[[#This Row],[Planned Finish]]+Tasks[[#This Row],[_Row]]/100000,"")</f>
        <v/>
      </c>
      <c r="GL10" s="43" t="str">
        <f aca="false">IF(AND(Tasks[[#This Row],[_IsLeaf]]=1,Tasks[[#This Row],[_LeafProgress]]&lt;1,OR(N(Tasks[[#This Row],[Finish Var]])&gt;0,Tasks[[#This Row],[Status]]="Late Start")),MAX(0,Tasks[[#This Row],[Finish Var]])+1-Tasks[[#This Row],[_Row]]/1000000,"")</f>
        <v/>
      </c>
      <c r="GM10" s="43" t="str">
        <f aca="false">IF(AND(Tasks[[#This Row],[_IsLeaf]]=1,N(Tasks[[#This Row],[Actual Start]])=0,Tasks[[#This Row],[_ShownFcstStart]]&gt;=StatusDate,Tasks[[#This Row],[_ShownFcstStart]]&lt;=LookaheadEnd),Tasks[[#This Row],[_ShownFcstStart]]+Tasks[[#This Row],[_Row]]/100000,"")</f>
        <v/>
      </c>
      <c r="GN10" s="43" t="str">
        <f aca="false">IF(AND(Tasks[[#This Row],[_IsLeaf]]=1,Tasks[[#This Row],[_LeafProgress]]&lt;1,Tasks[[#This Row],[_ShownFcstFinish]]&gt;=StatusDate,Tasks[[#This Row],[_ShownFcstFinish]]&lt;=LookaheadEnd),Tasks[[#This Row],[_ShownFcstFinish]]+Tasks[[#This Row],[_Row]]/100000,"")</f>
        <v/>
      </c>
      <c r="GO10" s="43" t="str">
        <f aca="false">IF(Tasks[[#This Row],[_LeafCritical]],Tasks[[#This Row],[_ShownFcstStart]]+Tasks[[#This Row],[_Row]]/100000,"")</f>
        <v/>
      </c>
      <c r="GP10" s="43" t="n">
        <f aca="false">Tasks[[#This Row],[_LeafWork]]*Tasks[[#This Row],[_LeafProgress]]</f>
        <v>0</v>
      </c>
      <c r="GQ10" s="91" t="str">
        <f aca="false">IF(AND(Tasks[[#This Row],[_IsLeaf]]=1,Tasks[[#This Row],[_LeafProgress]]&gt;=1),IF(N(Tasks[[#This Row],[Actual Finish]])&gt;0,Tasks[[#This Row],[Actual Finish]],Tasks[[#This Row],[_ShownFcstFinish]]),"")</f>
        <v/>
      </c>
      <c r="GR10" s="43" t="n">
        <f aca="false">IF(Tasks[[#This Row],[_IsLeaf]]=1,N(Tasks[[#This Row],[Story Points]]),0)</f>
        <v>0</v>
      </c>
      <c r="GS10" s="43" t="str">
        <f aca="false">""</f>
        <v/>
      </c>
      <c r="GT10" s="90" t="b">
        <f aca="false">IF(Tasks[[#This Row],[Task Name]]="",FALSE(),AND(Tasks[[#This Row],[_IsLeaf]]=1,N(Tasks[[#This Row],[_Days]])=0))</f>
        <v>0</v>
      </c>
      <c r="GU10" s="91" t="n">
        <f aca="false">IF(Tasks[[#This Row],[Task Name]]="",0,IF(AND(Tasks[[#This Row],[_IsLeaf]]=1,NOT(Tasks[[#This Row],[_IsMilestone]]),N(Tasks[[#This Row],[Progress]])&gt;0),Tasks[[#This Row],[Start]],0))</f>
        <v>0</v>
      </c>
      <c r="GV10" s="91" t="n">
        <f aca="false">IF(Tasks[[#This Row],[_DoneFrom]]=0,0,IF(Tasks[[#This Row],[Progress]]&gt;=1,Tasks[[#This Row],[Finish]],MAX(Tasks[[#This Row],[_DoneFrom]],Tasks[[#This Row],[Start]]+ROUND((Tasks[[#This Row],[Finish]]-Tasks[[#This Row],[Start]]+1)*Tasks[[#This Row],[Progress]],0)-1)))</f>
        <v>0</v>
      </c>
      <c r="GW10" s="91" t="n">
        <f aca="false">IF(Tasks[[#This Row],[Task Name]]="",0,IF(OR(NOT(Tasks[[#This Row],[_IsLeaf]]=1),Tasks[[#This Row],[_IsMilestone]],N(Tasks[[#This Row],[Progress]])&gt;=1),0,IF(Tasks[[#This Row],[_DoneTo]]&gt;0,Tasks[[#This Row],[_DoneTo]]+1,Tasks[[#This Row],[Start]])))</f>
        <v>0</v>
      </c>
      <c r="GX10" s="91" t="n">
        <f aca="false">IF(Tasks[[#This Row],[_RemFrom]]=0,0,Tasks[[#This Row],[Finish]])</f>
        <v>0</v>
      </c>
      <c r="GY10" s="90" t="b">
        <f aca="false">IF(Tasks[[#This Row],[Task Name]]="",FALSE(),OR(NOT(BaselineSet),N(Tasks[[#This Row],[Baseline Start]])&gt;0))</f>
        <v>1</v>
      </c>
      <c r="GZ1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 s="92" t="str">
        <f aca="false">IF(Tasks[[#This Row],[_IsLeaf]]=1,Tasks[[#This Row],[_Row]],"")</f>
        <v/>
      </c>
      <c r="HD10" s="92" t="str">
        <f aca="false">IFERROR(INDEX(Tasks[UID],SMALL(Tasks[_PickKey],Tasks[[#This Row],[_Row]]))&amp;" "&amp;INDEX(Tasks[Task Name],SMALL(Tasks[_PickKey],Tasks[[#This Row],[_Row]])),"")</f>
        <v>8 UX wireframes &amp; prototype</v>
      </c>
      <c r="HE10" s="43" t="n">
        <f aca="false">IF(Tasks[[#This Row],[Task Name]]="","",IF(Tasks[[#This Row],[_IsSummary]],NETWORKDAYS.INTL(Tasks[[#This Row],[Start]],Tasks[[#This Row],[Finish]],WorkWeek,Holidays),N(Tasks[[#This Row],[_Days]])))</f>
        <v>16</v>
      </c>
      <c r="HF10" s="43" t="n">
        <f aca="false">IF(Tasks[[#This Row],[Expected]]="",0,((Tasks[[#This Row],[Pessimistic]]-Tasks[[#This Row],[Optimistic]])/6)^2)</f>
        <v>0</v>
      </c>
      <c r="HG10" s="43" t="n">
        <f aca="false">IF(Tasks[[#This Row],[Expected]]="",0,Tasks[[#This Row],[Expected]]-N(Tasks[[#This Row],[_Days]]))</f>
        <v>0</v>
      </c>
    </row>
    <row r="11" customFormat="false" ht="15" hidden="false" customHeight="false" outlineLevel="1" collapsed="false">
      <c r="A11" s="21" t="n">
        <f aca="false">IF(Tasks[[#This Row],[Task Name]]="","",COUNTA(Tasks[[#Headers],[Task Name]]:Tasks[[#This Row],[Task Name]])-1)</f>
        <v>6</v>
      </c>
      <c r="B11" s="22" t="n">
        <v>6</v>
      </c>
      <c r="C11" s="22" t="n">
        <v>2</v>
      </c>
      <c r="D11" s="93" t="s">
        <v>649</v>
      </c>
      <c r="E11" s="22" t="n">
        <v>8</v>
      </c>
      <c r="F11" s="23" t="n">
        <v>4</v>
      </c>
      <c r="G11" s="22"/>
      <c r="H11" s="22"/>
      <c r="I11" s="23"/>
      <c r="J11" s="22"/>
      <c r="K11" s="22"/>
      <c r="L11" s="23"/>
      <c r="M11" s="22"/>
      <c r="N11" s="22"/>
      <c r="O11" s="23"/>
      <c r="P11" s="22"/>
      <c r="Q11" s="22"/>
      <c r="R11" s="23"/>
      <c r="S11" s="23" t="s">
        <v>643</v>
      </c>
      <c r="T11" s="84"/>
      <c r="U11" s="23"/>
      <c r="V11" s="84"/>
      <c r="W11" s="23"/>
      <c r="X11" s="84"/>
      <c r="Y11" s="23"/>
      <c r="Z11" s="84"/>
      <c r="AA11" s="23"/>
      <c r="AB11" s="23" t="s">
        <v>150</v>
      </c>
      <c r="AC11" s="7" t="n">
        <v>46280</v>
      </c>
      <c r="AD11" s="7" t="n">
        <v>46290</v>
      </c>
      <c r="AE11" s="63" t="n">
        <f aca="false">IF(Tasks[[#This Row],[Task Name]]="","",IF(Tasks[[#This Row],[_IsSummary]],MIN(INDEX(Tasks[_ShownFcstStart],Tasks[[#This Row],[_Row]]+1):INDEX(Tasks[_ShownFcstStart],Tasks[[#This Row],[_Row]]+Tasks[[#This Row],[_Descendants]])),Tasks[[#This Row],[_ShownFcstStart]]))</f>
        <v>46280</v>
      </c>
      <c r="AF11" s="63" t="n">
        <f aca="false">IF(Tasks[[#This Row],[Task Name]]="","",IF(Tasks[[#This Row],[_IsSummary]],MAX(INDEX(Tasks[_ShownFcstFinish],Tasks[[#This Row],[_Row]]+1):INDEX(Tasks[_ShownFcstFinish],Tasks[[#This Row],[_Row]]+Tasks[[#This Row],[_Descendants]])),Tasks[[#This Row],[_ShownFcstFinish]]))</f>
        <v>46290</v>
      </c>
      <c r="AG11" s="21" t="str">
        <f aca="false">""</f>
        <v/>
      </c>
      <c r="AH11" s="23"/>
      <c r="AI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 s="7"/>
      <c r="AK11" s="22" t="s">
        <v>248</v>
      </c>
      <c r="AL11" s="23"/>
      <c r="AM11" s="7"/>
      <c r="AN11" s="47" t="n">
        <f aca="false">IF(Tasks[[#This Row],[Task Name]]="","",IF(Tasks[[#This Row],[Finish]]&gt;=Tasks[[#This Row],[Planned Finish]],NETWORKDAYS.INTL(Tasks[[#This Row],[Planned Finish]],Tasks[[#This Row],[Finish]],WorkWeek,Holidays)-1,1-NETWORKDAYS.INTL(Tasks[[#This Row],[Finish]],Tasks[[#This Row],[Planned Finish]],WorkWeek,Holidays)))</f>
        <v>2</v>
      </c>
      <c r="AO11" s="21" t="str">
        <f aca="false">IF(Tasks[[#This Row],[Task Name]]="","",IF(Tasks[[#This Row],[Progress]]&gt;=1,"Complete",IF(OR(N(Tasks[[#This Row],[Actual Start]])&gt;0,Tasks[[#This Row],[Progress]]&gt;0),IF(Tasks[[#This Row],[Finish Var]]&gt;0,"Behind","In Progress"),IF(Tasks[[#This Row],[Planned Start]]&lt;StatusDate,"Late Start","Not Started"))))</f>
        <v>Complete</v>
      </c>
      <c r="AP11" s="21" t="str">
        <f aca="false">IF(Tasks[[#This Row],[Task Name]]="","",IF(IF(Tasks[[#This Row],[_IsSummary]],COUNTIF(INDEX(Tasks[_LeafCritical],Tasks[[#This Row],[_Row]]+1):INDEX(Tasks[_LeafCritical],Tasks[[#This Row],[_Row]]+Tasks[[#This Row],[_Descendants]]),TRUE())&gt;0,Tasks[[#This Row],[_LeafCritical]]),"Yes",""))</f>
        <v/>
      </c>
      <c r="AQ11" s="63" t="n">
        <f aca="false">IF(Tasks[[#This Row],[Task Name]]="","",IF(N(Tasks[[#This Row],[Baseline Start]])&gt;0,Tasks[[#This Row],[Baseline Start]],Tasks[[#This Row],[_CalcStart]]))</f>
        <v>46279</v>
      </c>
      <c r="AR11" s="63" t="n">
        <f aca="false">IF(Tasks[[#This Row],[Task Name]]="","",IF(N(Tasks[[#This Row],[Baseline Finish]])&gt;0,Tasks[[#This Row],[Baseline Finish]],Tasks[[#This Row],[_CalcFinish]]))</f>
        <v>46288</v>
      </c>
      <c r="AS11" s="47" t="n">
        <f aca="false">IF(Tasks[[#This Row],[Task Name]]="","",IF(Tasks[[#This Row],[Start]]&gt;=Tasks[[#This Row],[Planned Start]],NETWORKDAYS.INTL(Tasks[[#This Row],[Planned Start]],Tasks[[#This Row],[Start]],WorkWeek,Holidays)-1,1-NETWORKDAYS.INTL(Tasks[[#This Row],[Start]],Tasks[[#This Row],[Planned Start]],WorkWeek,Holidays)))</f>
        <v>1</v>
      </c>
      <c r="AT11" s="63" t="n">
        <f aca="false">IF(Tasks[[#This Row],[Task Name]]="","",IF(Tasks[[#This Row],[_IsSummary]],MIN(INDEX(Tasks[_LeafLateStart],Tasks[[#This Row],[_Row]]+1):INDEX(Tasks[_LeafLateStart],Tasks[[#This Row],[_Row]]+Tasks[[#This Row],[_Descendants]])),Tasks[[#This Row],[_LeafLateStart]]))</f>
        <v>46283</v>
      </c>
      <c r="AU11" s="63" t="n">
        <f aca="false">IF(Tasks[[#This Row],[Task Name]]="","",IF(Tasks[[#This Row],[_IsSummary]],MAX(INDEX(Tasks[_LeafLateFinish],Tasks[[#This Row],[_Row]]+1):INDEX(Tasks[_LeafLateFinish],Tasks[[#This Row],[_Row]]+Tasks[[#This Row],[_Descendants]])),Tasks[[#This Row],[_LeafLateFinish]]))</f>
        <v>46294</v>
      </c>
      <c r="AV11" s="47" t="n">
        <f aca="false">IF(Tasks[[#This Row],[Task Name]]="","",IF(Tasks[[#This Row],[_IsSummary]],MIN(INDEX(Tasks[_LeafTotalSlack],Tasks[[#This Row],[_Row]]+1):INDEX(Tasks[_LeafTotalSlack],Tasks[[#This Row],[_Row]]+Tasks[[#This Row],[_Descendants]])),Tasks[[#This Row],[_LeafTotalSlack]]))</f>
        <v>2</v>
      </c>
      <c r="AW11"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5"/>
      <c r="BA11"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4</v>
      </c>
      <c r="BC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BD11" s="21" t="str">
        <f aca="false">IF(Tasks[[#This Row],[Task Name]]="","",IF(Tasks[[#This Row],[_Level]]&lt;=OutlineShowLevel,"Yes","No"))</f>
        <v>Yes</v>
      </c>
      <c r="BE11" s="86" t="n">
        <f aca="false">IF(Tasks[[#This Row],[Task Name]]="","",IF(Tasks[[#This Row],[_IsSummary]],SUM(INDEX(Tasks[_LeafTotalWork],Tasks[[#This Row],[_Row]]+1):INDEX(Tasks[_LeafTotalWork],Tasks[[#This Row],[_Row]]+Tasks[[#This Row],[_Descendants]])),Tasks[[#This Row],[_LeafTotalWork]]))</f>
        <v>64</v>
      </c>
      <c r="BF11" s="23"/>
      <c r="BG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11" s="21" t="str">
        <f aca="false">""</f>
        <v/>
      </c>
      <c r="BI11" s="87"/>
      <c r="BJ11" s="22"/>
      <c r="BK11" s="47" t="n">
        <f aca="false">IF(OR(Tasks[[#This Row],[Task Name]]="",Tasks[[#This Row],[Baseline Duration]]=""),"",Tasks[[#This Row],[_SpanDays]]-N(Tasks[[#This Row],[Baseline Duration]]))</f>
        <v>0</v>
      </c>
      <c r="BL11" s="86" t="n">
        <f aca="false">IF(OR(Tasks[[#This Row],[Task Name]]="",Tasks[[#This Row],[Baseline Work]]=""),"",Tasks[[#This Row],[Work]]-N(Tasks[[#This Row],[Baseline Work]]))</f>
        <v>0</v>
      </c>
      <c r="BM11" s="63" t="n">
        <f aca="false">IF(Tasks[[#This Row],[Task Name]]="","",IF(OR(TakeBaseline="Yes",N(Tasks[[#This Row],[Baseline Start]])=0),Tasks[[#This Row],[Start]],Tasks[[#This Row],[Baseline Start]]))</f>
        <v>46279</v>
      </c>
      <c r="BN11" s="63" t="n">
        <f aca="false">IF(Tasks[[#This Row],[Task Name]]="","",IF(OR(TakeBaseline="Yes",N(Tasks[[#This Row],[Baseline Finish]])=0),Tasks[[#This Row],[Finish]],Tasks[[#This Row],[Baseline Finish]]))</f>
        <v>46288</v>
      </c>
      <c r="BO11" s="21" t="n">
        <f aca="false">IF(Tasks[[#This Row],[Task Name]]="","",IF(OR(TakeBaseline="Yes",N(Tasks[[#This Row],[Baseline Duration]])=0),Tasks[[#This Row],[_SpanDays]],Tasks[[#This Row],[Baseline Duration]]))</f>
        <v>8</v>
      </c>
      <c r="BP11" s="86" t="n">
        <f aca="false">IF(Tasks[[#This Row],[Task Name]]="","",IF(OR(TakeBaseline="Yes",N(Tasks[[#This Row],[Baseline Work]])=0),Tasks[[#This Row],[Work]],Tasks[[#This Row],[Baseline Work]]))</f>
        <v>64</v>
      </c>
      <c r="BQ11" s="7" t="n">
        <v>46279</v>
      </c>
      <c r="BR11" s="7" t="n">
        <v>46288</v>
      </c>
      <c r="BS11" s="22" t="n">
        <v>8</v>
      </c>
      <c r="BT11" s="88" t="n">
        <v>64</v>
      </c>
      <c r="BU11" s="23"/>
      <c r="BV11" s="23"/>
      <c r="BW11" s="23"/>
      <c r="BX11" s="89" t="str">
        <f aca="false">IF(AND(Tasks[[#This Row],[_IsLeaf]]=1,ISNUMBER(Tasks[[#This Row],[Optimistic]]),ISNUMBER(Tasks[[#This Row],[Pessimistic]])),ROUND((Tasks[[#This Row],[Optimistic]]+4*N(Tasks[[#This Row],[_Days]])+Tasks[[#This Row],[Pessimistic]])/6,1),"")</f>
        <v/>
      </c>
      <c r="BY11" s="87"/>
      <c r="BZ11" s="87"/>
      <c r="CA11" s="22"/>
      <c r="CB11" s="43" t="n">
        <f aca="false">IF(Tasks[[#This Row],[Task Name]]="","",MAX(1,N(Tasks[[#This Row],[Level]])))</f>
        <v>2</v>
      </c>
      <c r="CC11" s="43" t="n">
        <f aca="false">ROW()-ROW(Tasks[[#Headers],[ID]])</f>
        <v>6</v>
      </c>
      <c r="CD11" s="43" t="n">
        <f aca="false">IF(OR(Tasks[[#This Row],[Task Name]]="",Tasks[[#This Row],[_Level]]&lt;=1),0,IFERROR(LOOKUP(2,1/(Tasks[[#Headers],[_Level]]:Tasks[[#This Row],[_Level]]=Tasks[[#This Row],[_Level]]-1),ROW(Tasks[[#Headers],[_Level]]:Tasks[[#This Row],[_Level]])),0))</f>
        <v>10</v>
      </c>
      <c r="CE11" s="43" t="n">
        <f aca="false">IFERROR(N(INDEX(Tasks[_Level],Tasks[[#This Row],[_Row]]+1)),0)</f>
        <v>2</v>
      </c>
      <c r="CF11" s="90" t="b">
        <f aca="false">AND(Tasks[[#This Row],[Task Name]]&lt;&gt;"",Tasks[[#This Row],[_NextLevel]]&gt;Tasks[[#This Row],[_Level]])</f>
        <v>0</v>
      </c>
      <c r="CG11" s="43" t="n">
        <f aca="false">IF(Tasks[[#This Row],[_IsSummary]],COUNTIF(Tasks[WBS],Tasks[[#This Row],[WBS]]&amp;".*"),0)</f>
        <v>0</v>
      </c>
      <c r="CH11" s="43" t="n">
        <f aca="false">IF(AND(Tasks[[#This Row],[Task Name]]&lt;&gt;"",NOT(Tasks[[#This Row],[_IsSummary]])),1,0)</f>
        <v>1</v>
      </c>
      <c r="CI11" s="43" t="n">
        <f aca="false">IF(N(Tasks[[#This Row],[_Pred1UID]])=0,0,IFERROR(MATCH(Tasks[[#This Row],[_Pred1UID]],Tasks[UID],0),-1))</f>
        <v>4</v>
      </c>
      <c r="CJ11" s="43" t="n">
        <f aca="false">IF(N(Tasks[[#This Row],[_Pred2UID]])=0,0,IFERROR(MATCH(Tasks[[#This Row],[_Pred2UID]],Tasks[UID],0),-1))</f>
        <v>0</v>
      </c>
      <c r="CK11" s="43" t="n">
        <f aca="false">IF(N(Tasks[[#This Row],[_Pred3UID]])=0,0,IFERROR(MATCH(Tasks[[#This Row],[_Pred3UID]],Tasks[UID],0),-1))</f>
        <v>0</v>
      </c>
      <c r="CL11" s="43" t="n">
        <f aca="false">IF(N(Tasks[[#This Row],[_Pred4UID]])=0,0,IFERROR(MATCH(Tasks[[#This Row],[_Pred4UID]],Tasks[UID],0),-1))</f>
        <v>0</v>
      </c>
      <c r="CM11"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 s="91" t="n">
        <f aca="false">IF(OR(Tasks[[#This Row],[_ConstraintCode]]=2,Tasks[[#This Row],[_ConstraintCode]]=3,Tasks[[#This Row],[_ConstraintCode]]=4,Tasks[[#This Row],[_ConstraintCode]]=6),Tasks[[#This Row],[_ConstraintStart]],0)</f>
        <v>0</v>
      </c>
      <c r="CP11" s="91" t="n">
        <f aca="false">IF(OR(Tasks[[#This Row],[_ConstraintCode]]=2,Tasks[[#This Row],[_ConstraintCode]]=3,Tasks[[#This Row],[_ConstraintCode]]=5,Tasks[[#This Row],[_ConstraintCode]]=7),Tasks[[#This Row],[_ConstraintStart]],2958465)</f>
        <v>2958465</v>
      </c>
      <c r="CQ11"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CR11" s="91" t="n">
        <f aca="false">IF(NOT(Tasks[[#This Row],[_IsLeaf]]=1),"",IF(N(Tasks[[#This Row],[_Days]])&lt;=0,Tasks[[#This Row],[_LeafCalcStart]],WORKDAY.INTL(Tasks[[#This Row],[_LeafCalcStart]],Tasks[[#This Row],[_Days]]-1,WorkWeek,Holidays)))</f>
        <v>46288</v>
      </c>
      <c r="CS11"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CT11"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46290</v>
      </c>
      <c r="CU11" s="43" t="str">
        <f aca="false">IF(Tasks[[#This Row],[_Predecessors]]="","",TRIM(MID(SUBSTITUTE(SUBSTITUTE(SUBSTITUTE(UPPER(Tasks[[#This Row],[_Predecessors]]),";",",")," ",""),",",REPT(" ",99)),1,99)))</f>
        <v>4</v>
      </c>
      <c r="CV11" s="43" t="n">
        <f aca="false">IF(Tasks[[#This Row],[_Pred1Text]]="","",IFERROR(VALUE(LEFT(Tasks[[#This Row],[_Pred1Text]],MIN(FIND("F",Tasks[[#This Row],[_Pred1Text]]&amp;"F"),FIND("S",Tasks[[#This Row],[_Pred1Text]]&amp;"S"),FIND("+",Tasks[[#This Row],[_Pred1Text]]&amp;"+"),FIND("-",Tasks[[#This Row],[_Pred1Text]]&amp;"-"))-1)),""))</f>
        <v>4</v>
      </c>
      <c r="CW1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1"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1" s="43" t="str">
        <f aca="false">IF(Tasks[[#This Row],[_Pred1Text]]="","",TRIM(MID(SUBSTITUTE(SUBSTITUTE(SUBSTITUTE(UPPER(Tasks[[#This Row],[_Predecessors]]),";",",")," ",""),",",REPT(" ",99)),100,99)))</f>
        <v/>
      </c>
      <c r="CZ11" s="43" t="str">
        <f aca="false">IF(Tasks[[#This Row],[_Pred2Text]]="","",IFERROR(VALUE(LEFT(Tasks[[#This Row],[_Pred2Text]],MIN(FIND("F",Tasks[[#This Row],[_Pred2Text]]&amp;"F"),FIND("S",Tasks[[#This Row],[_Pred2Text]]&amp;"S"),FIND("+",Tasks[[#This Row],[_Pred2Text]]&amp;"+"),FIND("-",Tasks[[#This Row],[_Pred2Text]]&amp;"-"))-1)),""))</f>
        <v/>
      </c>
      <c r="DA1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 s="43" t="str">
        <f aca="false">IF(Tasks[[#This Row],[_Pred2Text]]="","",TRIM(MID(SUBSTITUTE(SUBSTITUTE(SUBSTITUTE(UPPER(Tasks[[#This Row],[_Predecessors]]),";",",")," ",""),",",REPT(" ",99)),199,99)))</f>
        <v/>
      </c>
      <c r="DD11" s="43" t="str">
        <f aca="false">IF(Tasks[[#This Row],[_Pred3Text]]="","",IFERROR(VALUE(LEFT(Tasks[[#This Row],[_Pred3Text]],MIN(FIND("F",Tasks[[#This Row],[_Pred3Text]]&amp;"F"),FIND("S",Tasks[[#This Row],[_Pred3Text]]&amp;"S"),FIND("+",Tasks[[#This Row],[_Pred3Text]]&amp;"+"),FIND("-",Tasks[[#This Row],[_Pred3Text]]&amp;"-"))-1)),""))</f>
        <v/>
      </c>
      <c r="DE1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 s="43" t="str">
        <f aca="false">IF(Tasks[[#This Row],[_Pred3Text]]="","",TRIM(MID(SUBSTITUTE(SUBSTITUTE(SUBSTITUTE(UPPER(Tasks[[#This Row],[_Predecessors]]),";",",")," ",""),",",REPT(" ",99)),298,99)))</f>
        <v/>
      </c>
      <c r="DH11" s="43" t="str">
        <f aca="false">IF(Tasks[[#This Row],[_Pred4Text]]="","",IFERROR(VALUE(LEFT(Tasks[[#This Row],[_Pred4Text]],MIN(FIND("F",Tasks[[#This Row],[_Pred4Text]]&amp;"F"),FIND("S",Tasks[[#This Row],[_Pred4Text]]&amp;"S"),FIND("+",Tasks[[#This Row],[_Pred4Text]]&amp;"+"),FIND("-",Tasks[[#This Row],[_Pred4Text]]&amp;"-"))-1)),""))</f>
        <v/>
      </c>
      <c r="DI1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 s="43" t="str">
        <f aca="false">IF(OR(Tasks[[#This Row],[Task Name]]="",Tasks[[#This Row],[_Resources]]=""),"",TRIM(MID(SUBSTITUTE(Tasks[[#This Row],[_Resources]],",",REPT(" ",99)),1,99)))</f>
        <v>Morgan Patel</v>
      </c>
      <c r="DL11" s="43" t="str">
        <f aca="false">IF(Tasks[[#This Row],[_Res1Text]]="","",TRIM(MID(SUBSTITUTE(Tasks[[#This Row],[_Resources]],",",REPT(" ",99)),100,99)))</f>
        <v/>
      </c>
      <c r="DM11" s="43" t="str">
        <f aca="false">IF(Tasks[[#This Row],[_Res2Text]]="","",TRIM(MID(SUBSTITUTE(Tasks[[#This Row],[_Resources]],",",REPT(" ",99)),199,99)))</f>
        <v/>
      </c>
      <c r="DN11" s="43" t="str">
        <f aca="false">IF(Tasks[[#This Row],[_Res3Text]]="","",TRIM(MID(SUBSTITUTE(Tasks[[#This Row],[_Resources]],",",REPT(" ",99)),298,99)))</f>
        <v/>
      </c>
      <c r="DO11" s="43" t="n">
        <f aca="false">IF(Tasks[[#This Row],[_Res1Text]]="",0,IFERROR(MATCH(TRIM(LEFT(Tasks[[#This Row],[_Res1Text]],FIND("[",Tasks[[#This Row],[_Res1Text]]&amp;"[")-1)),res_Name,0),IFERROR(MATCH(TRIM(LEFT(Tasks[[#This Row],[_Res1Text]],FIND("[",Tasks[[#This Row],[_Res1Text]]&amp;"[")-1)),res_Initials,0),0)))</f>
        <v>2</v>
      </c>
      <c r="DP11" s="43" t="n">
        <f aca="false">IF(Tasks[[#This Row],[_Res2Text]]="",0,IFERROR(MATCH(TRIM(LEFT(Tasks[[#This Row],[_Res2Text]],FIND("[",Tasks[[#This Row],[_Res2Text]]&amp;"[")-1)),res_Name,0),IFERROR(MATCH(TRIM(LEFT(Tasks[[#This Row],[_Res2Text]],FIND("[",Tasks[[#This Row],[_Res2Text]]&amp;"[")-1)),res_Initials,0),0)))</f>
        <v>0</v>
      </c>
      <c r="DQ11" s="43" t="n">
        <f aca="false">IF(Tasks[[#This Row],[_Res3Text]]="",0,IFERROR(MATCH(TRIM(LEFT(Tasks[[#This Row],[_Res3Text]],FIND("[",Tasks[[#This Row],[_Res3Text]]&amp;"[")-1)),res_Name,0),IFERROR(MATCH(TRIM(LEFT(Tasks[[#This Row],[_Res3Text]],FIND("[",Tasks[[#This Row],[_Res3Text]]&amp;"[")-1)),res_Initials,0),0)))</f>
        <v>0</v>
      </c>
      <c r="DR11" s="43" t="n">
        <f aca="false">IF(Tasks[[#This Row],[_Res4Text]]="",0,IFERROR(MATCH(TRIM(LEFT(Tasks[[#This Row],[_Res4Text]],FIND("[",Tasks[[#This Row],[_Res4Text]]&amp;"[")-1)),res_Name,0),IFERROR(MATCH(TRIM(LEFT(Tasks[[#This Row],[_Res4Text]],FIND("[",Tasks[[#This Row],[_Res4Text]]&amp;"[")-1)),res_Initials,0),0)))</f>
        <v>0</v>
      </c>
      <c r="DS11" s="43" t="str">
        <f aca="false">IF(Tasks[[#This Row],[_Res1Text]]="","",IF(Tasks[[#This Row],[_Res1Row]]&gt;0,INDEX(res_Name,Tasks[[#This Row],[_Res1Row]]),TRIM(LEFT(Tasks[[#This Row],[_Res1Text]],FIND("[",Tasks[[#This Row],[_Res1Text]]&amp;"[")-1))))</f>
        <v>Morgan Patel</v>
      </c>
      <c r="DT1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 s="43" t="n">
        <f aca="false">IF(NOT(Tasks[[#This Row],[_IsLeaf]]=1),0,(Tasks[[#This Row],[_Resource1]]&lt;&gt;"")+(Tasks[[#This Row],[_Res2]]&lt;&gt;"")+(Tasks[[#This Row],[_Res3]]&lt;&gt;"")+(Tasks[[#This Row],[_Res4]]&lt;&gt;""))</f>
        <v>1</v>
      </c>
      <c r="DV11" s="43" t="str">
        <f aca="false">IF(Tasks[[#This Row],[_Res2Text]]="","",IF(Tasks[[#This Row],[_Res2Row]]&gt;0,INDEX(res_Name,Tasks[[#This Row],[_Res2Row]]),TRIM(LEFT(Tasks[[#This Row],[_Res2Text]],FIND("[",Tasks[[#This Row],[_Res2Text]]&amp;"[")-1))))</f>
        <v/>
      </c>
      <c r="DW1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 s="43" t="n">
        <f aca="false">IF(OR(NOT(Tasks[[#This Row],[_IsLeaf]]=1),Tasks[[#This Row],[_Res2Row]]=0),0,N(Tasks[[#This Row],[_Days]])*HoursPerDay*IF(Tasks[[#This Row],[_Res2Units]]="",DefaultUnits,Tasks[[#This Row],[_Res2Units]]))</f>
        <v>0</v>
      </c>
      <c r="DY11" s="43" t="n">
        <f aca="false">IF(AND(AND(Tasks[[#This Row],[_IsLeaf]]=1,Tasks[[#This Row],[_LeafTotalWork]]&gt;0),Tasks[[#This Row],[_Res2Work]]&gt;0),Tasks[[#This Row],[_Res2Work]]/(Tasks[[#This Row],[_FinishWorkday]]-Tasks[[#This Row],[_StartWorkday]]+1),0)</f>
        <v>0</v>
      </c>
      <c r="DZ11" s="43" t="n">
        <f aca="false">Tasks[[#This Row],[_Res2WorkPerWD]]*MAX(0,Tasks[[#This Row],[_StartWorkday]]-1)</f>
        <v>0</v>
      </c>
      <c r="EA11" s="43" t="n">
        <f aca="false">Tasks[[#This Row],[_Res2Work]]*Tasks[[#This Row],[_LeafProgress]]</f>
        <v>0</v>
      </c>
      <c r="EB11" s="43" t="str">
        <f aca="false">IF(Tasks[[#This Row],[_Res3Text]]="","",IF(Tasks[[#This Row],[_Res3Row]]&gt;0,INDEX(res_Name,Tasks[[#This Row],[_Res3Row]]),TRIM(LEFT(Tasks[[#This Row],[_Res3Text]],FIND("[",Tasks[[#This Row],[_Res3Text]]&amp;"[")-1))))</f>
        <v/>
      </c>
      <c r="EC1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 s="43" t="n">
        <f aca="false">IF(OR(NOT(Tasks[[#This Row],[_IsLeaf]]=1),Tasks[[#This Row],[_Res3Row]]=0),0,N(Tasks[[#This Row],[_Days]])*HoursPerDay*IF(Tasks[[#This Row],[_Res3Units]]="",DefaultUnits,Tasks[[#This Row],[_Res3Units]]))</f>
        <v>0</v>
      </c>
      <c r="EE11" s="43" t="n">
        <f aca="false">IF(AND(AND(Tasks[[#This Row],[_IsLeaf]]=1,Tasks[[#This Row],[_LeafTotalWork]]&gt;0),Tasks[[#This Row],[_Res3Work]]&gt;0),Tasks[[#This Row],[_Res3Work]]/(Tasks[[#This Row],[_FinishWorkday]]-Tasks[[#This Row],[_StartWorkday]]+1),0)</f>
        <v>0</v>
      </c>
      <c r="EF11" s="43" t="n">
        <f aca="false">Tasks[[#This Row],[_Res3WorkPerWD]]*MAX(0,Tasks[[#This Row],[_StartWorkday]]-1)</f>
        <v>0</v>
      </c>
      <c r="EG11" s="43" t="n">
        <f aca="false">Tasks[[#This Row],[_Res3Work]]*Tasks[[#This Row],[_LeafProgress]]</f>
        <v>0</v>
      </c>
      <c r="EH11" s="43" t="str">
        <f aca="false">IF(Tasks[[#This Row],[_Res4Text]]="","",IF(Tasks[[#This Row],[_Res4Row]]&gt;0,INDEX(res_Name,Tasks[[#This Row],[_Res4Row]]),TRIM(LEFT(Tasks[[#This Row],[_Res4Text]],FIND("[",Tasks[[#This Row],[_Res4Text]]&amp;"[")-1))))</f>
        <v/>
      </c>
      <c r="EI1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 s="43" t="n">
        <f aca="false">IF(OR(NOT(Tasks[[#This Row],[_IsLeaf]]=1),Tasks[[#This Row],[_Res4Row]]=0),0,N(Tasks[[#This Row],[_Days]])*HoursPerDay*IF(Tasks[[#This Row],[_Res4Units]]="",DefaultUnits,Tasks[[#This Row],[_Res4Units]]))</f>
        <v>0</v>
      </c>
      <c r="EK11" s="43" t="n">
        <f aca="false">IF(AND(AND(Tasks[[#This Row],[_IsLeaf]]=1,Tasks[[#This Row],[_LeafTotalWork]]&gt;0),Tasks[[#This Row],[_Res4Work]]&gt;0),Tasks[[#This Row],[_Res4Work]]/(Tasks[[#This Row],[_FinishWorkday]]-Tasks[[#This Row],[_StartWorkday]]+1),0)</f>
        <v>0</v>
      </c>
      <c r="EL11" s="43" t="n">
        <f aca="false">Tasks[[#This Row],[_Res4WorkPerWD]]*MAX(0,Tasks[[#This Row],[_StartWorkday]]-1)</f>
        <v>0</v>
      </c>
      <c r="EM11" s="43" t="n">
        <f aca="false">Tasks[[#This Row],[_Res4Work]]*Tasks[[#This Row],[_LeafProgress]]</f>
        <v>0</v>
      </c>
      <c r="EN11" s="94" t="n">
        <f aca="false">IF(ISNUMBER(Tasks[[#This Row],[% Complete]]),Tasks[[#This Row],[% Complete]],IF(Tasks[[#This Row],[Stage]]="",0,IFERROR(INDEX(stg_Pct,MATCH(Tasks[[#This Row],[Stage]],stg_Name,0)),0)))</f>
        <v>1</v>
      </c>
      <c r="EO11" s="43" t="n">
        <f aca="false">IF(NOT(Tasks[[#This Row],[_IsLeaf]]=1),0,IF(N(Tasks[[#This Row],[Actual Finish]])&gt;0,1,MIN(1,Tasks[[#This Row],[_Pct]])))</f>
        <v>1</v>
      </c>
      <c r="EP11" s="43" t="n">
        <f aca="false">IF(OR(NOT(Tasks[[#This Row],[_IsLeaf]]=1),Tasks[[#This Row],[_Res1Row]]=0),0,N(Tasks[[#This Row],[_Days]])*HoursPerDay*IF(Tasks[[#This Row],[_Units1]]="",DefaultUnits,Tasks[[#This Row],[_Units1]]))</f>
        <v>64</v>
      </c>
      <c r="EQ11" s="43" t="n">
        <f aca="false">Tasks[[#This Row],[_LeafWork]]+Tasks[[#This Row],[_Res2Work]]+Tasks[[#This Row],[_Res3Work]]+Tasks[[#This Row],[_Res4Work]]</f>
        <v>64</v>
      </c>
      <c r="ER11"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S1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 s="43" t="n">
        <f aca="false">IF(NOT(Tasks[[#This Row],[_IsLeaf]]=1),0,MAX(_xlfn.MAXIFS(Tasks[_Row],Tasks[_Pred1UID],Tasks[[#This Row],[UID]]),_xlfn.MAXIFS(Tasks[_Row],Tasks[_Pred2UID],Tasks[[#This Row],[UID]]),_xlfn.MAXIFS(Tasks[_Row],Tasks[_Pred3UID],Tasks[[#This Row],[UID]]),_xlfn.MAXIFS(Tasks[_Row],Tasks[_Pred4UID],Tasks[[#This Row],[UID]])))</f>
        <v>7</v>
      </c>
      <c r="FA11"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46294</v>
      </c>
      <c r="FB11"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46294</v>
      </c>
      <c r="FC11" s="91" t="n">
        <f aca="false">IF(NOT(Tasks[[#This Row],[_IsLeaf]]=1),"",IF(N(Tasks[[#This Row],[_Days]])&lt;=0,Tasks[[#This Row],[_LeafLateFinish]],WORKDAY.INTL(Tasks[[#This Row],[_LeafLateFinish]],-(Tasks[[#This Row],[_Days]]-1),WorkWeek,Holidays)))</f>
        <v>46283</v>
      </c>
      <c r="FD11"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FE11" s="90" t="b">
        <f aca="false">AND(Tasks[[#This Row],[_IsLeaf]]=1,Tasks[[#This Row],[_LeafProgress]]&lt;1,N(Tasks[[#This Row],[_LeafTotalSlack]])&lt;=CriticalSlackDays)</f>
        <v>0</v>
      </c>
      <c r="FF11" s="43" t="n">
        <f aca="false">IF(AND(Tasks[[#This Row],[_IsLeaf]]=1,Tasks[[#This Row],[_ConstraintCode]]=1,Tasks[[#This Row],[Mode]]&lt;&gt;"Manual",N(Tasks[[#This Row],[Actual Start]])=0),MAX(0,N(Tasks[[#This Row],[Free Slack]])),0)</f>
        <v>0</v>
      </c>
      <c r="FG11" s="91" t="n">
        <f aca="false">IF(NOT(Tasks[[#This Row],[_IsLeaf]]=1),"",IF(Tasks[[#This Row],[_AlapShift]]=0,Tasks[[#This Row],[_LeafCalcStart]],WORKDAY.INTL(Tasks[[#This Row],[_LeafCalcStart]],Tasks[[#This Row],[_AlapShift]],WorkWeek,Holidays)))</f>
        <v>46279</v>
      </c>
      <c r="FH11" s="91" t="n">
        <f aca="false">IF(NOT(Tasks[[#This Row],[_IsLeaf]]=1),"",IF(Tasks[[#This Row],[_AlapShift]]=0,Tasks[[#This Row],[_LeafCalcFinish]],WORKDAY.INTL(Tasks[[#This Row],[_LeafCalcFinish]],Tasks[[#This Row],[_AlapShift]],WorkWeek,Holidays)))</f>
        <v>46288</v>
      </c>
      <c r="FI11" s="91" t="n">
        <f aca="false">IF(NOT(Tasks[[#This Row],[_IsLeaf]]=1),"",IF(Tasks[[#This Row],[_AlapShift]]=0,Tasks[[#This Row],[_LeafFcstStart]],WORKDAY.INTL(Tasks[[#This Row],[_LeafFcstStart]],Tasks[[#This Row],[_AlapShift]],WorkWeek,Holidays)))</f>
        <v>46280</v>
      </c>
      <c r="FJ11" s="91" t="n">
        <f aca="false">IF(NOT(Tasks[[#This Row],[_IsLeaf]]=1),"",IF(Tasks[[#This Row],[_AlapShift]]=0,Tasks[[#This Row],[_LeafFcstFinish]],WORKDAY.INTL(Tasks[[#This Row],[_LeafFcstFinish]],Tasks[[#This Row],[_AlapShift]],WorkWeek,Holidays)))</f>
        <v>46290</v>
      </c>
      <c r="FK11" s="91" t="n">
        <f aca="false">IF(Tasks[[#This Row],[Task Name]]="","",IF(Tasks[[#This Row],[_IsSummary]],MIN(INDEX(Tasks[_ShownCalcStart],Tasks[[#This Row],[_Row]]+1):INDEX(Tasks[_ShownCalcStart],Tasks[[#This Row],[_Row]]+Tasks[[#This Row],[_Descendants]])),Tasks[[#This Row],[_ShownCalcStart]]))</f>
        <v>46279</v>
      </c>
      <c r="FL11" s="91" t="n">
        <f aca="false">IF(Tasks[[#This Row],[Task Name]]="","",IF(Tasks[[#This Row],[_IsSummary]],MAX(INDEX(Tasks[_ShownCalcFinish],Tasks[[#This Row],[_Row]]+1):INDEX(Tasks[_ShownCalcFinish],Tasks[[#This Row],[_Row]]+Tasks[[#This Row],[_Descendants]])),Tasks[[#This Row],[_ShownCalcFinish]]))</f>
        <v>46288</v>
      </c>
      <c r="FM1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46279</v>
      </c>
      <c r="FR1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46280</v>
      </c>
      <c r="FV1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 s="43" t="n">
        <f aca="false">IF(AND(Tasks[[#This Row],[_IsLeaf]]=1,Tasks[[#This Row],[_LeafTotalWork]]&gt;0),NETWORKDAYS.INTL(ProjectStart,Tasks[[#This Row],[_ShownFcstStart]],WorkWeek,Holidays),0)</f>
        <v>7</v>
      </c>
      <c r="FZ11" s="43" t="n">
        <f aca="false">IF(AND(Tasks[[#This Row],[_IsLeaf]]=1,Tasks[[#This Row],[_LeafTotalWork]]&gt;0),MAX(Tasks[[#This Row],[_StartWorkday]],NETWORKDAYS.INTL(ProjectStart,Tasks[[#This Row],[_ShownFcstFinish]],WorkWeek,Holidays)),0)</f>
        <v>15</v>
      </c>
      <c r="GA11" s="43" t="n">
        <f aca="false">IF(AND(Tasks[[#This Row],[_IsLeaf]]=1,Tasks[[#This Row],[_LeafTotalWork]]&gt;0),Tasks[[#This Row],[_LeafWork]]/(Tasks[[#This Row],[_FinishWorkday]]-Tasks[[#This Row],[_StartWorkday]]+1),0)</f>
        <v>7.11111111111111</v>
      </c>
      <c r="GB11" s="43" t="n">
        <f aca="false">Tasks[[#This Row],[_WorkPerWorkday]]*(Tasks[[#This Row],[_StartWorkday]]-1)</f>
        <v>42.6666666666667</v>
      </c>
      <c r="GC11" s="43" t="n">
        <f aca="false">IF(Tasks[[#This Row],[_IsLeaf]]=1,MAX(N(Tasks[[#This Row],[_Days]]),0.1),0)</f>
        <v>8</v>
      </c>
      <c r="GD11" s="43" t="n">
        <f aca="false">Tasks[[#This Row],[_WeightDur]]*Tasks[[#This Row],[_LeafProgress]]</f>
        <v>8</v>
      </c>
      <c r="GE11" s="43" t="n">
        <f aca="false">Tasks[[#This Row],[_WeightDur]]*Tasks[[#This Row],[_PlannedPct]]</f>
        <v>8</v>
      </c>
      <c r="GF1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4</v>
      </c>
      <c r="GG11" s="43" t="str">
        <f aca="false">IF(AND(Tasks[[#This Row],[_IsLeaf]]=1,N(Tasks[[#This Row],[_Days]])=0,Tasks[[#This Row],[_LeafProgress]]&lt;1),Tasks[[#This Row],[_ShownFcstFinish]]+Tasks[[#This Row],[_Row]]/100000,"")</f>
        <v/>
      </c>
      <c r="GH1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1" s="43" t="str">
        <f aca="false">IF(Tasks[[#This Row],[Task Name]]="","",LEFT(Tasks[[#This Row],[WBS]],FIND(".",Tasks[[#This Row],[WBS]]&amp;".")-1))</f>
        <v>2</v>
      </c>
      <c r="GJ11" s="43" t="str">
        <f aca="false">IF(AND(Tasks[[#This Row],[Task Name]]&lt;&gt;"",Tasks[[#This Row],[_Level]]=1),Tasks[[#This Row],[_Row]],"")</f>
        <v/>
      </c>
      <c r="GK11" s="43" t="str">
        <f aca="false">IF(AND(Tasks[[#This Row],[_IsLeaf]]=1,N(Tasks[[#This Row],[_Days]])=0),Tasks[[#This Row],[Planned Finish]]+Tasks[[#This Row],[_Row]]/100000,"")</f>
        <v/>
      </c>
      <c r="GL11" s="43" t="str">
        <f aca="false">IF(AND(Tasks[[#This Row],[_IsLeaf]]=1,Tasks[[#This Row],[_LeafProgress]]&lt;1,OR(N(Tasks[[#This Row],[Finish Var]])&gt;0,Tasks[[#This Row],[Status]]="Late Start")),MAX(0,Tasks[[#This Row],[Finish Var]])+1-Tasks[[#This Row],[_Row]]/1000000,"")</f>
        <v/>
      </c>
      <c r="GM11" s="43" t="str">
        <f aca="false">IF(AND(Tasks[[#This Row],[_IsLeaf]]=1,N(Tasks[[#This Row],[Actual Start]])=0,Tasks[[#This Row],[_ShownFcstStart]]&gt;=StatusDate,Tasks[[#This Row],[_ShownFcstStart]]&lt;=LookaheadEnd),Tasks[[#This Row],[_ShownFcstStart]]+Tasks[[#This Row],[_Row]]/100000,"")</f>
        <v/>
      </c>
      <c r="GN11" s="43" t="str">
        <f aca="false">IF(AND(Tasks[[#This Row],[_IsLeaf]]=1,Tasks[[#This Row],[_LeafProgress]]&lt;1,Tasks[[#This Row],[_ShownFcstFinish]]&gt;=StatusDate,Tasks[[#This Row],[_ShownFcstFinish]]&lt;=LookaheadEnd),Tasks[[#This Row],[_ShownFcstFinish]]+Tasks[[#This Row],[_Row]]/100000,"")</f>
        <v/>
      </c>
      <c r="GO11" s="43" t="str">
        <f aca="false">IF(Tasks[[#This Row],[_LeafCritical]],Tasks[[#This Row],[_ShownFcstStart]]+Tasks[[#This Row],[_Row]]/100000,"")</f>
        <v/>
      </c>
      <c r="GP11" s="43" t="n">
        <f aca="false">Tasks[[#This Row],[_LeafWork]]*Tasks[[#This Row],[_LeafProgress]]</f>
        <v>64</v>
      </c>
      <c r="GQ11" s="91" t="n">
        <f aca="false">IF(AND(Tasks[[#This Row],[_IsLeaf]]=1,Tasks[[#This Row],[_LeafProgress]]&gt;=1),IF(N(Tasks[[#This Row],[Actual Finish]])&gt;0,Tasks[[#This Row],[Actual Finish]],Tasks[[#This Row],[_ShownFcstFinish]]),"")</f>
        <v>46290</v>
      </c>
      <c r="GR11" s="43" t="n">
        <f aca="false">IF(Tasks[[#This Row],[_IsLeaf]]=1,N(Tasks[[#This Row],[Story Points]]),0)</f>
        <v>0</v>
      </c>
      <c r="GS11" s="43" t="str">
        <f aca="false">""</f>
        <v/>
      </c>
      <c r="GT11" s="90" t="b">
        <f aca="false">IF(Tasks[[#This Row],[Task Name]]="",FALSE(),AND(Tasks[[#This Row],[_IsLeaf]]=1,N(Tasks[[#This Row],[_Days]])=0))</f>
        <v>0</v>
      </c>
      <c r="GU11" s="91" t="n">
        <f aca="false">IF(Tasks[[#This Row],[Task Name]]="",0,IF(AND(Tasks[[#This Row],[_IsLeaf]]=1,NOT(Tasks[[#This Row],[_IsMilestone]]),N(Tasks[[#This Row],[Progress]])&gt;0),Tasks[[#This Row],[Start]],0))</f>
        <v>46280</v>
      </c>
      <c r="GV11" s="91" t="n">
        <f aca="false">IF(Tasks[[#This Row],[_DoneFrom]]=0,0,IF(Tasks[[#This Row],[Progress]]&gt;=1,Tasks[[#This Row],[Finish]],MAX(Tasks[[#This Row],[_DoneFrom]],Tasks[[#This Row],[Start]]+ROUND((Tasks[[#This Row],[Finish]]-Tasks[[#This Row],[Start]]+1)*Tasks[[#This Row],[Progress]],0)-1)))</f>
        <v>46290</v>
      </c>
      <c r="GW11" s="91" t="n">
        <f aca="false">IF(Tasks[[#This Row],[Task Name]]="",0,IF(OR(NOT(Tasks[[#This Row],[_IsLeaf]]=1),Tasks[[#This Row],[_IsMilestone]],N(Tasks[[#This Row],[Progress]])&gt;=1),0,IF(Tasks[[#This Row],[_DoneTo]]&gt;0,Tasks[[#This Row],[_DoneTo]]+1,Tasks[[#This Row],[Start]])))</f>
        <v>0</v>
      </c>
      <c r="GX11" s="91" t="n">
        <f aca="false">IF(Tasks[[#This Row],[_RemFrom]]=0,0,Tasks[[#This Row],[Finish]])</f>
        <v>0</v>
      </c>
      <c r="GY11" s="90" t="b">
        <f aca="false">IF(Tasks[[#This Row],[Task Name]]="",FALSE(),OR(NOT(BaselineSet),N(Tasks[[#This Row],[Baseline Start]])&gt;0))</f>
        <v>1</v>
      </c>
      <c r="GZ11"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8</v>
      </c>
      <c r="HA1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4</v>
      </c>
      <c r="HB1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HC11" s="92" t="n">
        <f aca="false">IF(Tasks[[#This Row],[_IsLeaf]]=1,Tasks[[#This Row],[_Row]],"")</f>
        <v>6</v>
      </c>
      <c r="HD11" s="92" t="str">
        <f aca="false">IFERROR(INDEX(Tasks[UID],SMALL(Tasks[_PickKey],Tasks[[#This Row],[_Row]]))&amp;" "&amp;INDEX(Tasks[Task Name],SMALL(Tasks[_PickKey],Tasks[[#This Row],[_Row]])),"")</f>
        <v>9 Design sign-off</v>
      </c>
      <c r="HE11" s="43" t="n">
        <f aca="false">IF(Tasks[[#This Row],[Task Name]]="","",IF(Tasks[[#This Row],[_IsSummary]],NETWORKDAYS.INTL(Tasks[[#This Row],[Start]],Tasks[[#This Row],[Finish]],WorkWeek,Holidays),N(Tasks[[#This Row],[_Days]])))</f>
        <v>8</v>
      </c>
      <c r="HF11" s="43" t="n">
        <f aca="false">IF(Tasks[[#This Row],[Expected]]="",0,((Tasks[[#This Row],[Pessimistic]]-Tasks[[#This Row],[Optimistic]])/6)^2)</f>
        <v>0</v>
      </c>
      <c r="HG11" s="43" t="n">
        <f aca="false">IF(Tasks[[#This Row],[Expected]]="",0,Tasks[[#This Row],[Expected]]-N(Tasks[[#This Row],[_Days]]))</f>
        <v>0</v>
      </c>
    </row>
    <row r="12" customFormat="false" ht="15" hidden="false" customHeight="false" outlineLevel="1" collapsed="false">
      <c r="A12" s="21" t="n">
        <f aca="false">IF(Tasks[[#This Row],[Task Name]]="","",COUNTA(Tasks[[#Headers],[Task Name]]:Tasks[[#This Row],[Task Name]])-1)</f>
        <v>7</v>
      </c>
      <c r="B12" s="22" t="n">
        <v>8</v>
      </c>
      <c r="C12" s="22" t="n">
        <v>2</v>
      </c>
      <c r="D12" s="93" t="s">
        <v>650</v>
      </c>
      <c r="E12" s="22" t="n">
        <v>6</v>
      </c>
      <c r="F12" s="23" t="n">
        <v>6</v>
      </c>
      <c r="G12" s="22"/>
      <c r="H12" s="22"/>
      <c r="I12" s="23"/>
      <c r="J12" s="22"/>
      <c r="K12" s="22"/>
      <c r="L12" s="23"/>
      <c r="M12" s="22"/>
      <c r="N12" s="22"/>
      <c r="O12" s="23"/>
      <c r="P12" s="22"/>
      <c r="Q12" s="22"/>
      <c r="R12" s="23"/>
      <c r="S12" s="23" t="s">
        <v>651</v>
      </c>
      <c r="T12" s="84"/>
      <c r="U12" s="23"/>
      <c r="V12" s="84"/>
      <c r="W12" s="23"/>
      <c r="X12" s="84"/>
      <c r="Y12" s="23"/>
      <c r="Z12" s="84"/>
      <c r="AA12" s="23"/>
      <c r="AB12" s="23" t="s">
        <v>150</v>
      </c>
      <c r="AC12" s="7" t="n">
        <v>46293</v>
      </c>
      <c r="AD12" s="7" t="n">
        <v>46301</v>
      </c>
      <c r="AE12" s="63" t="n">
        <f aca="false">IF(Tasks[[#This Row],[Task Name]]="","",IF(Tasks[[#This Row],[_IsSummary]],MIN(INDEX(Tasks[_ShownFcstStart],Tasks[[#This Row],[_Row]]+1):INDEX(Tasks[_ShownFcstStart],Tasks[[#This Row],[_Row]]+Tasks[[#This Row],[_Descendants]])),Tasks[[#This Row],[_ShownFcstStart]]))</f>
        <v>46293</v>
      </c>
      <c r="AF12" s="63" t="n">
        <f aca="false">IF(Tasks[[#This Row],[Task Name]]="","",IF(Tasks[[#This Row],[_IsSummary]],MAX(INDEX(Tasks[_ShownFcstFinish],Tasks[[#This Row],[_Row]]+1):INDEX(Tasks[_ShownFcstFinish],Tasks[[#This Row],[_Row]]+Tasks[[#This Row],[_Descendants]])),Tasks[[#This Row],[_ShownFcstFinish]]))</f>
        <v>46301</v>
      </c>
      <c r="AG12" s="21" t="str">
        <f aca="false">""</f>
        <v/>
      </c>
      <c r="AH12" s="23"/>
      <c r="AI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 s="7"/>
      <c r="AK12" s="22" t="s">
        <v>248</v>
      </c>
      <c r="AL12" s="23"/>
      <c r="AM12" s="7"/>
      <c r="AN12" s="47" t="n">
        <f aca="false">IF(Tasks[[#This Row],[Task Name]]="","",IF(Tasks[[#This Row],[Finish]]&gt;=Tasks[[#This Row],[Planned Finish]],NETWORKDAYS.INTL(Tasks[[#This Row],[Planned Finish]],Tasks[[#This Row],[Finish]],WorkWeek,Holidays)-1,1-NETWORKDAYS.INTL(Tasks[[#This Row],[Finish]],Tasks[[#This Row],[Planned Finish]],WorkWeek,Holidays)))</f>
        <v>3</v>
      </c>
      <c r="AO12" s="21" t="str">
        <f aca="false">IF(Tasks[[#This Row],[Task Name]]="","",IF(Tasks[[#This Row],[Progress]]&gt;=1,"Complete",IF(OR(N(Tasks[[#This Row],[Actual Start]])&gt;0,Tasks[[#This Row],[Progress]]&gt;0),IF(Tasks[[#This Row],[Finish Var]]&gt;0,"Behind","In Progress"),IF(Tasks[[#This Row],[Planned Start]]&lt;StatusDate,"Late Start","Not Started"))))</f>
        <v>Complete</v>
      </c>
      <c r="AP12" s="21" t="str">
        <f aca="false">IF(Tasks[[#This Row],[Task Name]]="","",IF(IF(Tasks[[#This Row],[_IsSummary]],COUNTIF(INDEX(Tasks[_LeafCritical],Tasks[[#This Row],[_Row]]+1):INDEX(Tasks[_LeafCritical],Tasks[[#This Row],[_Row]]+Tasks[[#This Row],[_Descendants]]),TRUE())&gt;0,Tasks[[#This Row],[_LeafCritical]]),"Yes",""))</f>
        <v/>
      </c>
      <c r="AQ12" s="63" t="n">
        <f aca="false">IF(Tasks[[#This Row],[Task Name]]="","",IF(N(Tasks[[#This Row],[Baseline Start]])&gt;0,Tasks[[#This Row],[Baseline Start]],Tasks[[#This Row],[_CalcStart]]))</f>
        <v>46289</v>
      </c>
      <c r="AR12" s="63" t="n">
        <f aca="false">IF(Tasks[[#This Row],[Task Name]]="","",IF(N(Tasks[[#This Row],[Baseline Finish]])&gt;0,Tasks[[#This Row],[Baseline Finish]],Tasks[[#This Row],[_CalcFinish]]))</f>
        <v>46296</v>
      </c>
      <c r="AS12" s="47" t="n">
        <f aca="false">IF(Tasks[[#This Row],[Task Name]]="","",IF(Tasks[[#This Row],[Start]]&gt;=Tasks[[#This Row],[Planned Start]],NETWORKDAYS.INTL(Tasks[[#This Row],[Planned Start]],Tasks[[#This Row],[Start]],WorkWeek,Holidays)-1,1-NETWORKDAYS.INTL(Tasks[[#This Row],[Start]],Tasks[[#This Row],[Planned Start]],WorkWeek,Holidays)))</f>
        <v>2</v>
      </c>
      <c r="AT12" s="63" t="n">
        <f aca="false">IF(Tasks[[#This Row],[Task Name]]="","",IF(Tasks[[#This Row],[_IsSummary]],MIN(INDEX(Tasks[_LeafLateStart],Tasks[[#This Row],[_Row]]+1):INDEX(Tasks[_LeafLateStart],Tasks[[#This Row],[_Row]]+Tasks[[#This Row],[_Descendants]])),Tasks[[#This Row],[_LeafLateStart]]))</f>
        <v>46295</v>
      </c>
      <c r="AU12" s="63" t="n">
        <f aca="false">IF(Tasks[[#This Row],[Task Name]]="","",IF(Tasks[[#This Row],[_IsSummary]],MAX(INDEX(Tasks[_LeafLateFinish],Tasks[[#This Row],[_Row]]+1):INDEX(Tasks[_LeafLateFinish],Tasks[[#This Row],[_Row]]+Tasks[[#This Row],[_Descendants]])),Tasks[[#This Row],[_LeafLateFinish]]))</f>
        <v>46302</v>
      </c>
      <c r="AV12" s="47" t="n">
        <f aca="false">IF(Tasks[[#This Row],[Task Name]]="","",IF(Tasks[[#This Row],[_IsSummary]],MIN(INDEX(Tasks[_LeafTotalSlack],Tasks[[#This Row],[_Row]]+1):INDEX(Tasks[_LeafTotalSlack],Tasks[[#This Row],[_Row]]+Tasks[[#This Row],[_Descendants]])),Tasks[[#This Row],[_LeafTotalSlack]]))</f>
        <v>1</v>
      </c>
      <c r="AW12"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5"/>
      <c r="BA12"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v>
      </c>
      <c r="BC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BD12" s="21" t="str">
        <f aca="false">IF(Tasks[[#This Row],[Task Name]]="","",IF(Tasks[[#This Row],[_Level]]&lt;=OutlineShowLevel,"Yes","No"))</f>
        <v>Yes</v>
      </c>
      <c r="BE12" s="86" t="n">
        <f aca="false">IF(Tasks[[#This Row],[Task Name]]="","",IF(Tasks[[#This Row],[_IsSummary]],SUM(INDEX(Tasks[_LeafTotalWork],Tasks[[#This Row],[_Row]]+1):INDEX(Tasks[_LeafTotalWork],Tasks[[#This Row],[_Row]]+Tasks[[#This Row],[_Descendants]])),Tasks[[#This Row],[_LeafTotalWork]]))</f>
        <v>48</v>
      </c>
      <c r="BF12" s="23"/>
      <c r="BG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Casey Kim</v>
      </c>
      <c r="BH12" s="21" t="str">
        <f aca="false">""</f>
        <v/>
      </c>
      <c r="BI12" s="87"/>
      <c r="BJ12" s="22"/>
      <c r="BK12" s="47" t="n">
        <f aca="false">IF(OR(Tasks[[#This Row],[Task Name]]="",Tasks[[#This Row],[Baseline Duration]]=""),"",Tasks[[#This Row],[_SpanDays]]-N(Tasks[[#This Row],[Baseline Duration]]))</f>
        <v>0</v>
      </c>
      <c r="BL12" s="86" t="n">
        <f aca="false">IF(OR(Tasks[[#This Row],[Task Name]]="",Tasks[[#This Row],[Baseline Work]]=""),"",Tasks[[#This Row],[Work]]-N(Tasks[[#This Row],[Baseline Work]]))</f>
        <v>0</v>
      </c>
      <c r="BM12" s="63" t="n">
        <f aca="false">IF(Tasks[[#This Row],[Task Name]]="","",IF(OR(TakeBaseline="Yes",N(Tasks[[#This Row],[Baseline Start]])=0),Tasks[[#This Row],[Start]],Tasks[[#This Row],[Baseline Start]]))</f>
        <v>46289</v>
      </c>
      <c r="BN12" s="63" t="n">
        <f aca="false">IF(Tasks[[#This Row],[Task Name]]="","",IF(OR(TakeBaseline="Yes",N(Tasks[[#This Row],[Baseline Finish]])=0),Tasks[[#This Row],[Finish]],Tasks[[#This Row],[Baseline Finish]]))</f>
        <v>46296</v>
      </c>
      <c r="BO12" s="21" t="n">
        <f aca="false">IF(Tasks[[#This Row],[Task Name]]="","",IF(OR(TakeBaseline="Yes",N(Tasks[[#This Row],[Baseline Duration]])=0),Tasks[[#This Row],[_SpanDays]],Tasks[[#This Row],[Baseline Duration]]))</f>
        <v>6</v>
      </c>
      <c r="BP12" s="86" t="n">
        <f aca="false">IF(Tasks[[#This Row],[Task Name]]="","",IF(OR(TakeBaseline="Yes",N(Tasks[[#This Row],[Baseline Work]])=0),Tasks[[#This Row],[Work]],Tasks[[#This Row],[Baseline Work]]))</f>
        <v>48</v>
      </c>
      <c r="BQ12" s="7" t="n">
        <v>46289</v>
      </c>
      <c r="BR12" s="7" t="n">
        <v>46296</v>
      </c>
      <c r="BS12" s="22" t="n">
        <v>6</v>
      </c>
      <c r="BT12" s="88" t="n">
        <v>48</v>
      </c>
      <c r="BU12" s="23"/>
      <c r="BV12" s="23"/>
      <c r="BW12" s="23"/>
      <c r="BX12" s="89" t="str">
        <f aca="false">IF(AND(Tasks[[#This Row],[_IsLeaf]]=1,ISNUMBER(Tasks[[#This Row],[Optimistic]]),ISNUMBER(Tasks[[#This Row],[Pessimistic]])),ROUND((Tasks[[#This Row],[Optimistic]]+4*N(Tasks[[#This Row],[_Days]])+Tasks[[#This Row],[Pessimistic]])/6,1),"")</f>
        <v/>
      </c>
      <c r="BY12" s="87"/>
      <c r="BZ12" s="87"/>
      <c r="CA12" s="22"/>
      <c r="CB12" s="43" t="n">
        <f aca="false">IF(Tasks[[#This Row],[Task Name]]="","",MAX(1,N(Tasks[[#This Row],[Level]])))</f>
        <v>2</v>
      </c>
      <c r="CC12" s="43" t="n">
        <f aca="false">ROW()-ROW(Tasks[[#Headers],[ID]])</f>
        <v>7</v>
      </c>
      <c r="CD12" s="43" t="n">
        <f aca="false">IF(OR(Tasks[[#This Row],[Task Name]]="",Tasks[[#This Row],[_Level]]&lt;=1),0,IFERROR(LOOKUP(2,1/(Tasks[[#Headers],[_Level]]:Tasks[[#This Row],[_Level]]=Tasks[[#This Row],[_Level]]-1),ROW(Tasks[[#Headers],[_Level]]:Tasks[[#This Row],[_Level]])),0))</f>
        <v>10</v>
      </c>
      <c r="CE12" s="43" t="n">
        <f aca="false">IFERROR(N(INDEX(Tasks[_Level],Tasks[[#This Row],[_Row]]+1)),0)</f>
        <v>2</v>
      </c>
      <c r="CF12" s="90" t="b">
        <f aca="false">AND(Tasks[[#This Row],[Task Name]]&lt;&gt;"",Tasks[[#This Row],[_NextLevel]]&gt;Tasks[[#This Row],[_Level]])</f>
        <v>0</v>
      </c>
      <c r="CG12" s="43" t="n">
        <f aca="false">IF(Tasks[[#This Row],[_IsSummary]],COUNTIF(Tasks[WBS],Tasks[[#This Row],[WBS]]&amp;".*"),0)</f>
        <v>0</v>
      </c>
      <c r="CH12" s="43" t="n">
        <f aca="false">IF(AND(Tasks[[#This Row],[Task Name]]&lt;&gt;"",NOT(Tasks[[#This Row],[_IsSummary]])),1,0)</f>
        <v>1</v>
      </c>
      <c r="CI12" s="43" t="n">
        <f aca="false">IF(N(Tasks[[#This Row],[_Pred1UID]])=0,0,IFERROR(MATCH(Tasks[[#This Row],[_Pred1UID]],Tasks[UID],0),-1))</f>
        <v>6</v>
      </c>
      <c r="CJ12" s="43" t="n">
        <f aca="false">IF(N(Tasks[[#This Row],[_Pred2UID]])=0,0,IFERROR(MATCH(Tasks[[#This Row],[_Pred2UID]],Tasks[UID],0),-1))</f>
        <v>0</v>
      </c>
      <c r="CK12" s="43" t="n">
        <f aca="false">IF(N(Tasks[[#This Row],[_Pred3UID]])=0,0,IFERROR(MATCH(Tasks[[#This Row],[_Pred3UID]],Tasks[UID],0),-1))</f>
        <v>0</v>
      </c>
      <c r="CL12" s="43" t="n">
        <f aca="false">IF(N(Tasks[[#This Row],[_Pred4UID]])=0,0,IFERROR(MATCH(Tasks[[#This Row],[_Pred4UID]],Tasks[UID],0),-1))</f>
        <v>0</v>
      </c>
      <c r="CM12"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 s="91" t="n">
        <f aca="false">IF(OR(Tasks[[#This Row],[_ConstraintCode]]=2,Tasks[[#This Row],[_ConstraintCode]]=3,Tasks[[#This Row],[_ConstraintCode]]=4,Tasks[[#This Row],[_ConstraintCode]]=6),Tasks[[#This Row],[_ConstraintStart]],0)</f>
        <v>0</v>
      </c>
      <c r="CP12" s="91" t="n">
        <f aca="false">IF(OR(Tasks[[#This Row],[_ConstraintCode]]=2,Tasks[[#This Row],[_ConstraintCode]]=3,Tasks[[#This Row],[_ConstraintCode]]=5,Tasks[[#This Row],[_ConstraintCode]]=7),Tasks[[#This Row],[_ConstraintStart]],2958465)</f>
        <v>2958465</v>
      </c>
      <c r="CQ12"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CR12" s="91" t="n">
        <f aca="false">IF(NOT(Tasks[[#This Row],[_IsLeaf]]=1),"",IF(N(Tasks[[#This Row],[_Days]])&lt;=0,Tasks[[#This Row],[_LeafCalcStart]],WORKDAY.INTL(Tasks[[#This Row],[_LeafCalcStart]],Tasks[[#This Row],[_Days]]-1,WorkWeek,Holidays)))</f>
        <v>46296</v>
      </c>
      <c r="CS12"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CT12"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U12" s="43" t="str">
        <f aca="false">IF(Tasks[[#This Row],[_Predecessors]]="","",TRIM(MID(SUBSTITUTE(SUBSTITUTE(SUBSTITUTE(UPPER(Tasks[[#This Row],[_Predecessors]]),";",",")," ",""),",",REPT(" ",99)),1,99)))</f>
        <v>6</v>
      </c>
      <c r="CV12" s="43" t="n">
        <f aca="false">IF(Tasks[[#This Row],[_Pred1Text]]="","",IFERROR(VALUE(LEFT(Tasks[[#This Row],[_Pred1Text]],MIN(FIND("F",Tasks[[#This Row],[_Pred1Text]]&amp;"F"),FIND("S",Tasks[[#This Row],[_Pred1Text]]&amp;"S"),FIND("+",Tasks[[#This Row],[_Pred1Text]]&amp;"+"),FIND("-",Tasks[[#This Row],[_Pred1Text]]&amp;"-"))-1)),""))</f>
        <v>6</v>
      </c>
      <c r="CW1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2"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2" s="43" t="str">
        <f aca="false">IF(Tasks[[#This Row],[_Pred1Text]]="","",TRIM(MID(SUBSTITUTE(SUBSTITUTE(SUBSTITUTE(UPPER(Tasks[[#This Row],[_Predecessors]]),";",",")," ",""),",",REPT(" ",99)),100,99)))</f>
        <v/>
      </c>
      <c r="CZ12" s="43" t="str">
        <f aca="false">IF(Tasks[[#This Row],[_Pred2Text]]="","",IFERROR(VALUE(LEFT(Tasks[[#This Row],[_Pred2Text]],MIN(FIND("F",Tasks[[#This Row],[_Pred2Text]]&amp;"F"),FIND("S",Tasks[[#This Row],[_Pred2Text]]&amp;"S"),FIND("+",Tasks[[#This Row],[_Pred2Text]]&amp;"+"),FIND("-",Tasks[[#This Row],[_Pred2Text]]&amp;"-"))-1)),""))</f>
        <v/>
      </c>
      <c r="DA1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 s="43" t="str">
        <f aca="false">IF(Tasks[[#This Row],[_Pred2Text]]="","",TRIM(MID(SUBSTITUTE(SUBSTITUTE(SUBSTITUTE(UPPER(Tasks[[#This Row],[_Predecessors]]),";",",")," ",""),",",REPT(" ",99)),199,99)))</f>
        <v/>
      </c>
      <c r="DD12" s="43" t="str">
        <f aca="false">IF(Tasks[[#This Row],[_Pred3Text]]="","",IFERROR(VALUE(LEFT(Tasks[[#This Row],[_Pred3Text]],MIN(FIND("F",Tasks[[#This Row],[_Pred3Text]]&amp;"F"),FIND("S",Tasks[[#This Row],[_Pred3Text]]&amp;"S"),FIND("+",Tasks[[#This Row],[_Pred3Text]]&amp;"+"),FIND("-",Tasks[[#This Row],[_Pred3Text]]&amp;"-"))-1)),""))</f>
        <v/>
      </c>
      <c r="DE1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 s="43" t="str">
        <f aca="false">IF(Tasks[[#This Row],[_Pred3Text]]="","",TRIM(MID(SUBSTITUTE(SUBSTITUTE(SUBSTITUTE(UPPER(Tasks[[#This Row],[_Predecessors]]),";",",")," ",""),",",REPT(" ",99)),298,99)))</f>
        <v/>
      </c>
      <c r="DH12" s="43" t="str">
        <f aca="false">IF(Tasks[[#This Row],[_Pred4Text]]="","",IFERROR(VALUE(LEFT(Tasks[[#This Row],[_Pred4Text]],MIN(FIND("F",Tasks[[#This Row],[_Pred4Text]]&amp;"F"),FIND("S",Tasks[[#This Row],[_Pred4Text]]&amp;"S"),FIND("+",Tasks[[#This Row],[_Pred4Text]]&amp;"+"),FIND("-",Tasks[[#This Row],[_Pred4Text]]&amp;"-"))-1)),""))</f>
        <v/>
      </c>
      <c r="DI1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 s="43" t="str">
        <f aca="false">IF(OR(Tasks[[#This Row],[Task Name]]="",Tasks[[#This Row],[_Resources]]=""),"",TRIM(MID(SUBSTITUTE(Tasks[[#This Row],[_Resources]],",",REPT(" ",99)),1,99)))</f>
        <v>Casey Kim</v>
      </c>
      <c r="DL12" s="43" t="str">
        <f aca="false">IF(Tasks[[#This Row],[_Res1Text]]="","",TRIM(MID(SUBSTITUTE(Tasks[[#This Row],[_Resources]],",",REPT(" ",99)),100,99)))</f>
        <v/>
      </c>
      <c r="DM12" s="43" t="str">
        <f aca="false">IF(Tasks[[#This Row],[_Res2Text]]="","",TRIM(MID(SUBSTITUTE(Tasks[[#This Row],[_Resources]],",",REPT(" ",99)),199,99)))</f>
        <v/>
      </c>
      <c r="DN12" s="43" t="str">
        <f aca="false">IF(Tasks[[#This Row],[_Res3Text]]="","",TRIM(MID(SUBSTITUTE(Tasks[[#This Row],[_Resources]],",",REPT(" ",99)),298,99)))</f>
        <v/>
      </c>
      <c r="DO12" s="43" t="n">
        <f aca="false">IF(Tasks[[#This Row],[_Res1Text]]="",0,IFERROR(MATCH(TRIM(LEFT(Tasks[[#This Row],[_Res1Text]],FIND("[",Tasks[[#This Row],[_Res1Text]]&amp;"[")-1)),res_Name,0),IFERROR(MATCH(TRIM(LEFT(Tasks[[#This Row],[_Res1Text]],FIND("[",Tasks[[#This Row],[_Res1Text]]&amp;"[")-1)),res_Initials,0),0)))</f>
        <v>4</v>
      </c>
      <c r="DP12" s="43" t="n">
        <f aca="false">IF(Tasks[[#This Row],[_Res2Text]]="",0,IFERROR(MATCH(TRIM(LEFT(Tasks[[#This Row],[_Res2Text]],FIND("[",Tasks[[#This Row],[_Res2Text]]&amp;"[")-1)),res_Name,0),IFERROR(MATCH(TRIM(LEFT(Tasks[[#This Row],[_Res2Text]],FIND("[",Tasks[[#This Row],[_Res2Text]]&amp;"[")-1)),res_Initials,0),0)))</f>
        <v>0</v>
      </c>
      <c r="DQ12" s="43" t="n">
        <f aca="false">IF(Tasks[[#This Row],[_Res3Text]]="",0,IFERROR(MATCH(TRIM(LEFT(Tasks[[#This Row],[_Res3Text]],FIND("[",Tasks[[#This Row],[_Res3Text]]&amp;"[")-1)),res_Name,0),IFERROR(MATCH(TRIM(LEFT(Tasks[[#This Row],[_Res3Text]],FIND("[",Tasks[[#This Row],[_Res3Text]]&amp;"[")-1)),res_Initials,0),0)))</f>
        <v>0</v>
      </c>
      <c r="DR12" s="43" t="n">
        <f aca="false">IF(Tasks[[#This Row],[_Res4Text]]="",0,IFERROR(MATCH(TRIM(LEFT(Tasks[[#This Row],[_Res4Text]],FIND("[",Tasks[[#This Row],[_Res4Text]]&amp;"[")-1)),res_Name,0),IFERROR(MATCH(TRIM(LEFT(Tasks[[#This Row],[_Res4Text]],FIND("[",Tasks[[#This Row],[_Res4Text]]&amp;"[")-1)),res_Initials,0),0)))</f>
        <v>0</v>
      </c>
      <c r="DS12" s="43" t="str">
        <f aca="false">IF(Tasks[[#This Row],[_Res1Text]]="","",IF(Tasks[[#This Row],[_Res1Row]]&gt;0,INDEX(res_Name,Tasks[[#This Row],[_Res1Row]]),TRIM(LEFT(Tasks[[#This Row],[_Res1Text]],FIND("[",Tasks[[#This Row],[_Res1Text]]&amp;"[")-1))))</f>
        <v>Casey Kim</v>
      </c>
      <c r="DT1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 s="43" t="n">
        <f aca="false">IF(NOT(Tasks[[#This Row],[_IsLeaf]]=1),0,(Tasks[[#This Row],[_Resource1]]&lt;&gt;"")+(Tasks[[#This Row],[_Res2]]&lt;&gt;"")+(Tasks[[#This Row],[_Res3]]&lt;&gt;"")+(Tasks[[#This Row],[_Res4]]&lt;&gt;""))</f>
        <v>1</v>
      </c>
      <c r="DV12" s="43" t="str">
        <f aca="false">IF(Tasks[[#This Row],[_Res2Text]]="","",IF(Tasks[[#This Row],[_Res2Row]]&gt;0,INDEX(res_Name,Tasks[[#This Row],[_Res2Row]]),TRIM(LEFT(Tasks[[#This Row],[_Res2Text]],FIND("[",Tasks[[#This Row],[_Res2Text]]&amp;"[")-1))))</f>
        <v/>
      </c>
      <c r="DW1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 s="43" t="n">
        <f aca="false">IF(OR(NOT(Tasks[[#This Row],[_IsLeaf]]=1),Tasks[[#This Row],[_Res2Row]]=0),0,N(Tasks[[#This Row],[_Days]])*HoursPerDay*IF(Tasks[[#This Row],[_Res2Units]]="",DefaultUnits,Tasks[[#This Row],[_Res2Units]]))</f>
        <v>0</v>
      </c>
      <c r="DY12" s="43" t="n">
        <f aca="false">IF(AND(AND(Tasks[[#This Row],[_IsLeaf]]=1,Tasks[[#This Row],[_LeafTotalWork]]&gt;0),Tasks[[#This Row],[_Res2Work]]&gt;0),Tasks[[#This Row],[_Res2Work]]/(Tasks[[#This Row],[_FinishWorkday]]-Tasks[[#This Row],[_StartWorkday]]+1),0)</f>
        <v>0</v>
      </c>
      <c r="DZ12" s="43" t="n">
        <f aca="false">Tasks[[#This Row],[_Res2WorkPerWD]]*MAX(0,Tasks[[#This Row],[_StartWorkday]]-1)</f>
        <v>0</v>
      </c>
      <c r="EA12" s="43" t="n">
        <f aca="false">Tasks[[#This Row],[_Res2Work]]*Tasks[[#This Row],[_LeafProgress]]</f>
        <v>0</v>
      </c>
      <c r="EB12" s="43" t="str">
        <f aca="false">IF(Tasks[[#This Row],[_Res3Text]]="","",IF(Tasks[[#This Row],[_Res3Row]]&gt;0,INDEX(res_Name,Tasks[[#This Row],[_Res3Row]]),TRIM(LEFT(Tasks[[#This Row],[_Res3Text]],FIND("[",Tasks[[#This Row],[_Res3Text]]&amp;"[")-1))))</f>
        <v/>
      </c>
      <c r="EC1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 s="43" t="n">
        <f aca="false">IF(OR(NOT(Tasks[[#This Row],[_IsLeaf]]=1),Tasks[[#This Row],[_Res3Row]]=0),0,N(Tasks[[#This Row],[_Days]])*HoursPerDay*IF(Tasks[[#This Row],[_Res3Units]]="",DefaultUnits,Tasks[[#This Row],[_Res3Units]]))</f>
        <v>0</v>
      </c>
      <c r="EE12" s="43" t="n">
        <f aca="false">IF(AND(AND(Tasks[[#This Row],[_IsLeaf]]=1,Tasks[[#This Row],[_LeafTotalWork]]&gt;0),Tasks[[#This Row],[_Res3Work]]&gt;0),Tasks[[#This Row],[_Res3Work]]/(Tasks[[#This Row],[_FinishWorkday]]-Tasks[[#This Row],[_StartWorkday]]+1),0)</f>
        <v>0</v>
      </c>
      <c r="EF12" s="43" t="n">
        <f aca="false">Tasks[[#This Row],[_Res3WorkPerWD]]*MAX(0,Tasks[[#This Row],[_StartWorkday]]-1)</f>
        <v>0</v>
      </c>
      <c r="EG12" s="43" t="n">
        <f aca="false">Tasks[[#This Row],[_Res3Work]]*Tasks[[#This Row],[_LeafProgress]]</f>
        <v>0</v>
      </c>
      <c r="EH12" s="43" t="str">
        <f aca="false">IF(Tasks[[#This Row],[_Res4Text]]="","",IF(Tasks[[#This Row],[_Res4Row]]&gt;0,INDEX(res_Name,Tasks[[#This Row],[_Res4Row]]),TRIM(LEFT(Tasks[[#This Row],[_Res4Text]],FIND("[",Tasks[[#This Row],[_Res4Text]]&amp;"[")-1))))</f>
        <v/>
      </c>
      <c r="EI1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 s="43" t="n">
        <f aca="false">IF(OR(NOT(Tasks[[#This Row],[_IsLeaf]]=1),Tasks[[#This Row],[_Res4Row]]=0),0,N(Tasks[[#This Row],[_Days]])*HoursPerDay*IF(Tasks[[#This Row],[_Res4Units]]="",DefaultUnits,Tasks[[#This Row],[_Res4Units]]))</f>
        <v>0</v>
      </c>
      <c r="EK12" s="43" t="n">
        <f aca="false">IF(AND(AND(Tasks[[#This Row],[_IsLeaf]]=1,Tasks[[#This Row],[_LeafTotalWork]]&gt;0),Tasks[[#This Row],[_Res4Work]]&gt;0),Tasks[[#This Row],[_Res4Work]]/(Tasks[[#This Row],[_FinishWorkday]]-Tasks[[#This Row],[_StartWorkday]]+1),0)</f>
        <v>0</v>
      </c>
      <c r="EL12" s="43" t="n">
        <f aca="false">Tasks[[#This Row],[_Res4WorkPerWD]]*MAX(0,Tasks[[#This Row],[_StartWorkday]]-1)</f>
        <v>0</v>
      </c>
      <c r="EM12" s="43" t="n">
        <f aca="false">Tasks[[#This Row],[_Res4Work]]*Tasks[[#This Row],[_LeafProgress]]</f>
        <v>0</v>
      </c>
      <c r="EN12" s="94" t="n">
        <f aca="false">IF(ISNUMBER(Tasks[[#This Row],[% Complete]]),Tasks[[#This Row],[% Complete]],IF(Tasks[[#This Row],[Stage]]="",0,IFERROR(INDEX(stg_Pct,MATCH(Tasks[[#This Row],[Stage]],stg_Name,0)),0)))</f>
        <v>1</v>
      </c>
      <c r="EO12" s="43" t="n">
        <f aca="false">IF(NOT(Tasks[[#This Row],[_IsLeaf]]=1),0,IF(N(Tasks[[#This Row],[Actual Finish]])&gt;0,1,MIN(1,Tasks[[#This Row],[_Pct]])))</f>
        <v>1</v>
      </c>
      <c r="EP12" s="43" t="n">
        <f aca="false">IF(OR(NOT(Tasks[[#This Row],[_IsLeaf]]=1),Tasks[[#This Row],[_Res1Row]]=0),0,N(Tasks[[#This Row],[_Days]])*HoursPerDay*IF(Tasks[[#This Row],[_Units1]]="",DefaultUnits,Tasks[[#This Row],[_Units1]]))</f>
        <v>48</v>
      </c>
      <c r="EQ12" s="43" t="n">
        <f aca="false">Tasks[[#This Row],[_LeafWork]]+Tasks[[#This Row],[_Res2Work]]+Tasks[[#This Row],[_Res3Work]]+Tasks[[#This Row],[_Res4Work]]</f>
        <v>48</v>
      </c>
      <c r="ER12"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2912171</v>
      </c>
      <c r="ES1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 s="43" t="n">
        <f aca="false">IF(NOT(Tasks[[#This Row],[_IsLeaf]]=1),0,MAX(_xlfn.MAXIFS(Tasks[_Row],Tasks[_Pred1UID],Tasks[[#This Row],[UID]]),_xlfn.MAXIFS(Tasks[_Row],Tasks[_Pred2UID],Tasks[[#This Row],[UID]]),_xlfn.MAXIFS(Tasks[_Row],Tasks[_Pred3UID],Tasks[[#This Row],[UID]]),_xlfn.MAXIFS(Tasks[_Row],Tasks[_Pred4UID],Tasks[[#This Row],[UID]])))</f>
        <v>8</v>
      </c>
      <c r="FA12"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FB12"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FC12" s="91" t="n">
        <f aca="false">IF(NOT(Tasks[[#This Row],[_IsLeaf]]=1),"",IF(N(Tasks[[#This Row],[_Days]])&lt;=0,Tasks[[#This Row],[_LeafLateFinish]],WORKDAY.INTL(Tasks[[#This Row],[_LeafLateFinish]],-(Tasks[[#This Row],[_Days]]-1),WorkWeek,Holidays)))</f>
        <v>46295</v>
      </c>
      <c r="FD12"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FE12" s="90" t="b">
        <f aca="false">AND(Tasks[[#This Row],[_IsLeaf]]=1,Tasks[[#This Row],[_LeafProgress]]&lt;1,N(Tasks[[#This Row],[_LeafTotalSlack]])&lt;=CriticalSlackDays)</f>
        <v>0</v>
      </c>
      <c r="FF12" s="43" t="n">
        <f aca="false">IF(AND(Tasks[[#This Row],[_IsLeaf]]=1,Tasks[[#This Row],[_ConstraintCode]]=1,Tasks[[#This Row],[Mode]]&lt;&gt;"Manual",N(Tasks[[#This Row],[Actual Start]])=0),MAX(0,N(Tasks[[#This Row],[Free Slack]])),0)</f>
        <v>0</v>
      </c>
      <c r="FG12" s="91" t="n">
        <f aca="false">IF(NOT(Tasks[[#This Row],[_IsLeaf]]=1),"",IF(Tasks[[#This Row],[_AlapShift]]=0,Tasks[[#This Row],[_LeafCalcStart]],WORKDAY.INTL(Tasks[[#This Row],[_LeafCalcStart]],Tasks[[#This Row],[_AlapShift]],WorkWeek,Holidays)))</f>
        <v>46289</v>
      </c>
      <c r="FH12" s="91" t="n">
        <f aca="false">IF(NOT(Tasks[[#This Row],[_IsLeaf]]=1),"",IF(Tasks[[#This Row],[_AlapShift]]=0,Tasks[[#This Row],[_LeafCalcFinish]],WORKDAY.INTL(Tasks[[#This Row],[_LeafCalcFinish]],Tasks[[#This Row],[_AlapShift]],WorkWeek,Holidays)))</f>
        <v>46296</v>
      </c>
      <c r="FI12" s="91" t="n">
        <f aca="false">IF(NOT(Tasks[[#This Row],[_IsLeaf]]=1),"",IF(Tasks[[#This Row],[_AlapShift]]=0,Tasks[[#This Row],[_LeafFcstStart]],WORKDAY.INTL(Tasks[[#This Row],[_LeafFcstStart]],Tasks[[#This Row],[_AlapShift]],WorkWeek,Holidays)))</f>
        <v>46293</v>
      </c>
      <c r="FJ12" s="91" t="n">
        <f aca="false">IF(NOT(Tasks[[#This Row],[_IsLeaf]]=1),"",IF(Tasks[[#This Row],[_AlapShift]]=0,Tasks[[#This Row],[_LeafFcstFinish]],WORKDAY.INTL(Tasks[[#This Row],[_LeafFcstFinish]],Tasks[[#This Row],[_AlapShift]],WorkWeek,Holidays)))</f>
        <v>46301</v>
      </c>
      <c r="FK12" s="91" t="n">
        <f aca="false">IF(Tasks[[#This Row],[Task Name]]="","",IF(Tasks[[#This Row],[_IsSummary]],MIN(INDEX(Tasks[_ShownCalcStart],Tasks[[#This Row],[_Row]]+1):INDEX(Tasks[_ShownCalcStart],Tasks[[#This Row],[_Row]]+Tasks[[#This Row],[_Descendants]])),Tasks[[#This Row],[_ShownCalcStart]]))</f>
        <v>46289</v>
      </c>
      <c r="FL12" s="91" t="n">
        <f aca="false">IF(Tasks[[#This Row],[Task Name]]="","",IF(Tasks[[#This Row],[_IsSummary]],MAX(INDEX(Tasks[_ShownCalcFinish],Tasks[[#This Row],[_Row]]+1):INDEX(Tasks[_ShownCalcFinish],Tasks[[#This Row],[_Row]]+Tasks[[#This Row],[_Descendants]])),Tasks[[#This Row],[_ShownCalcFinish]]))</f>
        <v>46296</v>
      </c>
      <c r="FM1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46289</v>
      </c>
      <c r="FR1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46293</v>
      </c>
      <c r="FV1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 s="43" t="n">
        <f aca="false">IF(AND(Tasks[[#This Row],[_IsLeaf]]=1,Tasks[[#This Row],[_LeafTotalWork]]&gt;0),NETWORKDAYS.INTL(ProjectStart,Tasks[[#This Row],[_ShownFcstStart]],WorkWeek,Holidays),0)</f>
        <v>16</v>
      </c>
      <c r="FZ12" s="43" t="n">
        <f aca="false">IF(AND(Tasks[[#This Row],[_IsLeaf]]=1,Tasks[[#This Row],[_LeafTotalWork]]&gt;0),MAX(Tasks[[#This Row],[_StartWorkday]],NETWORKDAYS.INTL(ProjectStart,Tasks[[#This Row],[_ShownFcstFinish]],WorkWeek,Holidays)),0)</f>
        <v>22</v>
      </c>
      <c r="GA12" s="43" t="n">
        <f aca="false">IF(AND(Tasks[[#This Row],[_IsLeaf]]=1,Tasks[[#This Row],[_LeafTotalWork]]&gt;0),Tasks[[#This Row],[_LeafWork]]/(Tasks[[#This Row],[_FinishWorkday]]-Tasks[[#This Row],[_StartWorkday]]+1),0)</f>
        <v>6.85714285714286</v>
      </c>
      <c r="GB12" s="43" t="n">
        <f aca="false">Tasks[[#This Row],[_WorkPerWorkday]]*(Tasks[[#This Row],[_StartWorkday]]-1)</f>
        <v>102.857142857143</v>
      </c>
      <c r="GC12" s="43" t="n">
        <f aca="false">IF(Tasks[[#This Row],[_IsLeaf]]=1,MAX(N(Tasks[[#This Row],[_Days]]),0.1),0)</f>
        <v>6</v>
      </c>
      <c r="GD12" s="43" t="n">
        <f aca="false">Tasks[[#This Row],[_WeightDur]]*Tasks[[#This Row],[_LeafProgress]]</f>
        <v>6</v>
      </c>
      <c r="GE12" s="43" t="n">
        <f aca="false">Tasks[[#This Row],[_WeightDur]]*Tasks[[#This Row],[_PlannedPct]]</f>
        <v>6</v>
      </c>
      <c r="GF1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v>
      </c>
      <c r="GG12" s="43" t="str">
        <f aca="false">IF(AND(Tasks[[#This Row],[_IsLeaf]]=1,N(Tasks[[#This Row],[_Days]])=0,Tasks[[#This Row],[_LeafProgress]]&lt;1),Tasks[[#This Row],[_ShownFcstFinish]]+Tasks[[#This Row],[_Row]]/100000,"")</f>
        <v/>
      </c>
      <c r="GH1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2" s="43" t="str">
        <f aca="false">IF(Tasks[[#This Row],[Task Name]]="","",LEFT(Tasks[[#This Row],[WBS]],FIND(".",Tasks[[#This Row],[WBS]]&amp;".")-1))</f>
        <v>2</v>
      </c>
      <c r="GJ12" s="43" t="str">
        <f aca="false">IF(AND(Tasks[[#This Row],[Task Name]]&lt;&gt;"",Tasks[[#This Row],[_Level]]=1),Tasks[[#This Row],[_Row]],"")</f>
        <v/>
      </c>
      <c r="GK12" s="43" t="str">
        <f aca="false">IF(AND(Tasks[[#This Row],[_IsLeaf]]=1,N(Tasks[[#This Row],[_Days]])=0),Tasks[[#This Row],[Planned Finish]]+Tasks[[#This Row],[_Row]]/100000,"")</f>
        <v/>
      </c>
      <c r="GL12" s="43" t="str">
        <f aca="false">IF(AND(Tasks[[#This Row],[_IsLeaf]]=1,Tasks[[#This Row],[_LeafProgress]]&lt;1,OR(N(Tasks[[#This Row],[Finish Var]])&gt;0,Tasks[[#This Row],[Status]]="Late Start")),MAX(0,Tasks[[#This Row],[Finish Var]])+1-Tasks[[#This Row],[_Row]]/1000000,"")</f>
        <v/>
      </c>
      <c r="GM12" s="43" t="str">
        <f aca="false">IF(AND(Tasks[[#This Row],[_IsLeaf]]=1,N(Tasks[[#This Row],[Actual Start]])=0,Tasks[[#This Row],[_ShownFcstStart]]&gt;=StatusDate,Tasks[[#This Row],[_ShownFcstStart]]&lt;=LookaheadEnd),Tasks[[#This Row],[_ShownFcstStart]]+Tasks[[#This Row],[_Row]]/100000,"")</f>
        <v/>
      </c>
      <c r="GN12" s="43" t="str">
        <f aca="false">IF(AND(Tasks[[#This Row],[_IsLeaf]]=1,Tasks[[#This Row],[_LeafProgress]]&lt;1,Tasks[[#This Row],[_ShownFcstFinish]]&gt;=StatusDate,Tasks[[#This Row],[_ShownFcstFinish]]&lt;=LookaheadEnd),Tasks[[#This Row],[_ShownFcstFinish]]+Tasks[[#This Row],[_Row]]/100000,"")</f>
        <v/>
      </c>
      <c r="GO12" s="43" t="str">
        <f aca="false">IF(Tasks[[#This Row],[_LeafCritical]],Tasks[[#This Row],[_ShownFcstStart]]+Tasks[[#This Row],[_Row]]/100000,"")</f>
        <v/>
      </c>
      <c r="GP12" s="43" t="n">
        <f aca="false">Tasks[[#This Row],[_LeafWork]]*Tasks[[#This Row],[_LeafProgress]]</f>
        <v>48</v>
      </c>
      <c r="GQ12" s="91" t="n">
        <f aca="false">IF(AND(Tasks[[#This Row],[_IsLeaf]]=1,Tasks[[#This Row],[_LeafProgress]]&gt;=1),IF(N(Tasks[[#This Row],[Actual Finish]])&gt;0,Tasks[[#This Row],[Actual Finish]],Tasks[[#This Row],[_ShownFcstFinish]]),"")</f>
        <v>46301</v>
      </c>
      <c r="GR12" s="43" t="n">
        <f aca="false">IF(Tasks[[#This Row],[_IsLeaf]]=1,N(Tasks[[#This Row],[Story Points]]),0)</f>
        <v>0</v>
      </c>
      <c r="GS12" s="43" t="str">
        <f aca="false">""</f>
        <v/>
      </c>
      <c r="GT12" s="90" t="b">
        <f aca="false">IF(Tasks[[#This Row],[Task Name]]="",FALSE(),AND(Tasks[[#This Row],[_IsLeaf]]=1,N(Tasks[[#This Row],[_Days]])=0))</f>
        <v>0</v>
      </c>
      <c r="GU12" s="91" t="n">
        <f aca="false">IF(Tasks[[#This Row],[Task Name]]="",0,IF(AND(Tasks[[#This Row],[_IsLeaf]]=1,NOT(Tasks[[#This Row],[_IsMilestone]]),N(Tasks[[#This Row],[Progress]])&gt;0),Tasks[[#This Row],[Start]],0))</f>
        <v>46293</v>
      </c>
      <c r="GV12" s="91" t="n">
        <f aca="false">IF(Tasks[[#This Row],[_DoneFrom]]=0,0,IF(Tasks[[#This Row],[Progress]]&gt;=1,Tasks[[#This Row],[Finish]],MAX(Tasks[[#This Row],[_DoneFrom]],Tasks[[#This Row],[Start]]+ROUND((Tasks[[#This Row],[Finish]]-Tasks[[#This Row],[Start]]+1)*Tasks[[#This Row],[Progress]],0)-1)))</f>
        <v>46301</v>
      </c>
      <c r="GW12" s="91" t="n">
        <f aca="false">IF(Tasks[[#This Row],[Task Name]]="",0,IF(OR(NOT(Tasks[[#This Row],[_IsLeaf]]=1),Tasks[[#This Row],[_IsMilestone]],N(Tasks[[#This Row],[Progress]])&gt;=1),0,IF(Tasks[[#This Row],[_DoneTo]]&gt;0,Tasks[[#This Row],[_DoneTo]]+1,Tasks[[#This Row],[Start]])))</f>
        <v>0</v>
      </c>
      <c r="GX12" s="91" t="n">
        <f aca="false">IF(Tasks[[#This Row],[_RemFrom]]=0,0,Tasks[[#This Row],[Finish]])</f>
        <v>0</v>
      </c>
      <c r="GY12" s="90" t="b">
        <f aca="false">IF(Tasks[[#This Row],[Task Name]]="",FALSE(),OR(NOT(BaselineSet),N(Tasks[[#This Row],[Baseline Start]])&gt;0))</f>
        <v>1</v>
      </c>
      <c r="GZ12"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6</v>
      </c>
      <c r="HA1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6</v>
      </c>
      <c r="HB1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Casey Kim</v>
      </c>
      <c r="HC12" s="92" t="n">
        <f aca="false">IF(Tasks[[#This Row],[_IsLeaf]]=1,Tasks[[#This Row],[_Row]],"")</f>
        <v>7</v>
      </c>
      <c r="HD12" s="92" t="str">
        <f aca="false">IFERROR(INDEX(Tasks[UID],SMALL(Tasks[_PickKey],Tasks[[#This Row],[_Row]]))&amp;" "&amp;INDEX(Tasks[Task Name],SMALL(Tasks[_PickKey],Tasks[[#This Row],[_Row]])),"")</f>
        <v>21 System integration testing</v>
      </c>
      <c r="HE12" s="43" t="n">
        <f aca="false">IF(Tasks[[#This Row],[Task Name]]="","",IF(Tasks[[#This Row],[_IsSummary]],NETWORKDAYS.INTL(Tasks[[#This Row],[Start]],Tasks[[#This Row],[Finish]],WorkWeek,Holidays),N(Tasks[[#This Row],[_Days]])))</f>
        <v>6</v>
      </c>
      <c r="HF12" s="43" t="n">
        <f aca="false">IF(Tasks[[#This Row],[Expected]]="",0,((Tasks[[#This Row],[Pessimistic]]-Tasks[[#This Row],[Optimistic]])/6)^2)</f>
        <v>0</v>
      </c>
      <c r="HG12" s="43" t="n">
        <f aca="false">IF(Tasks[[#This Row],[Expected]]="",0,Tasks[[#This Row],[Expected]]-N(Tasks[[#This Row],[_Days]]))</f>
        <v>0</v>
      </c>
    </row>
    <row r="13" customFormat="false" ht="15" hidden="false" customHeight="false" outlineLevel="1" collapsed="false">
      <c r="A13" s="21" t="n">
        <f aca="false">IF(Tasks[[#This Row],[Task Name]]="","",COUNTA(Tasks[[#Headers],[Task Name]]:Tasks[[#This Row],[Task Name]])-1)</f>
        <v>8</v>
      </c>
      <c r="B13" s="22" t="n">
        <v>9</v>
      </c>
      <c r="C13" s="22" t="n">
        <v>2</v>
      </c>
      <c r="D13" s="93" t="s">
        <v>652</v>
      </c>
      <c r="E13" s="22" t="n">
        <v>0</v>
      </c>
      <c r="F13" s="23" t="n">
        <v>8</v>
      </c>
      <c r="G13" s="22"/>
      <c r="H13" s="22"/>
      <c r="I13" s="23"/>
      <c r="J13" s="22"/>
      <c r="K13" s="22"/>
      <c r="L13" s="23"/>
      <c r="M13" s="22"/>
      <c r="N13" s="22"/>
      <c r="O13" s="23"/>
      <c r="P13" s="22"/>
      <c r="Q13" s="22"/>
      <c r="R13" s="23"/>
      <c r="S13" s="23"/>
      <c r="T13" s="84"/>
      <c r="U13" s="23"/>
      <c r="V13" s="84"/>
      <c r="W13" s="23"/>
      <c r="X13" s="84"/>
      <c r="Y13" s="23"/>
      <c r="Z13" s="84"/>
      <c r="AA13" s="23"/>
      <c r="AB13" s="23" t="s">
        <v>150</v>
      </c>
      <c r="AC13" s="7" t="n">
        <v>46301</v>
      </c>
      <c r="AD13" s="7" t="n">
        <v>46301</v>
      </c>
      <c r="AE13" s="63" t="n">
        <f aca="false">IF(Tasks[[#This Row],[Task Name]]="","",IF(Tasks[[#This Row],[_IsSummary]],MIN(INDEX(Tasks[_ShownFcstStart],Tasks[[#This Row],[_Row]]+1):INDEX(Tasks[_ShownFcstStart],Tasks[[#This Row],[_Row]]+Tasks[[#This Row],[_Descendants]])),Tasks[[#This Row],[_ShownFcstStart]]))</f>
        <v>46301</v>
      </c>
      <c r="AF13" s="63" t="n">
        <f aca="false">IF(Tasks[[#This Row],[Task Name]]="","",IF(Tasks[[#This Row],[_IsSummary]],MAX(INDEX(Tasks[_ShownFcstFinish],Tasks[[#This Row],[_Row]]+1):INDEX(Tasks[_ShownFcstFinish],Tasks[[#This Row],[_Row]]+Tasks[[#This Row],[_Descendants]])),Tasks[[#This Row],[_ShownFcstFinish]]))</f>
        <v>46301</v>
      </c>
      <c r="AG13" s="21" t="str">
        <f aca="false">""</f>
        <v/>
      </c>
      <c r="AH13" s="23" t="s">
        <v>653</v>
      </c>
      <c r="AI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 s="7"/>
      <c r="AK13" s="22" t="s">
        <v>248</v>
      </c>
      <c r="AL13" s="23"/>
      <c r="AM13" s="7"/>
      <c r="AN13" s="47" t="n">
        <f aca="false">IF(Tasks[[#This Row],[Task Name]]="","",IF(Tasks[[#This Row],[Finish]]&gt;=Tasks[[#This Row],[Planned Finish]],NETWORKDAYS.INTL(Tasks[[#This Row],[Planned Finish]],Tasks[[#This Row],[Finish]],WorkWeek,Holidays)-1,1-NETWORKDAYS.INTL(Tasks[[#This Row],[Finish]],Tasks[[#This Row],[Planned Finish]],WorkWeek,Holidays)))</f>
        <v>3</v>
      </c>
      <c r="AO13" s="21" t="str">
        <f aca="false">IF(Tasks[[#This Row],[Task Name]]="","",IF(Tasks[[#This Row],[Progress]]&gt;=1,"Complete",IF(OR(N(Tasks[[#This Row],[Actual Start]])&gt;0,Tasks[[#This Row],[Progress]]&gt;0),IF(Tasks[[#This Row],[Finish Var]]&gt;0,"Behind","In Progress"),IF(Tasks[[#This Row],[Planned Start]]&lt;StatusDate,"Late Start","Not Started"))))</f>
        <v>Complete</v>
      </c>
      <c r="AP13" s="21" t="str">
        <f aca="false">IF(Tasks[[#This Row],[Task Name]]="","",IF(IF(Tasks[[#This Row],[_IsSummary]],COUNTIF(INDEX(Tasks[_LeafCritical],Tasks[[#This Row],[_Row]]+1):INDEX(Tasks[_LeafCritical],Tasks[[#This Row],[_Row]]+Tasks[[#This Row],[_Descendants]]),TRUE())&gt;0,Tasks[[#This Row],[_LeafCritical]]),"Yes",""))</f>
        <v/>
      </c>
      <c r="AQ13" s="63" t="n">
        <f aca="false">IF(Tasks[[#This Row],[Task Name]]="","",IF(N(Tasks[[#This Row],[Baseline Start]])&gt;0,Tasks[[#This Row],[Baseline Start]],Tasks[[#This Row],[_CalcStart]]))</f>
        <v>46296</v>
      </c>
      <c r="AR13" s="63" t="n">
        <f aca="false">IF(Tasks[[#This Row],[Task Name]]="","",IF(N(Tasks[[#This Row],[Baseline Finish]])&gt;0,Tasks[[#This Row],[Baseline Finish]],Tasks[[#This Row],[_CalcFinish]]))</f>
        <v>46296</v>
      </c>
      <c r="AS13" s="47" t="n">
        <f aca="false">IF(Tasks[[#This Row],[Task Name]]="","",IF(Tasks[[#This Row],[Start]]&gt;=Tasks[[#This Row],[Planned Start]],NETWORKDAYS.INTL(Tasks[[#This Row],[Planned Start]],Tasks[[#This Row],[Start]],WorkWeek,Holidays)-1,1-NETWORKDAYS.INTL(Tasks[[#This Row],[Start]],Tasks[[#This Row],[Planned Start]],WorkWeek,Holidays)))</f>
        <v>3</v>
      </c>
      <c r="AT13" s="63" t="n">
        <f aca="false">IF(Tasks[[#This Row],[Task Name]]="","",IF(Tasks[[#This Row],[_IsSummary]],MIN(INDEX(Tasks[_LeafLateStart],Tasks[[#This Row],[_Row]]+1):INDEX(Tasks[_LeafLateStart],Tasks[[#This Row],[_Row]]+Tasks[[#This Row],[_Descendants]])),Tasks[[#This Row],[_LeafLateStart]]))</f>
        <v>46302</v>
      </c>
      <c r="AU13" s="63" t="n">
        <f aca="false">IF(Tasks[[#This Row],[Task Name]]="","",IF(Tasks[[#This Row],[_IsSummary]],MAX(INDEX(Tasks[_LeafLateFinish],Tasks[[#This Row],[_Row]]+1):INDEX(Tasks[_LeafLateFinish],Tasks[[#This Row],[_Row]]+Tasks[[#This Row],[_Descendants]])),Tasks[[#This Row],[_LeafLateFinish]]))</f>
        <v>46302</v>
      </c>
      <c r="AV13" s="47" t="n">
        <f aca="false">IF(Tasks[[#This Row],[Task Name]]="","",IF(Tasks[[#This Row],[_IsSummary]],MIN(INDEX(Tasks[_LeafTotalSlack],Tasks[[#This Row],[_Row]]+1):INDEX(Tasks[_LeafTotalSlack],Tasks[[#This Row],[_Row]]+Tasks[[#This Row],[_Descendants]])),Tasks[[#This Row],[_LeafTotalSlack]]))</f>
        <v>1</v>
      </c>
      <c r="AW13"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5"/>
      <c r="BA13"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7</v>
      </c>
      <c r="BC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BD13" s="21" t="str">
        <f aca="false">IF(Tasks[[#This Row],[Task Name]]="","",IF(Tasks[[#This Row],[_Level]]&lt;=OutlineShowLevel,"Yes","No"))</f>
        <v>Yes</v>
      </c>
      <c r="BE13" s="86" t="n">
        <f aca="false">IF(Tasks[[#This Row],[Task Name]]="","",IF(Tasks[[#This Row],[_IsSummary]],SUM(INDEX(Tasks[_LeafTotalWork],Tasks[[#This Row],[_Row]]+1):INDEX(Tasks[_LeafTotalWork],Tasks[[#This Row],[_Row]]+Tasks[[#This Row],[_Descendants]])),Tasks[[#This Row],[_LeafTotalWork]]))</f>
        <v>0</v>
      </c>
      <c r="BF13" s="23"/>
      <c r="BG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 s="21" t="str">
        <f aca="false">""</f>
        <v/>
      </c>
      <c r="BI13" s="87"/>
      <c r="BJ13" s="22"/>
      <c r="BK13" s="47" t="n">
        <f aca="false">IF(OR(Tasks[[#This Row],[Task Name]]="",Tasks[[#This Row],[Baseline Duration]]=""),"",Tasks[[#This Row],[_SpanDays]]-N(Tasks[[#This Row],[Baseline Duration]]))</f>
        <v>0</v>
      </c>
      <c r="BL13" s="86" t="n">
        <f aca="false">IF(OR(Tasks[[#This Row],[Task Name]]="",Tasks[[#This Row],[Baseline Work]]=""),"",Tasks[[#This Row],[Work]]-N(Tasks[[#This Row],[Baseline Work]]))</f>
        <v>0</v>
      </c>
      <c r="BM13" s="63" t="n">
        <f aca="false">IF(Tasks[[#This Row],[Task Name]]="","",IF(OR(TakeBaseline="Yes",N(Tasks[[#This Row],[Baseline Start]])=0),Tasks[[#This Row],[Start]],Tasks[[#This Row],[Baseline Start]]))</f>
        <v>46296</v>
      </c>
      <c r="BN13" s="63" t="n">
        <f aca="false">IF(Tasks[[#This Row],[Task Name]]="","",IF(OR(TakeBaseline="Yes",N(Tasks[[#This Row],[Baseline Finish]])=0),Tasks[[#This Row],[Finish]],Tasks[[#This Row],[Baseline Finish]]))</f>
        <v>46296</v>
      </c>
      <c r="BO13" s="21" t="n">
        <f aca="false">IF(Tasks[[#This Row],[Task Name]]="","",IF(OR(TakeBaseline="Yes",N(Tasks[[#This Row],[Baseline Duration]])=0),Tasks[[#This Row],[_SpanDays]],Tasks[[#This Row],[Baseline Duration]]))</f>
        <v>0</v>
      </c>
      <c r="BP13" s="86" t="n">
        <f aca="false">IF(Tasks[[#This Row],[Task Name]]="","",IF(OR(TakeBaseline="Yes",N(Tasks[[#This Row],[Baseline Work]])=0),Tasks[[#This Row],[Work]],Tasks[[#This Row],[Baseline Work]]))</f>
        <v>0</v>
      </c>
      <c r="BQ13" s="7" t="n">
        <v>46296</v>
      </c>
      <c r="BR13" s="7" t="n">
        <v>46296</v>
      </c>
      <c r="BS13" s="22" t="n">
        <v>0</v>
      </c>
      <c r="BT13" s="88" t="n">
        <v>0</v>
      </c>
      <c r="BU13" s="23"/>
      <c r="BV13" s="23"/>
      <c r="BW13" s="23"/>
      <c r="BX13" s="89" t="str">
        <f aca="false">IF(AND(Tasks[[#This Row],[_IsLeaf]]=1,ISNUMBER(Tasks[[#This Row],[Optimistic]]),ISNUMBER(Tasks[[#This Row],[Pessimistic]])),ROUND((Tasks[[#This Row],[Optimistic]]+4*N(Tasks[[#This Row],[_Days]])+Tasks[[#This Row],[Pessimistic]])/6,1),"")</f>
        <v/>
      </c>
      <c r="BY13" s="87"/>
      <c r="BZ13" s="87"/>
      <c r="CA13" s="22"/>
      <c r="CB13" s="43" t="n">
        <f aca="false">IF(Tasks[[#This Row],[Task Name]]="","",MAX(1,N(Tasks[[#This Row],[Level]])))</f>
        <v>2</v>
      </c>
      <c r="CC13" s="43" t="n">
        <f aca="false">ROW()-ROW(Tasks[[#Headers],[ID]])</f>
        <v>8</v>
      </c>
      <c r="CD13" s="43" t="n">
        <f aca="false">IF(OR(Tasks[[#This Row],[Task Name]]="",Tasks[[#This Row],[_Level]]&lt;=1),0,IFERROR(LOOKUP(2,1/(Tasks[[#Headers],[_Level]]:Tasks[[#This Row],[_Level]]=Tasks[[#This Row],[_Level]]-1),ROW(Tasks[[#Headers],[_Level]]:Tasks[[#This Row],[_Level]])),0))</f>
        <v>10</v>
      </c>
      <c r="CE13" s="43" t="n">
        <f aca="false">IFERROR(N(INDEX(Tasks[_Level],Tasks[[#This Row],[_Row]]+1)),0)</f>
        <v>1</v>
      </c>
      <c r="CF13" s="90" t="b">
        <f aca="false">AND(Tasks[[#This Row],[Task Name]]&lt;&gt;"",Tasks[[#This Row],[_NextLevel]]&gt;Tasks[[#This Row],[_Level]])</f>
        <v>0</v>
      </c>
      <c r="CG13" s="43" t="n">
        <f aca="false">IF(Tasks[[#This Row],[_IsSummary]],COUNTIF(Tasks[WBS],Tasks[[#This Row],[WBS]]&amp;".*"),0)</f>
        <v>0</v>
      </c>
      <c r="CH13" s="43" t="n">
        <f aca="false">IF(AND(Tasks[[#This Row],[Task Name]]&lt;&gt;"",NOT(Tasks[[#This Row],[_IsSummary]])),1,0)</f>
        <v>1</v>
      </c>
      <c r="CI13" s="43" t="n">
        <f aca="false">IF(N(Tasks[[#This Row],[_Pred1UID]])=0,0,IFERROR(MATCH(Tasks[[#This Row],[_Pred1UID]],Tasks[UID],0),-1))</f>
        <v>7</v>
      </c>
      <c r="CJ13" s="43" t="n">
        <f aca="false">IF(N(Tasks[[#This Row],[_Pred2UID]])=0,0,IFERROR(MATCH(Tasks[[#This Row],[_Pred2UID]],Tasks[UID],0),-1))</f>
        <v>0</v>
      </c>
      <c r="CK13" s="43" t="n">
        <f aca="false">IF(N(Tasks[[#This Row],[_Pred3UID]])=0,0,IFERROR(MATCH(Tasks[[#This Row],[_Pred3UID]],Tasks[UID],0),-1))</f>
        <v>0</v>
      </c>
      <c r="CL13" s="43" t="n">
        <f aca="false">IF(N(Tasks[[#This Row],[_Pred4UID]])=0,0,IFERROR(MATCH(Tasks[[#This Row],[_Pred4UID]],Tasks[UID],0),-1))</f>
        <v>0</v>
      </c>
      <c r="CM13"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 s="91" t="n">
        <f aca="false">IF(OR(Tasks[[#This Row],[_ConstraintCode]]=2,Tasks[[#This Row],[_ConstraintCode]]=3,Tasks[[#This Row],[_ConstraintCode]]=4,Tasks[[#This Row],[_ConstraintCode]]=6),Tasks[[#This Row],[_ConstraintStart]],0)</f>
        <v>0</v>
      </c>
      <c r="CP13" s="91" t="n">
        <f aca="false">IF(OR(Tasks[[#This Row],[_ConstraintCode]]=2,Tasks[[#This Row],[_ConstraintCode]]=3,Tasks[[#This Row],[_ConstraintCode]]=5,Tasks[[#This Row],[_ConstraintCode]]=7),Tasks[[#This Row],[_ConstraintStart]],2958465)</f>
        <v>2958465</v>
      </c>
      <c r="CQ13"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CR13" s="91" t="n">
        <f aca="false">IF(NOT(Tasks[[#This Row],[_IsLeaf]]=1),"",IF(N(Tasks[[#This Row],[_Days]])&lt;=0,Tasks[[#This Row],[_LeafCalcStart]],WORKDAY.INTL(Tasks[[#This Row],[_LeafCalcStart]],Tasks[[#This Row],[_Days]]-1,WorkWeek,Holidays)))</f>
        <v>46296</v>
      </c>
      <c r="CS13"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CT13"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U13" s="43" t="str">
        <f aca="false">IF(Tasks[[#This Row],[_Predecessors]]="","",TRIM(MID(SUBSTITUTE(SUBSTITUTE(SUBSTITUTE(UPPER(Tasks[[#This Row],[_Predecessors]]),";",",")," ",""),",",REPT(" ",99)),1,99)))</f>
        <v>8</v>
      </c>
      <c r="CV13" s="43" t="n">
        <f aca="false">IF(Tasks[[#This Row],[_Pred1Text]]="","",IFERROR(VALUE(LEFT(Tasks[[#This Row],[_Pred1Text]],MIN(FIND("F",Tasks[[#This Row],[_Pred1Text]]&amp;"F"),FIND("S",Tasks[[#This Row],[_Pred1Text]]&amp;"S"),FIND("+",Tasks[[#This Row],[_Pred1Text]]&amp;"+"),FIND("-",Tasks[[#This Row],[_Pred1Text]]&amp;"-"))-1)),""))</f>
        <v>8</v>
      </c>
      <c r="CW1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3"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3" s="43" t="str">
        <f aca="false">IF(Tasks[[#This Row],[_Pred1Text]]="","",TRIM(MID(SUBSTITUTE(SUBSTITUTE(SUBSTITUTE(UPPER(Tasks[[#This Row],[_Predecessors]]),";",",")," ",""),",",REPT(" ",99)),100,99)))</f>
        <v/>
      </c>
      <c r="CZ13" s="43" t="str">
        <f aca="false">IF(Tasks[[#This Row],[_Pred2Text]]="","",IFERROR(VALUE(LEFT(Tasks[[#This Row],[_Pred2Text]],MIN(FIND("F",Tasks[[#This Row],[_Pred2Text]]&amp;"F"),FIND("S",Tasks[[#This Row],[_Pred2Text]]&amp;"S"),FIND("+",Tasks[[#This Row],[_Pred2Text]]&amp;"+"),FIND("-",Tasks[[#This Row],[_Pred2Text]]&amp;"-"))-1)),""))</f>
        <v/>
      </c>
      <c r="DA1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 s="43" t="str">
        <f aca="false">IF(Tasks[[#This Row],[_Pred2Text]]="","",TRIM(MID(SUBSTITUTE(SUBSTITUTE(SUBSTITUTE(UPPER(Tasks[[#This Row],[_Predecessors]]),";",",")," ",""),",",REPT(" ",99)),199,99)))</f>
        <v/>
      </c>
      <c r="DD13" s="43" t="str">
        <f aca="false">IF(Tasks[[#This Row],[_Pred3Text]]="","",IFERROR(VALUE(LEFT(Tasks[[#This Row],[_Pred3Text]],MIN(FIND("F",Tasks[[#This Row],[_Pred3Text]]&amp;"F"),FIND("S",Tasks[[#This Row],[_Pred3Text]]&amp;"S"),FIND("+",Tasks[[#This Row],[_Pred3Text]]&amp;"+"),FIND("-",Tasks[[#This Row],[_Pred3Text]]&amp;"-"))-1)),""))</f>
        <v/>
      </c>
      <c r="DE1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 s="43" t="str">
        <f aca="false">IF(Tasks[[#This Row],[_Pred3Text]]="","",TRIM(MID(SUBSTITUTE(SUBSTITUTE(SUBSTITUTE(UPPER(Tasks[[#This Row],[_Predecessors]]),";",",")," ",""),",",REPT(" ",99)),298,99)))</f>
        <v/>
      </c>
      <c r="DH13" s="43" t="str">
        <f aca="false">IF(Tasks[[#This Row],[_Pred4Text]]="","",IFERROR(VALUE(LEFT(Tasks[[#This Row],[_Pred4Text]],MIN(FIND("F",Tasks[[#This Row],[_Pred4Text]]&amp;"F"),FIND("S",Tasks[[#This Row],[_Pred4Text]]&amp;"S"),FIND("+",Tasks[[#This Row],[_Pred4Text]]&amp;"+"),FIND("-",Tasks[[#This Row],[_Pred4Text]]&amp;"-"))-1)),""))</f>
        <v/>
      </c>
      <c r="DI1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 s="43" t="str">
        <f aca="false">IF(OR(Tasks[[#This Row],[Task Name]]="",Tasks[[#This Row],[_Resources]]=""),"",TRIM(MID(SUBSTITUTE(Tasks[[#This Row],[_Resources]],",",REPT(" ",99)),1,99)))</f>
        <v/>
      </c>
      <c r="DL13" s="43" t="str">
        <f aca="false">IF(Tasks[[#This Row],[_Res1Text]]="","",TRIM(MID(SUBSTITUTE(Tasks[[#This Row],[_Resources]],",",REPT(" ",99)),100,99)))</f>
        <v/>
      </c>
      <c r="DM13" s="43" t="str">
        <f aca="false">IF(Tasks[[#This Row],[_Res2Text]]="","",TRIM(MID(SUBSTITUTE(Tasks[[#This Row],[_Resources]],",",REPT(" ",99)),199,99)))</f>
        <v/>
      </c>
      <c r="DN13" s="43" t="str">
        <f aca="false">IF(Tasks[[#This Row],[_Res3Text]]="","",TRIM(MID(SUBSTITUTE(Tasks[[#This Row],[_Resources]],",",REPT(" ",99)),298,99)))</f>
        <v/>
      </c>
      <c r="DO13" s="43" t="n">
        <f aca="false">IF(Tasks[[#This Row],[_Res1Text]]="",0,IFERROR(MATCH(TRIM(LEFT(Tasks[[#This Row],[_Res1Text]],FIND("[",Tasks[[#This Row],[_Res1Text]]&amp;"[")-1)),res_Name,0),IFERROR(MATCH(TRIM(LEFT(Tasks[[#This Row],[_Res1Text]],FIND("[",Tasks[[#This Row],[_Res1Text]]&amp;"[")-1)),res_Initials,0),0)))</f>
        <v>0</v>
      </c>
      <c r="DP13" s="43" t="n">
        <f aca="false">IF(Tasks[[#This Row],[_Res2Text]]="",0,IFERROR(MATCH(TRIM(LEFT(Tasks[[#This Row],[_Res2Text]],FIND("[",Tasks[[#This Row],[_Res2Text]]&amp;"[")-1)),res_Name,0),IFERROR(MATCH(TRIM(LEFT(Tasks[[#This Row],[_Res2Text]],FIND("[",Tasks[[#This Row],[_Res2Text]]&amp;"[")-1)),res_Initials,0),0)))</f>
        <v>0</v>
      </c>
      <c r="DQ13" s="43" t="n">
        <f aca="false">IF(Tasks[[#This Row],[_Res3Text]]="",0,IFERROR(MATCH(TRIM(LEFT(Tasks[[#This Row],[_Res3Text]],FIND("[",Tasks[[#This Row],[_Res3Text]]&amp;"[")-1)),res_Name,0),IFERROR(MATCH(TRIM(LEFT(Tasks[[#This Row],[_Res3Text]],FIND("[",Tasks[[#This Row],[_Res3Text]]&amp;"[")-1)),res_Initials,0),0)))</f>
        <v>0</v>
      </c>
      <c r="DR13" s="43" t="n">
        <f aca="false">IF(Tasks[[#This Row],[_Res4Text]]="",0,IFERROR(MATCH(TRIM(LEFT(Tasks[[#This Row],[_Res4Text]],FIND("[",Tasks[[#This Row],[_Res4Text]]&amp;"[")-1)),res_Name,0),IFERROR(MATCH(TRIM(LEFT(Tasks[[#This Row],[_Res4Text]],FIND("[",Tasks[[#This Row],[_Res4Text]]&amp;"[")-1)),res_Initials,0),0)))</f>
        <v>0</v>
      </c>
      <c r="DS13" s="43" t="str">
        <f aca="false">IF(Tasks[[#This Row],[_Res1Text]]="","",IF(Tasks[[#This Row],[_Res1Row]]&gt;0,INDEX(res_Name,Tasks[[#This Row],[_Res1Row]]),TRIM(LEFT(Tasks[[#This Row],[_Res1Text]],FIND("[",Tasks[[#This Row],[_Res1Text]]&amp;"[")-1))))</f>
        <v/>
      </c>
      <c r="DT1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 s="43" t="n">
        <f aca="false">IF(NOT(Tasks[[#This Row],[_IsLeaf]]=1),0,(Tasks[[#This Row],[_Resource1]]&lt;&gt;"")+(Tasks[[#This Row],[_Res2]]&lt;&gt;"")+(Tasks[[#This Row],[_Res3]]&lt;&gt;"")+(Tasks[[#This Row],[_Res4]]&lt;&gt;""))</f>
        <v>0</v>
      </c>
      <c r="DV13" s="43" t="str">
        <f aca="false">IF(Tasks[[#This Row],[_Res2Text]]="","",IF(Tasks[[#This Row],[_Res2Row]]&gt;0,INDEX(res_Name,Tasks[[#This Row],[_Res2Row]]),TRIM(LEFT(Tasks[[#This Row],[_Res2Text]],FIND("[",Tasks[[#This Row],[_Res2Text]]&amp;"[")-1))))</f>
        <v/>
      </c>
      <c r="DW1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 s="43" t="n">
        <f aca="false">IF(OR(NOT(Tasks[[#This Row],[_IsLeaf]]=1),Tasks[[#This Row],[_Res2Row]]=0),0,N(Tasks[[#This Row],[_Days]])*HoursPerDay*IF(Tasks[[#This Row],[_Res2Units]]="",DefaultUnits,Tasks[[#This Row],[_Res2Units]]))</f>
        <v>0</v>
      </c>
      <c r="DY13" s="43" t="n">
        <f aca="false">IF(AND(AND(Tasks[[#This Row],[_IsLeaf]]=1,Tasks[[#This Row],[_LeafTotalWork]]&gt;0),Tasks[[#This Row],[_Res2Work]]&gt;0),Tasks[[#This Row],[_Res2Work]]/(Tasks[[#This Row],[_FinishWorkday]]-Tasks[[#This Row],[_StartWorkday]]+1),0)</f>
        <v>0</v>
      </c>
      <c r="DZ13" s="43" t="n">
        <f aca="false">Tasks[[#This Row],[_Res2WorkPerWD]]*MAX(0,Tasks[[#This Row],[_StartWorkday]]-1)</f>
        <v>0</v>
      </c>
      <c r="EA13" s="43" t="n">
        <f aca="false">Tasks[[#This Row],[_Res2Work]]*Tasks[[#This Row],[_LeafProgress]]</f>
        <v>0</v>
      </c>
      <c r="EB13" s="43" t="str">
        <f aca="false">IF(Tasks[[#This Row],[_Res3Text]]="","",IF(Tasks[[#This Row],[_Res3Row]]&gt;0,INDEX(res_Name,Tasks[[#This Row],[_Res3Row]]),TRIM(LEFT(Tasks[[#This Row],[_Res3Text]],FIND("[",Tasks[[#This Row],[_Res3Text]]&amp;"[")-1))))</f>
        <v/>
      </c>
      <c r="EC1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 s="43" t="n">
        <f aca="false">IF(OR(NOT(Tasks[[#This Row],[_IsLeaf]]=1),Tasks[[#This Row],[_Res3Row]]=0),0,N(Tasks[[#This Row],[_Days]])*HoursPerDay*IF(Tasks[[#This Row],[_Res3Units]]="",DefaultUnits,Tasks[[#This Row],[_Res3Units]]))</f>
        <v>0</v>
      </c>
      <c r="EE13" s="43" t="n">
        <f aca="false">IF(AND(AND(Tasks[[#This Row],[_IsLeaf]]=1,Tasks[[#This Row],[_LeafTotalWork]]&gt;0),Tasks[[#This Row],[_Res3Work]]&gt;0),Tasks[[#This Row],[_Res3Work]]/(Tasks[[#This Row],[_FinishWorkday]]-Tasks[[#This Row],[_StartWorkday]]+1),0)</f>
        <v>0</v>
      </c>
      <c r="EF13" s="43" t="n">
        <f aca="false">Tasks[[#This Row],[_Res3WorkPerWD]]*MAX(0,Tasks[[#This Row],[_StartWorkday]]-1)</f>
        <v>0</v>
      </c>
      <c r="EG13" s="43" t="n">
        <f aca="false">Tasks[[#This Row],[_Res3Work]]*Tasks[[#This Row],[_LeafProgress]]</f>
        <v>0</v>
      </c>
      <c r="EH13" s="43" t="str">
        <f aca="false">IF(Tasks[[#This Row],[_Res4Text]]="","",IF(Tasks[[#This Row],[_Res4Row]]&gt;0,INDEX(res_Name,Tasks[[#This Row],[_Res4Row]]),TRIM(LEFT(Tasks[[#This Row],[_Res4Text]],FIND("[",Tasks[[#This Row],[_Res4Text]]&amp;"[")-1))))</f>
        <v/>
      </c>
      <c r="EI1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 s="43" t="n">
        <f aca="false">IF(OR(NOT(Tasks[[#This Row],[_IsLeaf]]=1),Tasks[[#This Row],[_Res4Row]]=0),0,N(Tasks[[#This Row],[_Days]])*HoursPerDay*IF(Tasks[[#This Row],[_Res4Units]]="",DefaultUnits,Tasks[[#This Row],[_Res4Units]]))</f>
        <v>0</v>
      </c>
      <c r="EK13" s="43" t="n">
        <f aca="false">IF(AND(AND(Tasks[[#This Row],[_IsLeaf]]=1,Tasks[[#This Row],[_LeafTotalWork]]&gt;0),Tasks[[#This Row],[_Res4Work]]&gt;0),Tasks[[#This Row],[_Res4Work]]/(Tasks[[#This Row],[_FinishWorkday]]-Tasks[[#This Row],[_StartWorkday]]+1),0)</f>
        <v>0</v>
      </c>
      <c r="EL13" s="43" t="n">
        <f aca="false">Tasks[[#This Row],[_Res4WorkPerWD]]*MAX(0,Tasks[[#This Row],[_StartWorkday]]-1)</f>
        <v>0</v>
      </c>
      <c r="EM13" s="43" t="n">
        <f aca="false">Tasks[[#This Row],[_Res4Work]]*Tasks[[#This Row],[_LeafProgress]]</f>
        <v>0</v>
      </c>
      <c r="EN13" s="94" t="n">
        <f aca="false">IF(ISNUMBER(Tasks[[#This Row],[% Complete]]),Tasks[[#This Row],[% Complete]],IF(Tasks[[#This Row],[Stage]]="",0,IFERROR(INDEX(stg_Pct,MATCH(Tasks[[#This Row],[Stage]],stg_Name,0)),0)))</f>
        <v>1</v>
      </c>
      <c r="EO13" s="43" t="n">
        <f aca="false">IF(NOT(Tasks[[#This Row],[_IsLeaf]]=1),0,IF(N(Tasks[[#This Row],[Actual Finish]])&gt;0,1,MIN(1,Tasks[[#This Row],[_Pct]])))</f>
        <v>1</v>
      </c>
      <c r="EP13" s="43" t="n">
        <f aca="false">IF(OR(NOT(Tasks[[#This Row],[_IsLeaf]]=1),Tasks[[#This Row],[_Res1Row]]=0),0,N(Tasks[[#This Row],[_Days]])*HoursPerDay*IF(Tasks[[#This Row],[_Units1]]="",DefaultUnits,Tasks[[#This Row],[_Units1]]))</f>
        <v>0</v>
      </c>
      <c r="EQ13" s="43" t="n">
        <f aca="false">Tasks[[#This Row],[_LeafWork]]+Tasks[[#This Row],[_Res2Work]]+Tasks[[#This Row],[_Res3Work]]+Tasks[[#This Row],[_Res4Work]]</f>
        <v>0</v>
      </c>
      <c r="ER13"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S1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 s="43" t="n">
        <f aca="false">IF(NOT(Tasks[[#This Row],[_IsLeaf]]=1),0,MAX(_xlfn.MAXIFS(Tasks[_Row],Tasks[_Pred1UID],Tasks[[#This Row],[UID]]),_xlfn.MAXIFS(Tasks[_Row],Tasks[_Pred2UID],Tasks[[#This Row],[UID]]),_xlfn.MAXIFS(Tasks[_Row],Tasks[_Pred3UID],Tasks[[#This Row],[UID]]),_xlfn.MAXIFS(Tasks[_Row],Tasks[_Pred4UID],Tasks[[#This Row],[UID]])))</f>
        <v>10</v>
      </c>
      <c r="FA13"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FB13"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FC13" s="91" t="n">
        <f aca="false">IF(NOT(Tasks[[#This Row],[_IsLeaf]]=1),"",IF(N(Tasks[[#This Row],[_Days]])&lt;=0,Tasks[[#This Row],[_LeafLateFinish]],WORKDAY.INTL(Tasks[[#This Row],[_LeafLateFinish]],-(Tasks[[#This Row],[_Days]]-1),WorkWeek,Holidays)))</f>
        <v>46302</v>
      </c>
      <c r="FD13"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FE13" s="90" t="b">
        <f aca="false">AND(Tasks[[#This Row],[_IsLeaf]]=1,Tasks[[#This Row],[_LeafProgress]]&lt;1,N(Tasks[[#This Row],[_LeafTotalSlack]])&lt;=CriticalSlackDays)</f>
        <v>0</v>
      </c>
      <c r="FF13" s="43" t="n">
        <f aca="false">IF(AND(Tasks[[#This Row],[_IsLeaf]]=1,Tasks[[#This Row],[_ConstraintCode]]=1,Tasks[[#This Row],[Mode]]&lt;&gt;"Manual",N(Tasks[[#This Row],[Actual Start]])=0),MAX(0,N(Tasks[[#This Row],[Free Slack]])),0)</f>
        <v>0</v>
      </c>
      <c r="FG13" s="91" t="n">
        <f aca="false">IF(NOT(Tasks[[#This Row],[_IsLeaf]]=1),"",IF(Tasks[[#This Row],[_AlapShift]]=0,Tasks[[#This Row],[_LeafCalcStart]],WORKDAY.INTL(Tasks[[#This Row],[_LeafCalcStart]],Tasks[[#This Row],[_AlapShift]],WorkWeek,Holidays)))</f>
        <v>46296</v>
      </c>
      <c r="FH13" s="91" t="n">
        <f aca="false">IF(NOT(Tasks[[#This Row],[_IsLeaf]]=1),"",IF(Tasks[[#This Row],[_AlapShift]]=0,Tasks[[#This Row],[_LeafCalcFinish]],WORKDAY.INTL(Tasks[[#This Row],[_LeafCalcFinish]],Tasks[[#This Row],[_AlapShift]],WorkWeek,Holidays)))</f>
        <v>46296</v>
      </c>
      <c r="FI13" s="91" t="n">
        <f aca="false">IF(NOT(Tasks[[#This Row],[_IsLeaf]]=1),"",IF(Tasks[[#This Row],[_AlapShift]]=0,Tasks[[#This Row],[_LeafFcstStart]],WORKDAY.INTL(Tasks[[#This Row],[_LeafFcstStart]],Tasks[[#This Row],[_AlapShift]],WorkWeek,Holidays)))</f>
        <v>46301</v>
      </c>
      <c r="FJ13" s="91" t="n">
        <f aca="false">IF(NOT(Tasks[[#This Row],[_IsLeaf]]=1),"",IF(Tasks[[#This Row],[_AlapShift]]=0,Tasks[[#This Row],[_LeafFcstFinish]],WORKDAY.INTL(Tasks[[#This Row],[_LeafFcstFinish]],Tasks[[#This Row],[_AlapShift]],WorkWeek,Holidays)))</f>
        <v>46301</v>
      </c>
      <c r="FK13" s="91" t="n">
        <f aca="false">IF(Tasks[[#This Row],[Task Name]]="","",IF(Tasks[[#This Row],[_IsSummary]],MIN(INDEX(Tasks[_ShownCalcStart],Tasks[[#This Row],[_Row]]+1):INDEX(Tasks[_ShownCalcStart],Tasks[[#This Row],[_Row]]+Tasks[[#This Row],[_Descendants]])),Tasks[[#This Row],[_ShownCalcStart]]))</f>
        <v>46296</v>
      </c>
      <c r="FL13" s="91" t="n">
        <f aca="false">IF(Tasks[[#This Row],[Task Name]]="","",IF(Tasks[[#This Row],[_IsSummary]],MAX(INDEX(Tasks[_ShownCalcFinish],Tasks[[#This Row],[_Row]]+1):INDEX(Tasks[_ShownCalcFinish],Tasks[[#This Row],[_Row]]+Tasks[[#This Row],[_Descendants]])),Tasks[[#This Row],[_ShownCalcFinish]]))</f>
        <v>46296</v>
      </c>
      <c r="FM1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46296</v>
      </c>
      <c r="FR1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46301</v>
      </c>
      <c r="FV1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 s="43" t="n">
        <f aca="false">IF(AND(Tasks[[#This Row],[_IsLeaf]]=1,Tasks[[#This Row],[_LeafTotalWork]]&gt;0),NETWORKDAYS.INTL(ProjectStart,Tasks[[#This Row],[_ShownFcstStart]],WorkWeek,Holidays),0)</f>
        <v>0</v>
      </c>
      <c r="FZ13" s="43" t="n">
        <f aca="false">IF(AND(Tasks[[#This Row],[_IsLeaf]]=1,Tasks[[#This Row],[_LeafTotalWork]]&gt;0),MAX(Tasks[[#This Row],[_StartWorkday]],NETWORKDAYS.INTL(ProjectStart,Tasks[[#This Row],[_ShownFcstFinish]],WorkWeek,Holidays)),0)</f>
        <v>0</v>
      </c>
      <c r="GA13" s="43" t="n">
        <f aca="false">IF(AND(Tasks[[#This Row],[_IsLeaf]]=1,Tasks[[#This Row],[_LeafTotalWork]]&gt;0),Tasks[[#This Row],[_LeafWork]]/(Tasks[[#This Row],[_FinishWorkday]]-Tasks[[#This Row],[_StartWorkday]]+1),0)</f>
        <v>0</v>
      </c>
      <c r="GB13" s="43" t="n">
        <f aca="false">Tasks[[#This Row],[_WorkPerWorkday]]*(Tasks[[#This Row],[_StartWorkday]]-1)</f>
        <v>-0</v>
      </c>
      <c r="GC13" s="43" t="n">
        <f aca="false">IF(Tasks[[#This Row],[_IsLeaf]]=1,MAX(N(Tasks[[#This Row],[_Days]]),0.1),0)</f>
        <v>0.1</v>
      </c>
      <c r="GD13" s="43" t="n">
        <f aca="false">Tasks[[#This Row],[_WeightDur]]*Tasks[[#This Row],[_LeafProgress]]</f>
        <v>0.1</v>
      </c>
      <c r="GE13" s="43" t="n">
        <f aca="false">Tasks[[#This Row],[_WeightDur]]*Tasks[[#This Row],[_PlannedPct]]</f>
        <v>0.1</v>
      </c>
      <c r="GF1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8</v>
      </c>
      <c r="GG13" s="43" t="str">
        <f aca="false">IF(AND(Tasks[[#This Row],[_IsLeaf]]=1,N(Tasks[[#This Row],[_Days]])=0,Tasks[[#This Row],[_LeafProgress]]&lt;1),Tasks[[#This Row],[_ShownFcstFinish]]+Tasks[[#This Row],[_Row]]/100000,"")</f>
        <v/>
      </c>
      <c r="GH1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3" s="43" t="str">
        <f aca="false">IF(Tasks[[#This Row],[Task Name]]="","",LEFT(Tasks[[#This Row],[WBS]],FIND(".",Tasks[[#This Row],[WBS]]&amp;".")-1))</f>
        <v>2</v>
      </c>
      <c r="GJ13" s="43" t="str">
        <f aca="false">IF(AND(Tasks[[#This Row],[Task Name]]&lt;&gt;"",Tasks[[#This Row],[_Level]]=1),Tasks[[#This Row],[_Row]],"")</f>
        <v/>
      </c>
      <c r="GK13" s="95" t="n">
        <f aca="false">IF(AND(Tasks[[#This Row],[_IsLeaf]]=1,N(Tasks[[#This Row],[_Days]])=0),Tasks[[#This Row],[Planned Finish]]+Tasks[[#This Row],[_Row]]/100000,"")</f>
        <v>46296.00008</v>
      </c>
      <c r="GL13" s="43" t="str">
        <f aca="false">IF(AND(Tasks[[#This Row],[_IsLeaf]]=1,Tasks[[#This Row],[_LeafProgress]]&lt;1,OR(N(Tasks[[#This Row],[Finish Var]])&gt;0,Tasks[[#This Row],[Status]]="Late Start")),MAX(0,Tasks[[#This Row],[Finish Var]])+1-Tasks[[#This Row],[_Row]]/1000000,"")</f>
        <v/>
      </c>
      <c r="GM13" s="43" t="str">
        <f aca="false">IF(AND(Tasks[[#This Row],[_IsLeaf]]=1,N(Tasks[[#This Row],[Actual Start]])=0,Tasks[[#This Row],[_ShownFcstStart]]&gt;=StatusDate,Tasks[[#This Row],[_ShownFcstStart]]&lt;=LookaheadEnd),Tasks[[#This Row],[_ShownFcstStart]]+Tasks[[#This Row],[_Row]]/100000,"")</f>
        <v/>
      </c>
      <c r="GN13" s="43" t="str">
        <f aca="false">IF(AND(Tasks[[#This Row],[_IsLeaf]]=1,Tasks[[#This Row],[_LeafProgress]]&lt;1,Tasks[[#This Row],[_ShownFcstFinish]]&gt;=StatusDate,Tasks[[#This Row],[_ShownFcstFinish]]&lt;=LookaheadEnd),Tasks[[#This Row],[_ShownFcstFinish]]+Tasks[[#This Row],[_Row]]/100000,"")</f>
        <v/>
      </c>
      <c r="GO13" s="43" t="str">
        <f aca="false">IF(Tasks[[#This Row],[_LeafCritical]],Tasks[[#This Row],[_ShownFcstStart]]+Tasks[[#This Row],[_Row]]/100000,"")</f>
        <v/>
      </c>
      <c r="GP13" s="43" t="n">
        <f aca="false">Tasks[[#This Row],[_LeafWork]]*Tasks[[#This Row],[_LeafProgress]]</f>
        <v>0</v>
      </c>
      <c r="GQ13" s="91" t="n">
        <f aca="false">IF(AND(Tasks[[#This Row],[_IsLeaf]]=1,Tasks[[#This Row],[_LeafProgress]]&gt;=1),IF(N(Tasks[[#This Row],[Actual Finish]])&gt;0,Tasks[[#This Row],[Actual Finish]],Tasks[[#This Row],[_ShownFcstFinish]]),"")</f>
        <v>46301</v>
      </c>
      <c r="GR13" s="43" t="n">
        <f aca="false">IF(Tasks[[#This Row],[_IsLeaf]]=1,N(Tasks[[#This Row],[Story Points]]),0)</f>
        <v>0</v>
      </c>
      <c r="GS13" s="43" t="str">
        <f aca="false">""</f>
        <v/>
      </c>
      <c r="GT13" s="90" t="b">
        <f aca="false">IF(Tasks[[#This Row],[Task Name]]="",FALSE(),AND(Tasks[[#This Row],[_IsLeaf]]=1,N(Tasks[[#This Row],[_Days]])=0))</f>
        <v>1</v>
      </c>
      <c r="GU13" s="91" t="n">
        <f aca="false">IF(Tasks[[#This Row],[Task Name]]="",0,IF(AND(Tasks[[#This Row],[_IsLeaf]]=1,NOT(Tasks[[#This Row],[_IsMilestone]]),N(Tasks[[#This Row],[Progress]])&gt;0),Tasks[[#This Row],[Start]],0))</f>
        <v>0</v>
      </c>
      <c r="GV13" s="91" t="n">
        <f aca="false">IF(Tasks[[#This Row],[_DoneFrom]]=0,0,IF(Tasks[[#This Row],[Progress]]&gt;=1,Tasks[[#This Row],[Finish]],MAX(Tasks[[#This Row],[_DoneFrom]],Tasks[[#This Row],[Start]]+ROUND((Tasks[[#This Row],[Finish]]-Tasks[[#This Row],[Start]]+1)*Tasks[[#This Row],[Progress]],0)-1)))</f>
        <v>0</v>
      </c>
      <c r="GW13" s="91" t="n">
        <f aca="false">IF(Tasks[[#This Row],[Task Name]]="",0,IF(OR(NOT(Tasks[[#This Row],[_IsLeaf]]=1),Tasks[[#This Row],[_IsMilestone]],N(Tasks[[#This Row],[Progress]])&gt;=1),0,IF(Tasks[[#This Row],[_DoneTo]]&gt;0,Tasks[[#This Row],[_DoneTo]]+1,Tasks[[#This Row],[Start]])))</f>
        <v>0</v>
      </c>
      <c r="GX13" s="91" t="n">
        <f aca="false">IF(Tasks[[#This Row],[_RemFrom]]=0,0,Tasks[[#This Row],[Finish]])</f>
        <v>0</v>
      </c>
      <c r="GY13" s="90" t="b">
        <f aca="false">IF(Tasks[[#This Row],[Task Name]]="",FALSE(),OR(NOT(BaselineSet),N(Tasks[[#This Row],[Baseline Start]])&gt;0))</f>
        <v>1</v>
      </c>
      <c r="GZ13"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A1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8</v>
      </c>
      <c r="HB1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 s="92" t="n">
        <f aca="false">IF(Tasks[[#This Row],[_IsLeaf]]=1,Tasks[[#This Row],[_Row]],"")</f>
        <v>8</v>
      </c>
      <c r="HD13" s="92" t="str">
        <f aca="false">IFERROR(INDEX(Tasks[UID],SMALL(Tasks[_PickKey],Tasks[[#This Row],[_Row]]))&amp;" "&amp;INDEX(Tasks[Task Name],SMALL(Tasks[_PickKey],Tasks[[#This Row],[_Row]])),"")</f>
        <v>24 Go-live readiness review</v>
      </c>
      <c r="HE13" s="43" t="n">
        <f aca="false">IF(Tasks[[#This Row],[Task Name]]="","",IF(Tasks[[#This Row],[_IsSummary]],NETWORKDAYS.INTL(Tasks[[#This Row],[Start]],Tasks[[#This Row],[Finish]],WorkWeek,Holidays),N(Tasks[[#This Row],[_Days]])))</f>
        <v>0</v>
      </c>
      <c r="HF13" s="43" t="n">
        <f aca="false">IF(Tasks[[#This Row],[Expected]]="",0,((Tasks[[#This Row],[Pessimistic]]-Tasks[[#This Row],[Optimistic]])/6)^2)</f>
        <v>0</v>
      </c>
      <c r="HG13" s="43" t="n">
        <f aca="false">IF(Tasks[[#This Row],[Expected]]="",0,Tasks[[#This Row],[Expected]]-N(Tasks[[#This Row],[_Days]]))</f>
        <v>0</v>
      </c>
    </row>
    <row r="14" customFormat="false" ht="15" hidden="false" customHeight="false" outlineLevel="0" collapsed="false">
      <c r="A14" s="21" t="n">
        <f aca="false">IF(Tasks[[#This Row],[Task Name]]="","",COUNTA(Tasks[[#Headers],[Task Name]]:Tasks[[#This Row],[Task Name]])-1)</f>
        <v>9</v>
      </c>
      <c r="B14" s="22" t="n">
        <v>20</v>
      </c>
      <c r="C14" s="22" t="n">
        <v>1</v>
      </c>
      <c r="D14" s="23" t="s">
        <v>654</v>
      </c>
      <c r="E14" s="22"/>
      <c r="F14" s="23"/>
      <c r="G14" s="22"/>
      <c r="H14" s="22"/>
      <c r="I14" s="23"/>
      <c r="J14" s="22"/>
      <c r="K14" s="22"/>
      <c r="L14" s="23"/>
      <c r="M14" s="22"/>
      <c r="N14" s="22"/>
      <c r="O14" s="23"/>
      <c r="P14" s="22"/>
      <c r="Q14" s="22"/>
      <c r="R14" s="23"/>
      <c r="S14" s="23"/>
      <c r="T14" s="84"/>
      <c r="U14" s="23"/>
      <c r="V14" s="84"/>
      <c r="W14" s="23"/>
      <c r="X14" s="84"/>
      <c r="Y14" s="23"/>
      <c r="Z14" s="84"/>
      <c r="AA14" s="23"/>
      <c r="AB14" s="23"/>
      <c r="AC14" s="7"/>
      <c r="AD14" s="7"/>
      <c r="AE14" s="63" t="n">
        <f aca="false">IF(Tasks[[#This Row],[Task Name]]="","",IF(Tasks[[#This Row],[_IsSummary]],MIN(INDEX(Tasks[_ShownFcstStart],Tasks[[#This Row],[_Row]]+1):INDEX(Tasks[_ShownFcstStart],Tasks[[#This Row],[_Row]]+Tasks[[#This Row],[_Descendants]])),Tasks[[#This Row],[_ShownFcstStart]]))</f>
        <v>46302</v>
      </c>
      <c r="AF14" s="63" t="n">
        <f aca="false">IF(Tasks[[#This Row],[Task Name]]="","",IF(Tasks[[#This Row],[_IsSummary]],MAX(INDEX(Tasks[_ShownFcstFinish],Tasks[[#This Row],[_Row]]+1):INDEX(Tasks[_ShownFcstFinish],Tasks[[#This Row],[_Row]]+Tasks[[#This Row],[_Descendants]])),Tasks[[#This Row],[_ShownFcstFinish]]))</f>
        <v>46324</v>
      </c>
      <c r="AG14" s="21" t="str">
        <f aca="false">""</f>
        <v/>
      </c>
      <c r="AH14" s="23"/>
      <c r="AI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 s="7"/>
      <c r="AK14" s="22" t="s">
        <v>248</v>
      </c>
      <c r="AL14" s="23"/>
      <c r="AM14" s="7"/>
      <c r="AN14" s="47" t="n">
        <f aca="false">IF(Tasks[[#This Row],[Task Name]]="","",IF(Tasks[[#This Row],[Finish]]&gt;=Tasks[[#This Row],[Planned Finish]],NETWORKDAYS.INTL(Tasks[[#This Row],[Planned Finish]],Tasks[[#This Row],[Finish]],WorkWeek,Holidays)-1,1-NETWORKDAYS.INTL(Tasks[[#This Row],[Finish]],Tasks[[#This Row],[Planned Finish]],WorkWeek,Holidays)))</f>
        <v>4</v>
      </c>
      <c r="AO14" s="21" t="str">
        <f aca="false">IF(Tasks[[#This Row],[Task Name]]="","",IF(Tasks[[#This Row],[Progress]]&gt;=1,"Complete",IF(OR(N(Tasks[[#This Row],[Actual Start]])&gt;0,Tasks[[#This Row],[Progress]]&gt;0),IF(Tasks[[#This Row],[Finish Var]]&gt;0,"Behind","In Progress"),IF(Tasks[[#This Row],[Planned Start]]&lt;StatusDate,"Late Start","Not Started"))))</f>
        <v>Behind</v>
      </c>
      <c r="AP14" s="21" t="str">
        <f aca="false">IF(Tasks[[#This Row],[Task Name]]="","",IF(IF(Tasks[[#This Row],[_IsSummary]],COUNTIF(INDEX(Tasks[_LeafCritical],Tasks[[#This Row],[_Row]]+1):INDEX(Tasks[_LeafCritical],Tasks[[#This Row],[_Row]]+Tasks[[#This Row],[_Descendants]]),TRUE())&gt;0,Tasks[[#This Row],[_LeafCritical]]),"Yes",""))</f>
        <v>Yes</v>
      </c>
      <c r="AQ14" s="63" t="n">
        <f aca="false">IF(Tasks[[#This Row],[Task Name]]="","",IF(N(Tasks[[#This Row],[Baseline Start]])&gt;0,Tasks[[#This Row],[Baseline Start]],Tasks[[#This Row],[_CalcStart]]))</f>
        <v>46297</v>
      </c>
      <c r="AR14" s="63" t="n">
        <f aca="false">IF(Tasks[[#This Row],[Task Name]]="","",IF(N(Tasks[[#This Row],[Baseline Finish]])&gt;0,Tasks[[#This Row],[Baseline Finish]],Tasks[[#This Row],[_CalcFinish]]))</f>
        <v>46318</v>
      </c>
      <c r="AS14" s="47" t="n">
        <f aca="false">IF(Tasks[[#This Row],[Task Name]]="","",IF(Tasks[[#This Row],[Start]]&gt;=Tasks[[#This Row],[Planned Start]],NETWORKDAYS.INTL(Tasks[[#This Row],[Planned Start]],Tasks[[#This Row],[Start]],WorkWeek,Holidays)-1,1-NETWORKDAYS.INTL(Tasks[[#This Row],[Start]],Tasks[[#This Row],[Planned Start]],WorkWeek,Holidays)))</f>
        <v>3</v>
      </c>
      <c r="AT14" s="63" t="n">
        <f aca="false">IF(Tasks[[#This Row],[Task Name]]="","",IF(Tasks[[#This Row],[_IsSummary]],MIN(INDEX(Tasks[_LeafLateStart],Tasks[[#This Row],[_Row]]+1):INDEX(Tasks[_LeafLateStart],Tasks[[#This Row],[_Row]]+Tasks[[#This Row],[_Descendants]])),Tasks[[#This Row],[_LeafLateStart]]))</f>
        <v>46303</v>
      </c>
      <c r="AU14" s="63" t="n">
        <f aca="false">IF(Tasks[[#This Row],[Task Name]]="","",IF(Tasks[[#This Row],[_IsSummary]],MAX(INDEX(Tasks[_LeafLateFinish],Tasks[[#This Row],[_Row]]+1):INDEX(Tasks[_LeafLateFinish],Tasks[[#This Row],[_Row]]+Tasks[[#This Row],[_Descendants]])),Tasks[[#This Row],[_LeafLateFinish]]))</f>
        <v>46324</v>
      </c>
      <c r="AV14" s="47" t="n">
        <f aca="false">IF(Tasks[[#This Row],[Task Name]]="","",IF(Tasks[[#This Row],[_IsSummary]],MIN(INDEX(Tasks[_LeafTotalSlack],Tasks[[#This Row],[_Row]]+1):INDEX(Tasks[_LeafTotalSlack],Tasks[[#This Row],[_Row]]+Tasks[[#This Row],[_Descendants]])),Tasks[[#This Row],[_LeafTotalSlack]]))</f>
        <v>0</v>
      </c>
      <c r="AW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5"/>
      <c r="BA14"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0.791925465838509</v>
      </c>
      <c r="BB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BD14" s="21" t="str">
        <f aca="false">IF(Tasks[[#This Row],[Task Name]]="","",IF(Tasks[[#This Row],[_Level]]&lt;=OutlineShowLevel,"Yes","No"))</f>
        <v>Yes</v>
      </c>
      <c r="BE14" s="86" t="n">
        <f aca="false">IF(Tasks[[#This Row],[Task Name]]="","",IF(Tasks[[#This Row],[_IsSummary]],SUM(INDEX(Tasks[_LeafTotalWork],Tasks[[#This Row],[_Row]]+1):INDEX(Tasks[_LeafTotalWork],Tasks[[#This Row],[_Row]]+Tasks[[#This Row],[_Descendants]])),Tasks[[#This Row],[_LeafTotalWork]]))</f>
        <v>188</v>
      </c>
      <c r="BF14" s="23" t="s">
        <v>655</v>
      </c>
      <c r="BG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 s="21" t="str">
        <f aca="false">""</f>
        <v/>
      </c>
      <c r="BI14" s="87"/>
      <c r="BJ14" s="22"/>
      <c r="BK14" s="47" t="n">
        <f aca="false">IF(OR(Tasks[[#This Row],[Task Name]]="",Tasks[[#This Row],[Baseline Duration]]=""),"",Tasks[[#This Row],[_SpanDays]]-N(Tasks[[#This Row],[Baseline Duration]]))</f>
        <v>1</v>
      </c>
      <c r="BL14" s="86" t="n">
        <f aca="false">IF(OR(Tasks[[#This Row],[Task Name]]="",Tasks[[#This Row],[Baseline Work]]=""),"",Tasks[[#This Row],[Work]]-N(Tasks[[#This Row],[Baseline Work]]))</f>
        <v>60</v>
      </c>
      <c r="BM14" s="63" t="n">
        <f aca="false">IF(Tasks[[#This Row],[Task Name]]="","",IF(OR(TakeBaseline="Yes",N(Tasks[[#This Row],[Baseline Start]])=0),Tasks[[#This Row],[Start]],Tasks[[#This Row],[Baseline Start]]))</f>
        <v>46297</v>
      </c>
      <c r="BN14" s="63" t="n">
        <f aca="false">IF(Tasks[[#This Row],[Task Name]]="","",IF(OR(TakeBaseline="Yes",N(Tasks[[#This Row],[Baseline Finish]])=0),Tasks[[#This Row],[Finish]],Tasks[[#This Row],[Baseline Finish]]))</f>
        <v>46318</v>
      </c>
      <c r="BO14" s="21" t="n">
        <f aca="false">IF(Tasks[[#This Row],[Task Name]]="","",IF(OR(TakeBaseline="Yes",N(Tasks[[#This Row],[Baseline Duration]])=0),Tasks[[#This Row],[_SpanDays]],Tasks[[#This Row],[Baseline Duration]]))</f>
        <v>16</v>
      </c>
      <c r="BP14" s="86" t="n">
        <f aca="false">IF(Tasks[[#This Row],[Task Name]]="","",IF(OR(TakeBaseline="Yes",N(Tasks[[#This Row],[Baseline Work]])=0),Tasks[[#This Row],[Work]],Tasks[[#This Row],[Baseline Work]]))</f>
        <v>128</v>
      </c>
      <c r="BQ14" s="7" t="n">
        <v>46297</v>
      </c>
      <c r="BR14" s="7" t="n">
        <v>46318</v>
      </c>
      <c r="BS14" s="22" t="n">
        <v>16</v>
      </c>
      <c r="BT14" s="88" t="n">
        <v>128</v>
      </c>
      <c r="BU14" s="23"/>
      <c r="BV14" s="23"/>
      <c r="BW14" s="23"/>
      <c r="BX14" s="89" t="str">
        <f aca="false">IF(AND(Tasks[[#This Row],[_IsLeaf]]=1,ISNUMBER(Tasks[[#This Row],[Optimistic]]),ISNUMBER(Tasks[[#This Row],[Pessimistic]])),ROUND((Tasks[[#This Row],[Optimistic]]+4*N(Tasks[[#This Row],[_Days]])+Tasks[[#This Row],[Pessimistic]])/6,1),"")</f>
        <v/>
      </c>
      <c r="BY14" s="87"/>
      <c r="BZ14" s="87"/>
      <c r="CA14" s="22"/>
      <c r="CB14" s="43" t="n">
        <f aca="false">IF(Tasks[[#This Row],[Task Name]]="","",MAX(1,N(Tasks[[#This Row],[Level]])))</f>
        <v>1</v>
      </c>
      <c r="CC14" s="43" t="n">
        <f aca="false">ROW()-ROW(Tasks[[#Headers],[ID]])</f>
        <v>9</v>
      </c>
      <c r="CD14" s="43" t="n">
        <f aca="false">IF(OR(Tasks[[#This Row],[Task Name]]="",Tasks[[#This Row],[_Level]]&lt;=1),0,IFERROR(LOOKUP(2,1/(Tasks[[#Headers],[_Level]]:Tasks[[#This Row],[_Level]]=Tasks[[#This Row],[_Level]]-1),ROW(Tasks[[#Headers],[_Level]]:Tasks[[#This Row],[_Level]])),0))</f>
        <v>0</v>
      </c>
      <c r="CE14" s="43" t="n">
        <f aca="false">IFERROR(N(INDEX(Tasks[_Level],Tasks[[#This Row],[_Row]]+1)),0)</f>
        <v>2</v>
      </c>
      <c r="CF14" s="90" t="b">
        <f aca="false">AND(Tasks[[#This Row],[Task Name]]&lt;&gt;"",Tasks[[#This Row],[_NextLevel]]&gt;Tasks[[#This Row],[_Level]])</f>
        <v>1</v>
      </c>
      <c r="CG14" s="43" t="n">
        <f aca="false">IF(Tasks[[#This Row],[_IsSummary]],COUNTIF(Tasks[WBS],Tasks[[#This Row],[WBS]]&amp;".*"),0)</f>
        <v>3</v>
      </c>
      <c r="CH14" s="43" t="n">
        <f aca="false">IF(AND(Tasks[[#This Row],[Task Name]]&lt;&gt;"",NOT(Tasks[[#This Row],[_IsSummary]])),1,0)</f>
        <v>0</v>
      </c>
      <c r="CI14" s="43" t="n">
        <f aca="false">IF(N(Tasks[[#This Row],[_Pred1UID]])=0,0,IFERROR(MATCH(Tasks[[#This Row],[_Pred1UID]],Tasks[UID],0),-1))</f>
        <v>0</v>
      </c>
      <c r="CJ14" s="43" t="n">
        <f aca="false">IF(N(Tasks[[#This Row],[_Pred2UID]])=0,0,IFERROR(MATCH(Tasks[[#This Row],[_Pred2UID]],Tasks[UID],0),-1))</f>
        <v>0</v>
      </c>
      <c r="CK14" s="43" t="n">
        <f aca="false">IF(N(Tasks[[#This Row],[_Pred3UID]])=0,0,IFERROR(MATCH(Tasks[[#This Row],[_Pred3UID]],Tasks[UID],0),-1))</f>
        <v>0</v>
      </c>
      <c r="CL14" s="43" t="n">
        <f aca="false">IF(N(Tasks[[#This Row],[_Pred4UID]])=0,0,IFERROR(MATCH(Tasks[[#This Row],[_Pred4UID]],Tasks[UID],0),-1))</f>
        <v>0</v>
      </c>
      <c r="CM1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 s="91" t="n">
        <f aca="false">IF(OR(Tasks[[#This Row],[_ConstraintCode]]=2,Tasks[[#This Row],[_ConstraintCode]]=3,Tasks[[#This Row],[_ConstraintCode]]=4,Tasks[[#This Row],[_ConstraintCode]]=6),Tasks[[#This Row],[_ConstraintStart]],0)</f>
        <v>0</v>
      </c>
      <c r="CP14" s="91" t="n">
        <f aca="false">IF(OR(Tasks[[#This Row],[_ConstraintCode]]=2,Tasks[[#This Row],[_ConstraintCode]]=3,Tasks[[#This Row],[_ConstraintCode]]=5,Tasks[[#This Row],[_ConstraintCode]]=7),Tasks[[#This Row],[_ConstraintStart]],2958465)</f>
        <v>2958465</v>
      </c>
      <c r="CQ1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 s="91" t="str">
        <f aca="false">IF(NOT(Tasks[[#This Row],[_IsLeaf]]=1),"",IF(N(Tasks[[#This Row],[_Days]])&lt;=0,Tasks[[#This Row],[_LeafCalcStart]],WORKDAY.INTL(Tasks[[#This Row],[_LeafCalcStart]],Tasks[[#This Row],[_Days]]-1,WorkWeek,Holidays)))</f>
        <v/>
      </c>
      <c r="CS1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 s="43" t="str">
        <f aca="false">IF(Tasks[[#This Row],[_Predecessors]]="","",TRIM(MID(SUBSTITUTE(SUBSTITUTE(SUBSTITUTE(UPPER(Tasks[[#This Row],[_Predecessors]]),";",",")," ",""),",",REPT(" ",99)),1,99)))</f>
        <v/>
      </c>
      <c r="CV14" s="43" t="str">
        <f aca="false">IF(Tasks[[#This Row],[_Pred1Text]]="","",IFERROR(VALUE(LEFT(Tasks[[#This Row],[_Pred1Text]],MIN(FIND("F",Tasks[[#This Row],[_Pred1Text]]&amp;"F"),FIND("S",Tasks[[#This Row],[_Pred1Text]]&amp;"S"),FIND("+",Tasks[[#This Row],[_Pred1Text]]&amp;"+"),FIND("-",Tasks[[#This Row],[_Pred1Text]]&amp;"-"))-1)),""))</f>
        <v/>
      </c>
      <c r="CW1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 s="43" t="str">
        <f aca="false">IF(Tasks[[#This Row],[_Pred1Text]]="","",TRIM(MID(SUBSTITUTE(SUBSTITUTE(SUBSTITUTE(UPPER(Tasks[[#This Row],[_Predecessors]]),";",",")," ",""),",",REPT(" ",99)),100,99)))</f>
        <v/>
      </c>
      <c r="CZ14" s="43" t="str">
        <f aca="false">IF(Tasks[[#This Row],[_Pred2Text]]="","",IFERROR(VALUE(LEFT(Tasks[[#This Row],[_Pred2Text]],MIN(FIND("F",Tasks[[#This Row],[_Pred2Text]]&amp;"F"),FIND("S",Tasks[[#This Row],[_Pred2Text]]&amp;"S"),FIND("+",Tasks[[#This Row],[_Pred2Text]]&amp;"+"),FIND("-",Tasks[[#This Row],[_Pred2Text]]&amp;"-"))-1)),""))</f>
        <v/>
      </c>
      <c r="DA1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 s="43" t="str">
        <f aca="false">IF(Tasks[[#This Row],[_Pred2Text]]="","",TRIM(MID(SUBSTITUTE(SUBSTITUTE(SUBSTITUTE(UPPER(Tasks[[#This Row],[_Predecessors]]),";",",")," ",""),",",REPT(" ",99)),199,99)))</f>
        <v/>
      </c>
      <c r="DD14" s="43" t="str">
        <f aca="false">IF(Tasks[[#This Row],[_Pred3Text]]="","",IFERROR(VALUE(LEFT(Tasks[[#This Row],[_Pred3Text]],MIN(FIND("F",Tasks[[#This Row],[_Pred3Text]]&amp;"F"),FIND("S",Tasks[[#This Row],[_Pred3Text]]&amp;"S"),FIND("+",Tasks[[#This Row],[_Pred3Text]]&amp;"+"),FIND("-",Tasks[[#This Row],[_Pred3Text]]&amp;"-"))-1)),""))</f>
        <v/>
      </c>
      <c r="DE1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 s="43" t="str">
        <f aca="false">IF(Tasks[[#This Row],[_Pred3Text]]="","",TRIM(MID(SUBSTITUTE(SUBSTITUTE(SUBSTITUTE(UPPER(Tasks[[#This Row],[_Predecessors]]),";",",")," ",""),",",REPT(" ",99)),298,99)))</f>
        <v/>
      </c>
      <c r="DH14" s="43" t="str">
        <f aca="false">IF(Tasks[[#This Row],[_Pred4Text]]="","",IFERROR(VALUE(LEFT(Tasks[[#This Row],[_Pred4Text]],MIN(FIND("F",Tasks[[#This Row],[_Pred4Text]]&amp;"F"),FIND("S",Tasks[[#This Row],[_Pred4Text]]&amp;"S"),FIND("+",Tasks[[#This Row],[_Pred4Text]]&amp;"+"),FIND("-",Tasks[[#This Row],[_Pred4Text]]&amp;"-"))-1)),""))</f>
        <v/>
      </c>
      <c r="DI1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 s="43" t="str">
        <f aca="false">IF(OR(Tasks[[#This Row],[Task Name]]="",Tasks[[#This Row],[_Resources]]=""),"",TRIM(MID(SUBSTITUTE(Tasks[[#This Row],[_Resources]],",",REPT(" ",99)),1,99)))</f>
        <v/>
      </c>
      <c r="DL14" s="43" t="str">
        <f aca="false">IF(Tasks[[#This Row],[_Res1Text]]="","",TRIM(MID(SUBSTITUTE(Tasks[[#This Row],[_Resources]],",",REPT(" ",99)),100,99)))</f>
        <v/>
      </c>
      <c r="DM14" s="43" t="str">
        <f aca="false">IF(Tasks[[#This Row],[_Res2Text]]="","",TRIM(MID(SUBSTITUTE(Tasks[[#This Row],[_Resources]],",",REPT(" ",99)),199,99)))</f>
        <v/>
      </c>
      <c r="DN14" s="43" t="str">
        <f aca="false">IF(Tasks[[#This Row],[_Res3Text]]="","",TRIM(MID(SUBSTITUTE(Tasks[[#This Row],[_Resources]],",",REPT(" ",99)),298,99)))</f>
        <v/>
      </c>
      <c r="DO14" s="43" t="n">
        <f aca="false">IF(Tasks[[#This Row],[_Res1Text]]="",0,IFERROR(MATCH(TRIM(LEFT(Tasks[[#This Row],[_Res1Text]],FIND("[",Tasks[[#This Row],[_Res1Text]]&amp;"[")-1)),res_Name,0),IFERROR(MATCH(TRIM(LEFT(Tasks[[#This Row],[_Res1Text]],FIND("[",Tasks[[#This Row],[_Res1Text]]&amp;"[")-1)),res_Initials,0),0)))</f>
        <v>0</v>
      </c>
      <c r="DP14" s="43" t="n">
        <f aca="false">IF(Tasks[[#This Row],[_Res2Text]]="",0,IFERROR(MATCH(TRIM(LEFT(Tasks[[#This Row],[_Res2Text]],FIND("[",Tasks[[#This Row],[_Res2Text]]&amp;"[")-1)),res_Name,0),IFERROR(MATCH(TRIM(LEFT(Tasks[[#This Row],[_Res2Text]],FIND("[",Tasks[[#This Row],[_Res2Text]]&amp;"[")-1)),res_Initials,0),0)))</f>
        <v>0</v>
      </c>
      <c r="DQ14" s="43" t="n">
        <f aca="false">IF(Tasks[[#This Row],[_Res3Text]]="",0,IFERROR(MATCH(TRIM(LEFT(Tasks[[#This Row],[_Res3Text]],FIND("[",Tasks[[#This Row],[_Res3Text]]&amp;"[")-1)),res_Name,0),IFERROR(MATCH(TRIM(LEFT(Tasks[[#This Row],[_Res3Text]],FIND("[",Tasks[[#This Row],[_Res3Text]]&amp;"[")-1)),res_Initials,0),0)))</f>
        <v>0</v>
      </c>
      <c r="DR14" s="43" t="n">
        <f aca="false">IF(Tasks[[#This Row],[_Res4Text]]="",0,IFERROR(MATCH(TRIM(LEFT(Tasks[[#This Row],[_Res4Text]],FIND("[",Tasks[[#This Row],[_Res4Text]]&amp;"[")-1)),res_Name,0),IFERROR(MATCH(TRIM(LEFT(Tasks[[#This Row],[_Res4Text]],FIND("[",Tasks[[#This Row],[_Res4Text]]&amp;"[")-1)),res_Initials,0),0)))</f>
        <v>0</v>
      </c>
      <c r="DS14" s="43" t="str">
        <f aca="false">IF(Tasks[[#This Row],[_Res1Text]]="","",IF(Tasks[[#This Row],[_Res1Row]]&gt;0,INDEX(res_Name,Tasks[[#This Row],[_Res1Row]]),TRIM(LEFT(Tasks[[#This Row],[_Res1Text]],FIND("[",Tasks[[#This Row],[_Res1Text]]&amp;"[")-1))))</f>
        <v/>
      </c>
      <c r="DT1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 s="43" t="n">
        <f aca="false">IF(NOT(Tasks[[#This Row],[_IsLeaf]]=1),0,(Tasks[[#This Row],[_Resource1]]&lt;&gt;"")+(Tasks[[#This Row],[_Res2]]&lt;&gt;"")+(Tasks[[#This Row],[_Res3]]&lt;&gt;"")+(Tasks[[#This Row],[_Res4]]&lt;&gt;""))</f>
        <v>0</v>
      </c>
      <c r="DV14" s="43" t="str">
        <f aca="false">IF(Tasks[[#This Row],[_Res2Text]]="","",IF(Tasks[[#This Row],[_Res2Row]]&gt;0,INDEX(res_Name,Tasks[[#This Row],[_Res2Row]]),TRIM(LEFT(Tasks[[#This Row],[_Res2Text]],FIND("[",Tasks[[#This Row],[_Res2Text]]&amp;"[")-1))))</f>
        <v/>
      </c>
      <c r="DW1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 s="43" t="n">
        <f aca="false">IF(OR(NOT(Tasks[[#This Row],[_IsLeaf]]=1),Tasks[[#This Row],[_Res2Row]]=0),0,N(Tasks[[#This Row],[_Days]])*HoursPerDay*IF(Tasks[[#This Row],[_Res2Units]]="",DefaultUnits,Tasks[[#This Row],[_Res2Units]]))</f>
        <v>0</v>
      </c>
      <c r="DY14" s="43" t="n">
        <f aca="false">IF(AND(AND(Tasks[[#This Row],[_IsLeaf]]=1,Tasks[[#This Row],[_LeafTotalWork]]&gt;0),Tasks[[#This Row],[_Res2Work]]&gt;0),Tasks[[#This Row],[_Res2Work]]/(Tasks[[#This Row],[_FinishWorkday]]-Tasks[[#This Row],[_StartWorkday]]+1),0)</f>
        <v>0</v>
      </c>
      <c r="DZ14" s="43" t="n">
        <f aca="false">Tasks[[#This Row],[_Res2WorkPerWD]]*MAX(0,Tasks[[#This Row],[_StartWorkday]]-1)</f>
        <v>0</v>
      </c>
      <c r="EA14" s="43" t="n">
        <f aca="false">Tasks[[#This Row],[_Res2Work]]*Tasks[[#This Row],[_LeafProgress]]</f>
        <v>0</v>
      </c>
      <c r="EB14" s="43" t="str">
        <f aca="false">IF(Tasks[[#This Row],[_Res3Text]]="","",IF(Tasks[[#This Row],[_Res3Row]]&gt;0,INDEX(res_Name,Tasks[[#This Row],[_Res3Row]]),TRIM(LEFT(Tasks[[#This Row],[_Res3Text]],FIND("[",Tasks[[#This Row],[_Res3Text]]&amp;"[")-1))))</f>
        <v/>
      </c>
      <c r="EC1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 s="43" t="n">
        <f aca="false">IF(OR(NOT(Tasks[[#This Row],[_IsLeaf]]=1),Tasks[[#This Row],[_Res3Row]]=0),0,N(Tasks[[#This Row],[_Days]])*HoursPerDay*IF(Tasks[[#This Row],[_Res3Units]]="",DefaultUnits,Tasks[[#This Row],[_Res3Units]]))</f>
        <v>0</v>
      </c>
      <c r="EE14" s="43" t="n">
        <f aca="false">IF(AND(AND(Tasks[[#This Row],[_IsLeaf]]=1,Tasks[[#This Row],[_LeafTotalWork]]&gt;0),Tasks[[#This Row],[_Res3Work]]&gt;0),Tasks[[#This Row],[_Res3Work]]/(Tasks[[#This Row],[_FinishWorkday]]-Tasks[[#This Row],[_StartWorkday]]+1),0)</f>
        <v>0</v>
      </c>
      <c r="EF14" s="43" t="n">
        <f aca="false">Tasks[[#This Row],[_Res3WorkPerWD]]*MAX(0,Tasks[[#This Row],[_StartWorkday]]-1)</f>
        <v>0</v>
      </c>
      <c r="EG14" s="43" t="n">
        <f aca="false">Tasks[[#This Row],[_Res3Work]]*Tasks[[#This Row],[_LeafProgress]]</f>
        <v>0</v>
      </c>
      <c r="EH14" s="43" t="str">
        <f aca="false">IF(Tasks[[#This Row],[_Res4Text]]="","",IF(Tasks[[#This Row],[_Res4Row]]&gt;0,INDEX(res_Name,Tasks[[#This Row],[_Res4Row]]),TRIM(LEFT(Tasks[[#This Row],[_Res4Text]],FIND("[",Tasks[[#This Row],[_Res4Text]]&amp;"[")-1))))</f>
        <v/>
      </c>
      <c r="EI1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 s="43" t="n">
        <f aca="false">IF(OR(NOT(Tasks[[#This Row],[_IsLeaf]]=1),Tasks[[#This Row],[_Res4Row]]=0),0,N(Tasks[[#This Row],[_Days]])*HoursPerDay*IF(Tasks[[#This Row],[_Res4Units]]="",DefaultUnits,Tasks[[#This Row],[_Res4Units]]))</f>
        <v>0</v>
      </c>
      <c r="EK14" s="43" t="n">
        <f aca="false">IF(AND(AND(Tasks[[#This Row],[_IsLeaf]]=1,Tasks[[#This Row],[_LeafTotalWork]]&gt;0),Tasks[[#This Row],[_Res4Work]]&gt;0),Tasks[[#This Row],[_Res4Work]]/(Tasks[[#This Row],[_FinishWorkday]]-Tasks[[#This Row],[_StartWorkday]]+1),0)</f>
        <v>0</v>
      </c>
      <c r="EL14" s="43" t="n">
        <f aca="false">Tasks[[#This Row],[_Res4WorkPerWD]]*MAX(0,Tasks[[#This Row],[_StartWorkday]]-1)</f>
        <v>0</v>
      </c>
      <c r="EM14" s="43" t="n">
        <f aca="false">Tasks[[#This Row],[_Res4Work]]*Tasks[[#This Row],[_LeafProgress]]</f>
        <v>0</v>
      </c>
      <c r="EN14" s="43" t="n">
        <f aca="false">IF(ISNUMBER(Tasks[[#This Row],[% Complete]]),Tasks[[#This Row],[% Complete]],IF(Tasks[[#This Row],[Stage]]="",0,IFERROR(INDEX(stg_Pct,MATCH(Tasks[[#This Row],[Stage]],stg_Name,0)),0)))</f>
        <v>0</v>
      </c>
      <c r="EO14" s="43" t="n">
        <f aca="false">IF(NOT(Tasks[[#This Row],[_IsLeaf]]=1),0,IF(N(Tasks[[#This Row],[Actual Finish]])&gt;0,1,MIN(1,Tasks[[#This Row],[_Pct]])))</f>
        <v>0</v>
      </c>
      <c r="EP14" s="43" t="n">
        <f aca="false">IF(OR(NOT(Tasks[[#This Row],[_IsLeaf]]=1),Tasks[[#This Row],[_Res1Row]]=0),0,N(Tasks[[#This Row],[_Days]])*HoursPerDay*IF(Tasks[[#This Row],[_Units1]]="",DefaultUnits,Tasks[[#This Row],[_Units1]]))</f>
        <v>0</v>
      </c>
      <c r="EQ14" s="43" t="n">
        <f aca="false">Tasks[[#This Row],[_LeafWork]]+Tasks[[#This Row],[_Res2Work]]+Tasks[[#This Row],[_Res3Work]]+Tasks[[#This Row],[_Res4Work]]</f>
        <v>0</v>
      </c>
      <c r="ER1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 s="43" t="n">
        <f aca="false">IF(NOT(Tasks[[#This Row],[_IsLeaf]]=1),0,MAX(_xlfn.MAXIFS(Tasks[_Row],Tasks[_Pred1UID],Tasks[[#This Row],[UID]]),_xlfn.MAXIFS(Tasks[_Row],Tasks[_Pred2UID],Tasks[[#This Row],[UID]]),_xlfn.MAXIFS(Tasks[_Row],Tasks[_Pred3UID],Tasks[[#This Row],[UID]]),_xlfn.MAXIFS(Tasks[_Row],Tasks[_Pred4UID],Tasks[[#This Row],[UID]])))</f>
        <v>0</v>
      </c>
      <c r="FA1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 s="91" t="str">
        <f aca="false">IF(NOT(Tasks[[#This Row],[_IsLeaf]]=1),"",IF(N(Tasks[[#This Row],[_Days]])&lt;=0,Tasks[[#This Row],[_LeafLateFinish]],WORKDAY.INTL(Tasks[[#This Row],[_LeafLateFinish]],-(Tasks[[#This Row],[_Days]]-1),WorkWeek,Holidays)))</f>
        <v/>
      </c>
      <c r="FD1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 s="90" t="b">
        <f aca="false">AND(Tasks[[#This Row],[_IsLeaf]]=1,Tasks[[#This Row],[_LeafProgress]]&lt;1,N(Tasks[[#This Row],[_LeafTotalSlack]])&lt;=CriticalSlackDays)</f>
        <v>0</v>
      </c>
      <c r="FF14" s="43" t="n">
        <f aca="false">IF(AND(Tasks[[#This Row],[_IsLeaf]]=1,Tasks[[#This Row],[_ConstraintCode]]=1,Tasks[[#This Row],[Mode]]&lt;&gt;"Manual",N(Tasks[[#This Row],[Actual Start]])=0),MAX(0,N(Tasks[[#This Row],[Free Slack]])),0)</f>
        <v>0</v>
      </c>
      <c r="FG14" s="91" t="str">
        <f aca="false">IF(NOT(Tasks[[#This Row],[_IsLeaf]]=1),"",IF(Tasks[[#This Row],[_AlapShift]]=0,Tasks[[#This Row],[_LeafCalcStart]],WORKDAY.INTL(Tasks[[#This Row],[_LeafCalcStart]],Tasks[[#This Row],[_AlapShift]],WorkWeek,Holidays)))</f>
        <v/>
      </c>
      <c r="FH14" s="91" t="str">
        <f aca="false">IF(NOT(Tasks[[#This Row],[_IsLeaf]]=1),"",IF(Tasks[[#This Row],[_AlapShift]]=0,Tasks[[#This Row],[_LeafCalcFinish]],WORKDAY.INTL(Tasks[[#This Row],[_LeafCalcFinish]],Tasks[[#This Row],[_AlapShift]],WorkWeek,Holidays)))</f>
        <v/>
      </c>
      <c r="FI14" s="91" t="str">
        <f aca="false">IF(NOT(Tasks[[#This Row],[_IsLeaf]]=1),"",IF(Tasks[[#This Row],[_AlapShift]]=0,Tasks[[#This Row],[_LeafFcstStart]],WORKDAY.INTL(Tasks[[#This Row],[_LeafFcstStart]],Tasks[[#This Row],[_AlapShift]],WorkWeek,Holidays)))</f>
        <v/>
      </c>
      <c r="FJ14" s="91" t="str">
        <f aca="false">IF(NOT(Tasks[[#This Row],[_IsLeaf]]=1),"",IF(Tasks[[#This Row],[_AlapShift]]=0,Tasks[[#This Row],[_LeafFcstFinish]],WORKDAY.INTL(Tasks[[#This Row],[_LeafFcstFinish]],Tasks[[#This Row],[_AlapShift]],WorkWeek,Holidays)))</f>
        <v/>
      </c>
      <c r="FK14" s="91" t="n">
        <f aca="false">IF(Tasks[[#This Row],[Task Name]]="","",IF(Tasks[[#This Row],[_IsSummary]],MIN(INDEX(Tasks[_ShownCalcStart],Tasks[[#This Row],[_Row]]+1):INDEX(Tasks[_ShownCalcStart],Tasks[[#This Row],[_Row]]+Tasks[[#This Row],[_Descendants]])),Tasks[[#This Row],[_ShownCalcStart]]))</f>
        <v>46297</v>
      </c>
      <c r="FL14" s="91" t="n">
        <f aca="false">IF(Tasks[[#This Row],[Task Name]]="","",IF(Tasks[[#This Row],[_IsSummary]],MAX(INDEX(Tasks[_ShownCalcFinish],Tasks[[#This Row],[_Row]]+1):INDEX(Tasks[_ShownCalcFinish],Tasks[[#This Row],[_Row]]+Tasks[[#This Row],[_Descendants]])),Tasks[[#This Row],[_ShownCalcFinish]]))</f>
        <v>46318</v>
      </c>
      <c r="FM1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 s="43" t="n">
        <f aca="false">IF(AND(Tasks[[#This Row],[_IsLeaf]]=1,Tasks[[#This Row],[_LeafTotalWork]]&gt;0),NETWORKDAYS.INTL(ProjectStart,Tasks[[#This Row],[_ShownFcstStart]],WorkWeek,Holidays),0)</f>
        <v>0</v>
      </c>
      <c r="FZ14" s="43" t="n">
        <f aca="false">IF(AND(Tasks[[#This Row],[_IsLeaf]]=1,Tasks[[#This Row],[_LeafTotalWork]]&gt;0),MAX(Tasks[[#This Row],[_StartWorkday]],NETWORKDAYS.INTL(ProjectStart,Tasks[[#This Row],[_ShownFcstFinish]],WorkWeek,Holidays)),0)</f>
        <v>0</v>
      </c>
      <c r="GA14" s="43" t="n">
        <f aca="false">IF(AND(Tasks[[#This Row],[_IsLeaf]]=1,Tasks[[#This Row],[_LeafTotalWork]]&gt;0),Tasks[[#This Row],[_LeafWork]]/(Tasks[[#This Row],[_FinishWorkday]]-Tasks[[#This Row],[_StartWorkday]]+1),0)</f>
        <v>0</v>
      </c>
      <c r="GB14" s="43" t="n">
        <f aca="false">Tasks[[#This Row],[_WorkPerWorkday]]*(Tasks[[#This Row],[_StartWorkday]]-1)</f>
        <v>-0</v>
      </c>
      <c r="GC14" s="43" t="n">
        <f aca="false">IF(Tasks[[#This Row],[_IsLeaf]]=1,MAX(N(Tasks[[#This Row],[_Days]]),0.1),0)</f>
        <v>0</v>
      </c>
      <c r="GD14" s="43" t="n">
        <f aca="false">Tasks[[#This Row],[_WeightDur]]*Tasks[[#This Row],[_LeafProgress]]</f>
        <v>0</v>
      </c>
      <c r="GE14" s="43" t="n">
        <f aca="false">Tasks[[#This Row],[_WeightDur]]*Tasks[[#This Row],[_PlannedPct]]</f>
        <v>0</v>
      </c>
      <c r="GF1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 s="43" t="str">
        <f aca="false">IF(AND(Tasks[[#This Row],[_IsLeaf]]=1,N(Tasks[[#This Row],[_Days]])=0,Tasks[[#This Row],[_LeafProgress]]&lt;1),Tasks[[#This Row],[_ShownFcstFinish]]+Tasks[[#This Row],[_Row]]/100000,"")</f>
        <v/>
      </c>
      <c r="GH1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 s="43" t="str">
        <f aca="false">IF(Tasks[[#This Row],[Task Name]]="","",LEFT(Tasks[[#This Row],[WBS]],FIND(".",Tasks[[#This Row],[WBS]]&amp;".")-1))</f>
        <v>3</v>
      </c>
      <c r="GJ14" s="43" t="n">
        <f aca="false">IF(AND(Tasks[[#This Row],[Task Name]]&lt;&gt;"",Tasks[[#This Row],[_Level]]=1),Tasks[[#This Row],[_Row]],"")</f>
        <v>9</v>
      </c>
      <c r="GK14" s="43" t="str">
        <f aca="false">IF(AND(Tasks[[#This Row],[_IsLeaf]]=1,N(Tasks[[#This Row],[_Days]])=0),Tasks[[#This Row],[Planned Finish]]+Tasks[[#This Row],[_Row]]/100000,"")</f>
        <v/>
      </c>
      <c r="GL14" s="43" t="str">
        <f aca="false">IF(AND(Tasks[[#This Row],[_IsLeaf]]=1,Tasks[[#This Row],[_LeafProgress]]&lt;1,OR(N(Tasks[[#This Row],[Finish Var]])&gt;0,Tasks[[#This Row],[Status]]="Late Start")),MAX(0,Tasks[[#This Row],[Finish Var]])+1-Tasks[[#This Row],[_Row]]/1000000,"")</f>
        <v/>
      </c>
      <c r="GM14" s="43" t="str">
        <f aca="false">IF(AND(Tasks[[#This Row],[_IsLeaf]]=1,N(Tasks[[#This Row],[Actual Start]])=0,Tasks[[#This Row],[_ShownFcstStart]]&gt;=StatusDate,Tasks[[#This Row],[_ShownFcstStart]]&lt;=LookaheadEnd),Tasks[[#This Row],[_ShownFcstStart]]+Tasks[[#This Row],[_Row]]/100000,"")</f>
        <v/>
      </c>
      <c r="GN14" s="43" t="str">
        <f aca="false">IF(AND(Tasks[[#This Row],[_IsLeaf]]=1,Tasks[[#This Row],[_LeafProgress]]&lt;1,Tasks[[#This Row],[_ShownFcstFinish]]&gt;=StatusDate,Tasks[[#This Row],[_ShownFcstFinish]]&lt;=LookaheadEnd),Tasks[[#This Row],[_ShownFcstFinish]]+Tasks[[#This Row],[_Row]]/100000,"")</f>
        <v/>
      </c>
      <c r="GO14" s="43" t="str">
        <f aca="false">IF(Tasks[[#This Row],[_LeafCritical]],Tasks[[#This Row],[_ShownFcstStart]]+Tasks[[#This Row],[_Row]]/100000,"")</f>
        <v/>
      </c>
      <c r="GP14" s="43" t="n">
        <f aca="false">Tasks[[#This Row],[_LeafWork]]*Tasks[[#This Row],[_LeafProgress]]</f>
        <v>0</v>
      </c>
      <c r="GQ14" s="91" t="str">
        <f aca="false">IF(AND(Tasks[[#This Row],[_IsLeaf]]=1,Tasks[[#This Row],[_LeafProgress]]&gt;=1),IF(N(Tasks[[#This Row],[Actual Finish]])&gt;0,Tasks[[#This Row],[Actual Finish]],Tasks[[#This Row],[_ShownFcstFinish]]),"")</f>
        <v/>
      </c>
      <c r="GR14" s="43" t="n">
        <f aca="false">IF(Tasks[[#This Row],[_IsLeaf]]=1,N(Tasks[[#This Row],[Story Points]]),0)</f>
        <v>0</v>
      </c>
      <c r="GS14" s="43" t="str">
        <f aca="false">""</f>
        <v/>
      </c>
      <c r="GT14" s="90" t="b">
        <f aca="false">IF(Tasks[[#This Row],[Task Name]]="",FALSE(),AND(Tasks[[#This Row],[_IsLeaf]]=1,N(Tasks[[#This Row],[_Days]])=0))</f>
        <v>0</v>
      </c>
      <c r="GU14" s="91" t="n">
        <f aca="false">IF(Tasks[[#This Row],[Task Name]]="",0,IF(AND(Tasks[[#This Row],[_IsLeaf]]=1,NOT(Tasks[[#This Row],[_IsMilestone]]),N(Tasks[[#This Row],[Progress]])&gt;0),Tasks[[#This Row],[Start]],0))</f>
        <v>0</v>
      </c>
      <c r="GV14" s="91" t="n">
        <f aca="false">IF(Tasks[[#This Row],[_DoneFrom]]=0,0,IF(Tasks[[#This Row],[Progress]]&gt;=1,Tasks[[#This Row],[Finish]],MAX(Tasks[[#This Row],[_DoneFrom]],Tasks[[#This Row],[Start]]+ROUND((Tasks[[#This Row],[Finish]]-Tasks[[#This Row],[Start]]+1)*Tasks[[#This Row],[Progress]],0)-1)))</f>
        <v>0</v>
      </c>
      <c r="GW14" s="91" t="n">
        <f aca="false">IF(Tasks[[#This Row],[Task Name]]="",0,IF(OR(NOT(Tasks[[#This Row],[_IsLeaf]]=1),Tasks[[#This Row],[_IsMilestone]],N(Tasks[[#This Row],[Progress]])&gt;=1),0,IF(Tasks[[#This Row],[_DoneTo]]&gt;0,Tasks[[#This Row],[_DoneTo]]+1,Tasks[[#This Row],[Start]])))</f>
        <v>0</v>
      </c>
      <c r="GX14" s="91" t="n">
        <f aca="false">IF(Tasks[[#This Row],[_RemFrom]]=0,0,Tasks[[#This Row],[Finish]])</f>
        <v>0</v>
      </c>
      <c r="GY14" s="90" t="b">
        <f aca="false">IF(Tasks[[#This Row],[Task Name]]="",FALSE(),OR(NOT(BaselineSet),N(Tasks[[#This Row],[Baseline Start]])&gt;0))</f>
        <v>1</v>
      </c>
      <c r="GZ1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 s="92" t="str">
        <f aca="false">IF(Tasks[[#This Row],[_IsLeaf]]=1,Tasks[[#This Row],[_Row]],"")</f>
        <v/>
      </c>
      <c r="HD14" s="92" t="str">
        <f aca="false">IFERROR(INDEX(Tasks[UID],SMALL(Tasks[_PickKey],Tasks[[#This Row],[_Row]]))&amp;" "&amp;INDEX(Tasks[Task Name],SMALL(Tasks[_PickKey],Tasks[[#This Row],[_Row]])),"")</f>
        <v>25 Go-live</v>
      </c>
      <c r="HE14" s="43" t="n">
        <f aca="false">IF(Tasks[[#This Row],[Task Name]]="","",IF(Tasks[[#This Row],[_IsSummary]],NETWORKDAYS.INTL(Tasks[[#This Row],[Start]],Tasks[[#This Row],[Finish]],WorkWeek,Holidays),N(Tasks[[#This Row],[_Days]])))</f>
        <v>17</v>
      </c>
      <c r="HF14" s="43" t="n">
        <f aca="false">IF(Tasks[[#This Row],[Expected]]="",0,((Tasks[[#This Row],[Pessimistic]]-Tasks[[#This Row],[Optimistic]])/6)^2)</f>
        <v>0</v>
      </c>
      <c r="HG14" s="43" t="n">
        <f aca="false">IF(Tasks[[#This Row],[Expected]]="",0,Tasks[[#This Row],[Expected]]-N(Tasks[[#This Row],[_Days]]))</f>
        <v>0</v>
      </c>
    </row>
    <row r="15" customFormat="false" ht="15" hidden="false" customHeight="false" outlineLevel="1" collapsed="false">
      <c r="A15" s="21" t="n">
        <f aca="false">IF(Tasks[[#This Row],[Task Name]]="","",COUNTA(Tasks[[#Headers],[Task Name]]:Tasks[[#This Row],[Task Name]])-1)</f>
        <v>10</v>
      </c>
      <c r="B15" s="22" t="n">
        <v>21</v>
      </c>
      <c r="C15" s="22" t="n">
        <v>2</v>
      </c>
      <c r="D15" s="93" t="s">
        <v>656</v>
      </c>
      <c r="E15" s="22" t="n">
        <v>15</v>
      </c>
      <c r="F15" s="23" t="n">
        <v>9</v>
      </c>
      <c r="G15" s="22"/>
      <c r="H15" s="22"/>
      <c r="I15" s="23"/>
      <c r="J15" s="22"/>
      <c r="K15" s="22"/>
      <c r="L15" s="23"/>
      <c r="M15" s="22"/>
      <c r="N15" s="22"/>
      <c r="O15" s="23"/>
      <c r="P15" s="22"/>
      <c r="Q15" s="22"/>
      <c r="R15" s="23"/>
      <c r="S15" s="23" t="s">
        <v>655</v>
      </c>
      <c r="T15" s="84"/>
      <c r="U15" s="23" t="s">
        <v>657</v>
      </c>
      <c r="V15" s="84" t="n">
        <v>0.5</v>
      </c>
      <c r="W15" s="23"/>
      <c r="X15" s="84"/>
      <c r="Y15" s="23"/>
      <c r="Z15" s="84"/>
      <c r="AA15" s="23"/>
      <c r="AB15" s="23" t="s">
        <v>260</v>
      </c>
      <c r="AC15" s="7" t="n">
        <v>46302</v>
      </c>
      <c r="AD15" s="7"/>
      <c r="AE15" s="63" t="n">
        <f aca="false">IF(Tasks[[#This Row],[Task Name]]="","",IF(Tasks[[#This Row],[_IsSummary]],MIN(INDEX(Tasks[_ShownFcstStart],Tasks[[#This Row],[_Row]]+1):INDEX(Tasks[_ShownFcstStart],Tasks[[#This Row],[_Row]]+Tasks[[#This Row],[_Descendants]])),Tasks[[#This Row],[_ShownFcstStart]]))</f>
        <v>46302</v>
      </c>
      <c r="AF15" s="63" t="n">
        <f aca="false">IF(Tasks[[#This Row],[Task Name]]="","",IF(Tasks[[#This Row],[_IsSummary]],MAX(INDEX(Tasks[_ShownFcstFinish],Tasks[[#This Row],[_Row]]+1):INDEX(Tasks[_ShownFcstFinish],Tasks[[#This Row],[_Row]]+Tasks[[#This Row],[_Descendants]])),Tasks[[#This Row],[_ShownFcstFinish]]))</f>
        <v>46323</v>
      </c>
      <c r="AG15" s="21" t="str">
        <f aca="false">""</f>
        <v/>
      </c>
      <c r="AH15" s="23" t="s">
        <v>658</v>
      </c>
      <c r="AI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Optimistic should be at most the Duration and Pessimistic at least it.</v>
      </c>
      <c r="AJ15" s="7"/>
      <c r="AK15" s="22" t="s">
        <v>248</v>
      </c>
      <c r="AL15" s="23"/>
      <c r="AM15" s="7"/>
      <c r="AN15" s="47" t="n">
        <f aca="false">IF(Tasks[[#This Row],[Task Name]]="","",IF(Tasks[[#This Row],[Finish]]&gt;=Tasks[[#This Row],[Planned Finish]],NETWORKDAYS.INTL(Tasks[[#This Row],[Planned Finish]],Tasks[[#This Row],[Finish]],WorkWeek,Holidays)-1,1-NETWORKDAYS.INTL(Tasks[[#This Row],[Finish]],Tasks[[#This Row],[Planned Finish]],WorkWeek,Holidays)))</f>
        <v>4</v>
      </c>
      <c r="AO15" s="21" t="str">
        <f aca="false">IF(Tasks[[#This Row],[Task Name]]="","",IF(Tasks[[#This Row],[Progress]]&gt;=1,"Complete",IF(OR(N(Tasks[[#This Row],[Actual Start]])&gt;0,Tasks[[#This Row],[Progress]]&gt;0),IF(Tasks[[#This Row],[Finish Var]]&gt;0,"Behind","In Progress"),IF(Tasks[[#This Row],[Planned Start]]&lt;StatusDate,"Late Start","Not Started"))))</f>
        <v>Behind</v>
      </c>
      <c r="AP15" s="21" t="str">
        <f aca="false">IF(Tasks[[#This Row],[Task Name]]="","",IF(IF(Tasks[[#This Row],[_IsSummary]],COUNTIF(INDEX(Tasks[_LeafCritical],Tasks[[#This Row],[_Row]]+1):INDEX(Tasks[_LeafCritical],Tasks[[#This Row],[_Row]]+Tasks[[#This Row],[_Descendants]]),TRUE())&gt;0,Tasks[[#This Row],[_LeafCritical]]),"Yes",""))</f>
        <v>Yes</v>
      </c>
      <c r="AQ15" s="63" t="n">
        <f aca="false">IF(Tasks[[#This Row],[Task Name]]="","",IF(N(Tasks[[#This Row],[Baseline Start]])&gt;0,Tasks[[#This Row],[Baseline Start]],Tasks[[#This Row],[_CalcStart]]))</f>
        <v>46297</v>
      </c>
      <c r="AR15" s="63" t="n">
        <f aca="false">IF(Tasks[[#This Row],[Task Name]]="","",IF(N(Tasks[[#This Row],[Baseline Finish]])&gt;0,Tasks[[#This Row],[Baseline Finish]],Tasks[[#This Row],[_CalcFinish]]))</f>
        <v>46317</v>
      </c>
      <c r="AS15" s="47" t="n">
        <f aca="false">IF(Tasks[[#This Row],[Task Name]]="","",IF(Tasks[[#This Row],[Start]]&gt;=Tasks[[#This Row],[Planned Start]],NETWORKDAYS.INTL(Tasks[[#This Row],[Planned Start]],Tasks[[#This Row],[Start]],WorkWeek,Holidays)-1,1-NETWORKDAYS.INTL(Tasks[[#This Row],[Start]],Tasks[[#This Row],[Planned Start]],WorkWeek,Holidays)))</f>
        <v>3</v>
      </c>
      <c r="AT15" s="63" t="n">
        <f aca="false">IF(Tasks[[#This Row],[Task Name]]="","",IF(Tasks[[#This Row],[_IsSummary]],MIN(INDEX(Tasks[_LeafLateStart],Tasks[[#This Row],[_Row]]+1):INDEX(Tasks[_LeafLateStart],Tasks[[#This Row],[_Row]]+Tasks[[#This Row],[_Descendants]])),Tasks[[#This Row],[_LeafLateStart]]))</f>
        <v>46303</v>
      </c>
      <c r="AU15" s="63" t="n">
        <f aca="false">IF(Tasks[[#This Row],[Task Name]]="","",IF(Tasks[[#This Row],[_IsSummary]],MAX(INDEX(Tasks[_LeafLateFinish],Tasks[[#This Row],[_Row]]+1):INDEX(Tasks[_LeafLateFinish],Tasks[[#This Row],[_Row]]+Tasks[[#This Row],[_Descendants]])),Tasks[[#This Row],[_LeafLateFinish]]))</f>
        <v>46323</v>
      </c>
      <c r="AV15" s="47" t="n">
        <f aca="false">IF(Tasks[[#This Row],[Task Name]]="","",IF(Tasks[[#This Row],[_IsSummary]],MIN(INDEX(Tasks[_LeafTotalSlack],Tasks[[#This Row],[_Row]]+1):INDEX(Tasks[_LeafTotalSlack],Tasks[[#This Row],[_Row]]+Tasks[[#This Row],[_Descendants]])),Tasks[[#This Row],[_LeafTotalSlack]]))</f>
        <v>0</v>
      </c>
      <c r="AW15"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5"/>
      <c r="BA15"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0.85</v>
      </c>
      <c r="BB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8</v>
      </c>
      <c r="BC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BD15" s="21" t="str">
        <f aca="false">IF(Tasks[[#This Row],[Task Name]]="","",IF(Tasks[[#This Row],[_Level]]&lt;=OutlineShowLevel,"Yes","No"))</f>
        <v>Yes</v>
      </c>
      <c r="BE15" s="86" t="n">
        <f aca="false">IF(Tasks[[#This Row],[Task Name]]="","",IF(Tasks[[#This Row],[_IsSummary]],SUM(INDEX(Tasks[_LeafTotalWork],Tasks[[#This Row],[_Row]]+1):INDEX(Tasks[_LeafTotalWork],Tasks[[#This Row],[_Row]]+Tasks[[#This Row],[_Descendants]])),Tasks[[#This Row],[_LeafTotalWork]]))</f>
        <v>180</v>
      </c>
      <c r="BF15" s="23"/>
      <c r="BG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Taylor Morgan, Sam Rivera[50%]</v>
      </c>
      <c r="BH15" s="21" t="str">
        <f aca="false">""</f>
        <v/>
      </c>
      <c r="BI15" s="87"/>
      <c r="BJ15" s="22"/>
      <c r="BK15" s="47" t="n">
        <f aca="false">IF(OR(Tasks[[#This Row],[Task Name]]="",Tasks[[#This Row],[Baseline Duration]]=""),"",Tasks[[#This Row],[_SpanDays]]-N(Tasks[[#This Row],[Baseline Duration]]))</f>
        <v>0</v>
      </c>
      <c r="BL15" s="86" t="n">
        <f aca="false">IF(OR(Tasks[[#This Row],[Task Name]]="",Tasks[[#This Row],[Baseline Work]]=""),"",Tasks[[#This Row],[Work]]-N(Tasks[[#This Row],[Baseline Work]]))</f>
        <v>60</v>
      </c>
      <c r="BM15" s="63" t="n">
        <f aca="false">IF(Tasks[[#This Row],[Task Name]]="","",IF(OR(TakeBaseline="Yes",N(Tasks[[#This Row],[Baseline Start]])=0),Tasks[[#This Row],[Start]],Tasks[[#This Row],[Baseline Start]]))</f>
        <v>46297</v>
      </c>
      <c r="BN15" s="63" t="n">
        <f aca="false">IF(Tasks[[#This Row],[Task Name]]="","",IF(OR(TakeBaseline="Yes",N(Tasks[[#This Row],[Baseline Finish]])=0),Tasks[[#This Row],[Finish]],Tasks[[#This Row],[Baseline Finish]]))</f>
        <v>46317</v>
      </c>
      <c r="BO15" s="21" t="n">
        <f aca="false">IF(Tasks[[#This Row],[Task Name]]="","",IF(OR(TakeBaseline="Yes",N(Tasks[[#This Row],[Baseline Duration]])=0),Tasks[[#This Row],[_SpanDays]],Tasks[[#This Row],[Baseline Duration]]))</f>
        <v>15</v>
      </c>
      <c r="BP15" s="86" t="n">
        <f aca="false">IF(Tasks[[#This Row],[Task Name]]="","",IF(OR(TakeBaseline="Yes",N(Tasks[[#This Row],[Baseline Work]])=0),Tasks[[#This Row],[Work]],Tasks[[#This Row],[Baseline Work]]))</f>
        <v>120</v>
      </c>
      <c r="BQ15" s="7" t="n">
        <v>46297</v>
      </c>
      <c r="BR15" s="7" t="n">
        <v>46317</v>
      </c>
      <c r="BS15" s="22" t="n">
        <v>15</v>
      </c>
      <c r="BT15" s="88" t="n">
        <v>120</v>
      </c>
      <c r="BU15" s="23" t="s">
        <v>655</v>
      </c>
      <c r="BV15" s="23" t="s">
        <v>659</v>
      </c>
      <c r="BW15" s="23" t="s">
        <v>643</v>
      </c>
      <c r="BX15" s="89" t="n">
        <f aca="false">IF(AND(Tasks[[#This Row],[_IsLeaf]]=1,ISNUMBER(Tasks[[#This Row],[Optimistic]]),ISNUMBER(Tasks[[#This Row],[Pessimistic]])),ROUND((Tasks[[#This Row],[Optimistic]]+4*N(Tasks[[#This Row],[_Days]])+Tasks[[#This Row],[Pessimistic]])/6,1),"")</f>
        <v>13.2</v>
      </c>
      <c r="BY15" s="87" t="n">
        <v>6</v>
      </c>
      <c r="BZ15" s="87" t="n">
        <v>13</v>
      </c>
      <c r="CA15" s="22"/>
      <c r="CB15" s="43" t="n">
        <f aca="false">IF(Tasks[[#This Row],[Task Name]]="","",MAX(1,N(Tasks[[#This Row],[Level]])))</f>
        <v>2</v>
      </c>
      <c r="CC15" s="43" t="n">
        <f aca="false">ROW()-ROW(Tasks[[#Headers],[ID]])</f>
        <v>10</v>
      </c>
      <c r="CD15" s="43" t="n">
        <f aca="false">IF(OR(Tasks[[#This Row],[Task Name]]="",Tasks[[#This Row],[_Level]]&lt;=1),0,IFERROR(LOOKUP(2,1/(Tasks[[#Headers],[_Level]]:Tasks[[#This Row],[_Level]]=Tasks[[#This Row],[_Level]]-1),ROW(Tasks[[#Headers],[_Level]]:Tasks[[#This Row],[_Level]])),0))</f>
        <v>14</v>
      </c>
      <c r="CE15" s="43" t="n">
        <f aca="false">IFERROR(N(INDEX(Tasks[_Level],Tasks[[#This Row],[_Row]]+1)),0)</f>
        <v>2</v>
      </c>
      <c r="CF15" s="90" t="b">
        <f aca="false">AND(Tasks[[#This Row],[Task Name]]&lt;&gt;"",Tasks[[#This Row],[_NextLevel]]&gt;Tasks[[#This Row],[_Level]])</f>
        <v>0</v>
      </c>
      <c r="CG15" s="43" t="n">
        <f aca="false">IF(Tasks[[#This Row],[_IsSummary]],COUNTIF(Tasks[WBS],Tasks[[#This Row],[WBS]]&amp;".*"),0)</f>
        <v>0</v>
      </c>
      <c r="CH15" s="43" t="n">
        <f aca="false">IF(AND(Tasks[[#This Row],[Task Name]]&lt;&gt;"",NOT(Tasks[[#This Row],[_IsSummary]])),1,0)</f>
        <v>1</v>
      </c>
      <c r="CI15" s="43" t="n">
        <f aca="false">IF(N(Tasks[[#This Row],[_Pred1UID]])=0,0,IFERROR(MATCH(Tasks[[#This Row],[_Pred1UID]],Tasks[UID],0),-1))</f>
        <v>8</v>
      </c>
      <c r="CJ15" s="43" t="n">
        <f aca="false">IF(N(Tasks[[#This Row],[_Pred2UID]])=0,0,IFERROR(MATCH(Tasks[[#This Row],[_Pred2UID]],Tasks[UID],0),-1))</f>
        <v>0</v>
      </c>
      <c r="CK15" s="43" t="n">
        <f aca="false">IF(N(Tasks[[#This Row],[_Pred3UID]])=0,0,IFERROR(MATCH(Tasks[[#This Row],[_Pred3UID]],Tasks[UID],0),-1))</f>
        <v>0</v>
      </c>
      <c r="CL15" s="43" t="n">
        <f aca="false">IF(N(Tasks[[#This Row],[_Pred4UID]])=0,0,IFERROR(MATCH(Tasks[[#This Row],[_Pred4UID]],Tasks[UID],0),-1))</f>
        <v>0</v>
      </c>
      <c r="CM15"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 s="91" t="n">
        <f aca="false">IF(OR(Tasks[[#This Row],[_ConstraintCode]]=2,Tasks[[#This Row],[_ConstraintCode]]=3,Tasks[[#This Row],[_ConstraintCode]]=4,Tasks[[#This Row],[_ConstraintCode]]=6),Tasks[[#This Row],[_ConstraintStart]],0)</f>
        <v>0</v>
      </c>
      <c r="CP15" s="91" t="n">
        <f aca="false">IF(OR(Tasks[[#This Row],[_ConstraintCode]]=2,Tasks[[#This Row],[_ConstraintCode]]=3,Tasks[[#This Row],[_ConstraintCode]]=5,Tasks[[#This Row],[_ConstraintCode]]=7),Tasks[[#This Row],[_ConstraintStart]],2958465)</f>
        <v>2958465</v>
      </c>
      <c r="CQ15"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R15" s="91" t="n">
        <f aca="false">IF(NOT(Tasks[[#This Row],[_IsLeaf]]=1),"",IF(N(Tasks[[#This Row],[_Days]])&lt;=0,Tasks[[#This Row],[_LeafCalcStart]],WORKDAY.INTL(Tasks[[#This Row],[_LeafCalcStart]],Tasks[[#This Row],[_Days]]-1,WorkWeek,Holidays)))</f>
        <v>46317</v>
      </c>
      <c r="CS15"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T15"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46323</v>
      </c>
      <c r="CU15" s="43" t="str">
        <f aca="false">IF(Tasks[[#This Row],[_Predecessors]]="","",TRIM(MID(SUBSTITUTE(SUBSTITUTE(SUBSTITUTE(UPPER(Tasks[[#This Row],[_Predecessors]]),";",",")," ",""),",",REPT(" ",99)),1,99)))</f>
        <v>9</v>
      </c>
      <c r="CV15" s="43" t="n">
        <f aca="false">IF(Tasks[[#This Row],[_Pred1Text]]="","",IFERROR(VALUE(LEFT(Tasks[[#This Row],[_Pred1Text]],MIN(FIND("F",Tasks[[#This Row],[_Pred1Text]]&amp;"F"),FIND("S",Tasks[[#This Row],[_Pred1Text]]&amp;"S"),FIND("+",Tasks[[#This Row],[_Pred1Text]]&amp;"+"),FIND("-",Tasks[[#This Row],[_Pred1Text]]&amp;"-"))-1)),""))</f>
        <v>9</v>
      </c>
      <c r="CW1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5"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5" s="43" t="str">
        <f aca="false">IF(Tasks[[#This Row],[_Pred1Text]]="","",TRIM(MID(SUBSTITUTE(SUBSTITUTE(SUBSTITUTE(UPPER(Tasks[[#This Row],[_Predecessors]]),";",",")," ",""),",",REPT(" ",99)),100,99)))</f>
        <v/>
      </c>
      <c r="CZ15" s="43" t="str">
        <f aca="false">IF(Tasks[[#This Row],[_Pred2Text]]="","",IFERROR(VALUE(LEFT(Tasks[[#This Row],[_Pred2Text]],MIN(FIND("F",Tasks[[#This Row],[_Pred2Text]]&amp;"F"),FIND("S",Tasks[[#This Row],[_Pred2Text]]&amp;"S"),FIND("+",Tasks[[#This Row],[_Pred2Text]]&amp;"+"),FIND("-",Tasks[[#This Row],[_Pred2Text]]&amp;"-"))-1)),""))</f>
        <v/>
      </c>
      <c r="DA1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 s="43" t="str">
        <f aca="false">IF(Tasks[[#This Row],[_Pred2Text]]="","",TRIM(MID(SUBSTITUTE(SUBSTITUTE(SUBSTITUTE(UPPER(Tasks[[#This Row],[_Predecessors]]),";",",")," ",""),",",REPT(" ",99)),199,99)))</f>
        <v/>
      </c>
      <c r="DD15" s="43" t="str">
        <f aca="false">IF(Tasks[[#This Row],[_Pred3Text]]="","",IFERROR(VALUE(LEFT(Tasks[[#This Row],[_Pred3Text]],MIN(FIND("F",Tasks[[#This Row],[_Pred3Text]]&amp;"F"),FIND("S",Tasks[[#This Row],[_Pred3Text]]&amp;"S"),FIND("+",Tasks[[#This Row],[_Pred3Text]]&amp;"+"),FIND("-",Tasks[[#This Row],[_Pred3Text]]&amp;"-"))-1)),""))</f>
        <v/>
      </c>
      <c r="DE1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 s="43" t="str">
        <f aca="false">IF(Tasks[[#This Row],[_Pred3Text]]="","",TRIM(MID(SUBSTITUTE(SUBSTITUTE(SUBSTITUTE(UPPER(Tasks[[#This Row],[_Predecessors]]),";",",")," ",""),",",REPT(" ",99)),298,99)))</f>
        <v/>
      </c>
      <c r="DH15" s="43" t="str">
        <f aca="false">IF(Tasks[[#This Row],[_Pred4Text]]="","",IFERROR(VALUE(LEFT(Tasks[[#This Row],[_Pred4Text]],MIN(FIND("F",Tasks[[#This Row],[_Pred4Text]]&amp;"F"),FIND("S",Tasks[[#This Row],[_Pred4Text]]&amp;"S"),FIND("+",Tasks[[#This Row],[_Pred4Text]]&amp;"+"),FIND("-",Tasks[[#This Row],[_Pred4Text]]&amp;"-"))-1)),""))</f>
        <v/>
      </c>
      <c r="DI1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 s="43" t="str">
        <f aca="false">IF(OR(Tasks[[#This Row],[Task Name]]="",Tasks[[#This Row],[_Resources]]=""),"",TRIM(MID(SUBSTITUTE(Tasks[[#This Row],[_Resources]],",",REPT(" ",99)),1,99)))</f>
        <v>Taylor Morgan</v>
      </c>
      <c r="DL15" s="43" t="str">
        <f aca="false">IF(Tasks[[#This Row],[_Res1Text]]="","",TRIM(MID(SUBSTITUTE(Tasks[[#This Row],[_Resources]],",",REPT(" ",99)),100,99)))</f>
        <v>Sam Rivera[50%]</v>
      </c>
      <c r="DM15" s="43" t="str">
        <f aca="false">IF(Tasks[[#This Row],[_Res2Text]]="","",TRIM(MID(SUBSTITUTE(Tasks[[#This Row],[_Resources]],",",REPT(" ",99)),199,99)))</f>
        <v/>
      </c>
      <c r="DN15" s="43" t="str">
        <f aca="false">IF(Tasks[[#This Row],[_Res3Text]]="","",TRIM(MID(SUBSTITUTE(Tasks[[#This Row],[_Resources]],",",REPT(" ",99)),298,99)))</f>
        <v/>
      </c>
      <c r="DO15" s="43" t="n">
        <f aca="false">IF(Tasks[[#This Row],[_Res1Text]]="",0,IFERROR(MATCH(TRIM(LEFT(Tasks[[#This Row],[_Res1Text]],FIND("[",Tasks[[#This Row],[_Res1Text]]&amp;"[")-1)),res_Name,0),IFERROR(MATCH(TRIM(LEFT(Tasks[[#This Row],[_Res1Text]],FIND("[",Tasks[[#This Row],[_Res1Text]]&amp;"[")-1)),res_Initials,0),0)))</f>
        <v>7</v>
      </c>
      <c r="DP15" s="43" t="n">
        <f aca="false">IF(Tasks[[#This Row],[_Res2Text]]="",0,IFERROR(MATCH(TRIM(LEFT(Tasks[[#This Row],[_Res2Text]],FIND("[",Tasks[[#This Row],[_Res2Text]]&amp;"[")-1)),res_Name,0),IFERROR(MATCH(TRIM(LEFT(Tasks[[#This Row],[_Res2Text]],FIND("[",Tasks[[#This Row],[_Res2Text]]&amp;"[")-1)),res_Initials,0),0)))</f>
        <v>6</v>
      </c>
      <c r="DQ15" s="43" t="n">
        <f aca="false">IF(Tasks[[#This Row],[_Res3Text]]="",0,IFERROR(MATCH(TRIM(LEFT(Tasks[[#This Row],[_Res3Text]],FIND("[",Tasks[[#This Row],[_Res3Text]]&amp;"[")-1)),res_Name,0),IFERROR(MATCH(TRIM(LEFT(Tasks[[#This Row],[_Res3Text]],FIND("[",Tasks[[#This Row],[_Res3Text]]&amp;"[")-1)),res_Initials,0),0)))</f>
        <v>0</v>
      </c>
      <c r="DR15" s="43" t="n">
        <f aca="false">IF(Tasks[[#This Row],[_Res4Text]]="",0,IFERROR(MATCH(TRIM(LEFT(Tasks[[#This Row],[_Res4Text]],FIND("[",Tasks[[#This Row],[_Res4Text]]&amp;"[")-1)),res_Name,0),IFERROR(MATCH(TRIM(LEFT(Tasks[[#This Row],[_Res4Text]],FIND("[",Tasks[[#This Row],[_Res4Text]]&amp;"[")-1)),res_Initials,0),0)))</f>
        <v>0</v>
      </c>
      <c r="DS15" s="43" t="str">
        <f aca="false">IF(Tasks[[#This Row],[_Res1Text]]="","",IF(Tasks[[#This Row],[_Res1Row]]&gt;0,INDEX(res_Name,Tasks[[#This Row],[_Res1Row]]),TRIM(LEFT(Tasks[[#This Row],[_Res1Text]],FIND("[",Tasks[[#This Row],[_Res1Text]]&amp;"[")-1))))</f>
        <v>Taylor Morgan</v>
      </c>
      <c r="DT1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 s="43" t="n">
        <f aca="false">IF(NOT(Tasks[[#This Row],[_IsLeaf]]=1),0,(Tasks[[#This Row],[_Resource1]]&lt;&gt;"")+(Tasks[[#This Row],[_Res2]]&lt;&gt;"")+(Tasks[[#This Row],[_Res3]]&lt;&gt;"")+(Tasks[[#This Row],[_Res4]]&lt;&gt;""))</f>
        <v>2</v>
      </c>
      <c r="DV15" s="43" t="str">
        <f aca="false">IF(Tasks[[#This Row],[_Res2Text]]="","",IF(Tasks[[#This Row],[_Res2Row]]&gt;0,INDEX(res_Name,Tasks[[#This Row],[_Res2Row]]),TRIM(LEFT(Tasks[[#This Row],[_Res2Text]],FIND("[",Tasks[[#This Row],[_Res2Text]]&amp;"[")-1))))</f>
        <v>Sam Rivera</v>
      </c>
      <c r="DW15" s="43"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DX15" s="43" t="n">
        <f aca="false">IF(OR(NOT(Tasks[[#This Row],[_IsLeaf]]=1),Tasks[[#This Row],[_Res2Row]]=0),0,N(Tasks[[#This Row],[_Days]])*HoursPerDay*IF(Tasks[[#This Row],[_Res2Units]]="",DefaultUnits,Tasks[[#This Row],[_Res2Units]]))</f>
        <v>60</v>
      </c>
      <c r="DY15" s="43" t="n">
        <f aca="false">IF(AND(AND(Tasks[[#This Row],[_IsLeaf]]=1,Tasks[[#This Row],[_LeafTotalWork]]&gt;0),Tasks[[#This Row],[_Res2Work]]&gt;0),Tasks[[#This Row],[_Res2Work]]/(Tasks[[#This Row],[_FinishWorkday]]-Tasks[[#This Row],[_StartWorkday]]+1),0)</f>
        <v>3.75</v>
      </c>
      <c r="DZ15" s="43" t="n">
        <f aca="false">Tasks[[#This Row],[_Res2WorkPerWD]]*MAX(0,Tasks[[#This Row],[_StartWorkday]]-1)</f>
        <v>82.5</v>
      </c>
      <c r="EA15" s="43" t="n">
        <f aca="false">Tasks[[#This Row],[_Res2Work]]*Tasks[[#This Row],[_LeafProgress]]</f>
        <v>51</v>
      </c>
      <c r="EB15" s="43" t="str">
        <f aca="false">IF(Tasks[[#This Row],[_Res3Text]]="","",IF(Tasks[[#This Row],[_Res3Row]]&gt;0,INDEX(res_Name,Tasks[[#This Row],[_Res3Row]]),TRIM(LEFT(Tasks[[#This Row],[_Res3Text]],FIND("[",Tasks[[#This Row],[_Res3Text]]&amp;"[")-1))))</f>
        <v/>
      </c>
      <c r="EC1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 s="43" t="n">
        <f aca="false">IF(OR(NOT(Tasks[[#This Row],[_IsLeaf]]=1),Tasks[[#This Row],[_Res3Row]]=0),0,N(Tasks[[#This Row],[_Days]])*HoursPerDay*IF(Tasks[[#This Row],[_Res3Units]]="",DefaultUnits,Tasks[[#This Row],[_Res3Units]]))</f>
        <v>0</v>
      </c>
      <c r="EE15" s="43" t="n">
        <f aca="false">IF(AND(AND(Tasks[[#This Row],[_IsLeaf]]=1,Tasks[[#This Row],[_LeafTotalWork]]&gt;0),Tasks[[#This Row],[_Res3Work]]&gt;0),Tasks[[#This Row],[_Res3Work]]/(Tasks[[#This Row],[_FinishWorkday]]-Tasks[[#This Row],[_StartWorkday]]+1),0)</f>
        <v>0</v>
      </c>
      <c r="EF15" s="43" t="n">
        <f aca="false">Tasks[[#This Row],[_Res3WorkPerWD]]*MAX(0,Tasks[[#This Row],[_StartWorkday]]-1)</f>
        <v>0</v>
      </c>
      <c r="EG15" s="43" t="n">
        <f aca="false">Tasks[[#This Row],[_Res3Work]]*Tasks[[#This Row],[_LeafProgress]]</f>
        <v>0</v>
      </c>
      <c r="EH15" s="43" t="str">
        <f aca="false">IF(Tasks[[#This Row],[_Res4Text]]="","",IF(Tasks[[#This Row],[_Res4Row]]&gt;0,INDEX(res_Name,Tasks[[#This Row],[_Res4Row]]),TRIM(LEFT(Tasks[[#This Row],[_Res4Text]],FIND("[",Tasks[[#This Row],[_Res4Text]]&amp;"[")-1))))</f>
        <v/>
      </c>
      <c r="EI1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 s="43" t="n">
        <f aca="false">IF(OR(NOT(Tasks[[#This Row],[_IsLeaf]]=1),Tasks[[#This Row],[_Res4Row]]=0),0,N(Tasks[[#This Row],[_Days]])*HoursPerDay*IF(Tasks[[#This Row],[_Res4Units]]="",DefaultUnits,Tasks[[#This Row],[_Res4Units]]))</f>
        <v>0</v>
      </c>
      <c r="EK15" s="43" t="n">
        <f aca="false">IF(AND(AND(Tasks[[#This Row],[_IsLeaf]]=1,Tasks[[#This Row],[_LeafTotalWork]]&gt;0),Tasks[[#This Row],[_Res4Work]]&gt;0),Tasks[[#This Row],[_Res4Work]]/(Tasks[[#This Row],[_FinishWorkday]]-Tasks[[#This Row],[_StartWorkday]]+1),0)</f>
        <v>0</v>
      </c>
      <c r="EL15" s="43" t="n">
        <f aca="false">Tasks[[#This Row],[_Res4WorkPerWD]]*MAX(0,Tasks[[#This Row],[_StartWorkday]]-1)</f>
        <v>0</v>
      </c>
      <c r="EM15" s="43" t="n">
        <f aca="false">Tasks[[#This Row],[_Res4Work]]*Tasks[[#This Row],[_LeafProgress]]</f>
        <v>0</v>
      </c>
      <c r="EN15" s="94" t="n">
        <f aca="false">IF(ISNUMBER(Tasks[[#This Row],[% Complete]]),Tasks[[#This Row],[% Complete]],IF(Tasks[[#This Row],[Stage]]="",0,IFERROR(INDEX(stg_Pct,MATCH(Tasks[[#This Row],[Stage]],stg_Name,0)),0)))</f>
        <v>0.85</v>
      </c>
      <c r="EO15" s="43" t="n">
        <f aca="false">IF(NOT(Tasks[[#This Row],[_IsLeaf]]=1),0,IF(N(Tasks[[#This Row],[Actual Finish]])&gt;0,1,MIN(1,Tasks[[#This Row],[_Pct]])))</f>
        <v>0.85</v>
      </c>
      <c r="EP15" s="43" t="n">
        <f aca="false">IF(OR(NOT(Tasks[[#This Row],[_IsLeaf]]=1),Tasks[[#This Row],[_Res1Row]]=0),0,N(Tasks[[#This Row],[_Days]])*HoursPerDay*IF(Tasks[[#This Row],[_Units1]]="",DefaultUnits,Tasks[[#This Row],[_Units1]]))</f>
        <v>120</v>
      </c>
      <c r="EQ15" s="43" t="n">
        <f aca="false">Tasks[[#This Row],[_LeafWork]]+Tasks[[#This Row],[_Res2Work]]+Tasks[[#This Row],[_Res3Work]]+Tasks[[#This Row],[_Res4Work]]</f>
        <v>180</v>
      </c>
      <c r="ER15"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S1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 s="43" t="n">
        <f aca="false">IF(NOT(Tasks[[#This Row],[_IsLeaf]]=1),0,MAX(_xlfn.MAXIFS(Tasks[_Row],Tasks[_Pred1UID],Tasks[[#This Row],[UID]]),_xlfn.MAXIFS(Tasks[_Row],Tasks[_Pred2UID],Tasks[[#This Row],[UID]]),_xlfn.MAXIFS(Tasks[_Row],Tasks[_Pred3UID],Tasks[[#This Row],[UID]]),_xlfn.MAXIFS(Tasks[_Row],Tasks[_Pred4UID],Tasks[[#This Row],[UID]])))</f>
        <v>11</v>
      </c>
      <c r="FA15"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46323</v>
      </c>
      <c r="FB15"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46323</v>
      </c>
      <c r="FC15" s="91" t="n">
        <f aca="false">IF(NOT(Tasks[[#This Row],[_IsLeaf]]=1),"",IF(N(Tasks[[#This Row],[_Days]])&lt;=0,Tasks[[#This Row],[_LeafLateFinish]],WORKDAY.INTL(Tasks[[#This Row],[_LeafLateFinish]],-(Tasks[[#This Row],[_Days]]-1),WorkWeek,Holidays)))</f>
        <v>46303</v>
      </c>
      <c r="FD15"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E15" s="90" t="b">
        <f aca="false">AND(Tasks[[#This Row],[_IsLeaf]]=1,Tasks[[#This Row],[_LeafProgress]]&lt;1,N(Tasks[[#This Row],[_LeafTotalSlack]])&lt;=CriticalSlackDays)</f>
        <v>1</v>
      </c>
      <c r="FF15" s="43" t="n">
        <f aca="false">IF(AND(Tasks[[#This Row],[_IsLeaf]]=1,Tasks[[#This Row],[_ConstraintCode]]=1,Tasks[[#This Row],[Mode]]&lt;&gt;"Manual",N(Tasks[[#This Row],[Actual Start]])=0),MAX(0,N(Tasks[[#This Row],[Free Slack]])),0)</f>
        <v>0</v>
      </c>
      <c r="FG15" s="91" t="n">
        <f aca="false">IF(NOT(Tasks[[#This Row],[_IsLeaf]]=1),"",IF(Tasks[[#This Row],[_AlapShift]]=0,Tasks[[#This Row],[_LeafCalcStart]],WORKDAY.INTL(Tasks[[#This Row],[_LeafCalcStart]],Tasks[[#This Row],[_AlapShift]],WorkWeek,Holidays)))</f>
        <v>46297</v>
      </c>
      <c r="FH15" s="91" t="n">
        <f aca="false">IF(NOT(Tasks[[#This Row],[_IsLeaf]]=1),"",IF(Tasks[[#This Row],[_AlapShift]]=0,Tasks[[#This Row],[_LeafCalcFinish]],WORKDAY.INTL(Tasks[[#This Row],[_LeafCalcFinish]],Tasks[[#This Row],[_AlapShift]],WorkWeek,Holidays)))</f>
        <v>46317</v>
      </c>
      <c r="FI15" s="91" t="n">
        <f aca="false">IF(NOT(Tasks[[#This Row],[_IsLeaf]]=1),"",IF(Tasks[[#This Row],[_AlapShift]]=0,Tasks[[#This Row],[_LeafFcstStart]],WORKDAY.INTL(Tasks[[#This Row],[_LeafFcstStart]],Tasks[[#This Row],[_AlapShift]],WorkWeek,Holidays)))</f>
        <v>46302</v>
      </c>
      <c r="FJ15" s="91" t="n">
        <f aca="false">IF(NOT(Tasks[[#This Row],[_IsLeaf]]=1),"",IF(Tasks[[#This Row],[_AlapShift]]=0,Tasks[[#This Row],[_LeafFcstFinish]],WORKDAY.INTL(Tasks[[#This Row],[_LeafFcstFinish]],Tasks[[#This Row],[_AlapShift]],WorkWeek,Holidays)))</f>
        <v>46323</v>
      </c>
      <c r="FK15" s="91" t="n">
        <f aca="false">IF(Tasks[[#This Row],[Task Name]]="","",IF(Tasks[[#This Row],[_IsSummary]],MIN(INDEX(Tasks[_ShownCalcStart],Tasks[[#This Row],[_Row]]+1):INDEX(Tasks[_ShownCalcStart],Tasks[[#This Row],[_Row]]+Tasks[[#This Row],[_Descendants]])),Tasks[[#This Row],[_ShownCalcStart]]))</f>
        <v>46297</v>
      </c>
      <c r="FL15" s="91" t="n">
        <f aca="false">IF(Tasks[[#This Row],[Task Name]]="","",IF(Tasks[[#This Row],[_IsSummary]],MAX(INDEX(Tasks[_ShownCalcFinish],Tasks[[#This Row],[_Row]]+1):INDEX(Tasks[_ShownCalcFinish],Tasks[[#This Row],[_Row]]+Tasks[[#This Row],[_Descendants]])),Tasks[[#This Row],[_ShownCalcFinish]]))</f>
        <v>46317</v>
      </c>
      <c r="FM1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46297</v>
      </c>
      <c r="FR1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46302</v>
      </c>
      <c r="FV1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 s="43" t="n">
        <f aca="false">IF(AND(Tasks[[#This Row],[_IsLeaf]]=1,Tasks[[#This Row],[_LeafTotalWork]]&gt;0),NETWORKDAYS.INTL(ProjectStart,Tasks[[#This Row],[_ShownFcstStart]],WorkWeek,Holidays),0)</f>
        <v>23</v>
      </c>
      <c r="FZ15" s="43" t="n">
        <f aca="false">IF(AND(Tasks[[#This Row],[_IsLeaf]]=1,Tasks[[#This Row],[_LeafTotalWork]]&gt;0),MAX(Tasks[[#This Row],[_StartWorkday]],NETWORKDAYS.INTL(ProjectStart,Tasks[[#This Row],[_ShownFcstFinish]],WorkWeek,Holidays)),0)</f>
        <v>38</v>
      </c>
      <c r="GA15" s="43" t="n">
        <f aca="false">IF(AND(Tasks[[#This Row],[_IsLeaf]]=1,Tasks[[#This Row],[_LeafTotalWork]]&gt;0),Tasks[[#This Row],[_LeafWork]]/(Tasks[[#This Row],[_FinishWorkday]]-Tasks[[#This Row],[_StartWorkday]]+1),0)</f>
        <v>7.5</v>
      </c>
      <c r="GB15" s="43" t="n">
        <f aca="false">Tasks[[#This Row],[_WorkPerWorkday]]*(Tasks[[#This Row],[_StartWorkday]]-1)</f>
        <v>165</v>
      </c>
      <c r="GC15" s="43" t="n">
        <f aca="false">IF(Tasks[[#This Row],[_IsLeaf]]=1,MAX(N(Tasks[[#This Row],[_Days]]),0.1),0)</f>
        <v>15</v>
      </c>
      <c r="GD15" s="43" t="n">
        <f aca="false">Tasks[[#This Row],[_WeightDur]]*Tasks[[#This Row],[_LeafProgress]]</f>
        <v>12.75</v>
      </c>
      <c r="GE15" s="43" t="n">
        <f aca="false">Tasks[[#This Row],[_WeightDur]]*Tasks[[#This Row],[_PlannedPct]]</f>
        <v>15</v>
      </c>
      <c r="GF1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GG15" s="43" t="str">
        <f aca="false">IF(AND(Tasks[[#This Row],[_IsLeaf]]=1,N(Tasks[[#This Row],[_Days]])=0,Tasks[[#This Row],[_LeafProgress]]&lt;1),Tasks[[#This Row],[_ShownFcstFinish]]+Tasks[[#This Row],[_Row]]/100000,"")</f>
        <v/>
      </c>
      <c r="GH1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5" s="43" t="str">
        <f aca="false">IF(Tasks[[#This Row],[Task Name]]="","",LEFT(Tasks[[#This Row],[WBS]],FIND(".",Tasks[[#This Row],[WBS]]&amp;".")-1))</f>
        <v>3</v>
      </c>
      <c r="GJ15" s="43" t="str">
        <f aca="false">IF(AND(Tasks[[#This Row],[Task Name]]&lt;&gt;"",Tasks[[#This Row],[_Level]]=1),Tasks[[#This Row],[_Row]],"")</f>
        <v/>
      </c>
      <c r="GK15" s="43" t="str">
        <f aca="false">IF(AND(Tasks[[#This Row],[_IsLeaf]]=1,N(Tasks[[#This Row],[_Days]])=0),Tasks[[#This Row],[Planned Finish]]+Tasks[[#This Row],[_Row]]/100000,"")</f>
        <v/>
      </c>
      <c r="GL15" s="43" t="n">
        <f aca="false">IF(AND(Tasks[[#This Row],[_IsLeaf]]=1,Tasks[[#This Row],[_LeafProgress]]&lt;1,OR(N(Tasks[[#This Row],[Finish Var]])&gt;0,Tasks[[#This Row],[Status]]="Late Start")),MAX(0,Tasks[[#This Row],[Finish Var]])+1-Tasks[[#This Row],[_Row]]/1000000,"")</f>
        <v>4.99999</v>
      </c>
      <c r="GM15" s="43" t="str">
        <f aca="false">IF(AND(Tasks[[#This Row],[_IsLeaf]]=1,N(Tasks[[#This Row],[Actual Start]])=0,Tasks[[#This Row],[_ShownFcstStart]]&gt;=StatusDate,Tasks[[#This Row],[_ShownFcstStart]]&lt;=LookaheadEnd),Tasks[[#This Row],[_ShownFcstStart]]+Tasks[[#This Row],[_Row]]/100000,"")</f>
        <v/>
      </c>
      <c r="GN15" s="95" t="n">
        <f aca="false">IF(AND(Tasks[[#This Row],[_IsLeaf]]=1,Tasks[[#This Row],[_LeafProgress]]&lt;1,Tasks[[#This Row],[_ShownFcstFinish]]&gt;=StatusDate,Tasks[[#This Row],[_ShownFcstFinish]]&lt;=LookaheadEnd),Tasks[[#This Row],[_ShownFcstFinish]]+Tasks[[#This Row],[_Row]]/100000,"")</f>
        <v>46323.0001</v>
      </c>
      <c r="GO15" s="95" t="n">
        <f aca="false">IF(Tasks[[#This Row],[_LeafCritical]],Tasks[[#This Row],[_ShownFcstStart]]+Tasks[[#This Row],[_Row]]/100000,"")</f>
        <v>46302.0001</v>
      </c>
      <c r="GP15" s="43" t="n">
        <f aca="false">Tasks[[#This Row],[_LeafWork]]*Tasks[[#This Row],[_LeafProgress]]</f>
        <v>102</v>
      </c>
      <c r="GQ15" s="91" t="str">
        <f aca="false">IF(AND(Tasks[[#This Row],[_IsLeaf]]=1,Tasks[[#This Row],[_LeafProgress]]&gt;=1),IF(N(Tasks[[#This Row],[Actual Finish]])&gt;0,Tasks[[#This Row],[Actual Finish]],Tasks[[#This Row],[_ShownFcstFinish]]),"")</f>
        <v/>
      </c>
      <c r="GR15" s="43" t="n">
        <f aca="false">IF(Tasks[[#This Row],[_IsLeaf]]=1,N(Tasks[[#This Row],[Story Points]]),0)</f>
        <v>0</v>
      </c>
      <c r="GS15" s="43" t="str">
        <f aca="false">""</f>
        <v/>
      </c>
      <c r="GT15" s="90" t="b">
        <f aca="false">IF(Tasks[[#This Row],[Task Name]]="",FALSE(),AND(Tasks[[#This Row],[_IsLeaf]]=1,N(Tasks[[#This Row],[_Days]])=0))</f>
        <v>0</v>
      </c>
      <c r="GU15" s="91" t="n">
        <f aca="false">IF(Tasks[[#This Row],[Task Name]]="",0,IF(AND(Tasks[[#This Row],[_IsLeaf]]=1,NOT(Tasks[[#This Row],[_IsMilestone]]),N(Tasks[[#This Row],[Progress]])&gt;0),Tasks[[#This Row],[Start]],0))</f>
        <v>46302</v>
      </c>
      <c r="GV15" s="91" t="n">
        <f aca="false">IF(Tasks[[#This Row],[_DoneFrom]]=0,0,IF(Tasks[[#This Row],[Progress]]&gt;=1,Tasks[[#This Row],[Finish]],MAX(Tasks[[#This Row],[_DoneFrom]],Tasks[[#This Row],[Start]]+ROUND((Tasks[[#This Row],[Finish]]-Tasks[[#This Row],[Start]]+1)*Tasks[[#This Row],[Progress]],0)-1)))</f>
        <v>46320</v>
      </c>
      <c r="GW15" s="91" t="n">
        <f aca="false">IF(Tasks[[#This Row],[Task Name]]="",0,IF(OR(NOT(Tasks[[#This Row],[_IsLeaf]]=1),Tasks[[#This Row],[_IsMilestone]],N(Tasks[[#This Row],[Progress]])&gt;=1),0,IF(Tasks[[#This Row],[_DoneTo]]&gt;0,Tasks[[#This Row],[_DoneTo]]+1,Tasks[[#This Row],[Start]])))</f>
        <v>46321</v>
      </c>
      <c r="GX15" s="91" t="n">
        <f aca="false">IF(Tasks[[#This Row],[_RemFrom]]=0,0,Tasks[[#This Row],[Finish]])</f>
        <v>46323</v>
      </c>
      <c r="GY15" s="90" t="b">
        <f aca="false">IF(Tasks[[#This Row],[Task Name]]="",FALSE(),OR(NOT(BaselineSet),N(Tasks[[#This Row],[Baseline Start]])&gt;0))</f>
        <v>1</v>
      </c>
      <c r="GZ15"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15</v>
      </c>
      <c r="HA1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9</v>
      </c>
      <c r="HB1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Taylor Morgan, Sam Rivera[50%]</v>
      </c>
      <c r="HC15" s="92" t="n">
        <f aca="false">IF(Tasks[[#This Row],[_IsLeaf]]=1,Tasks[[#This Row],[_Row]],"")</f>
        <v>10</v>
      </c>
      <c r="HD15" s="92" t="str">
        <f aca="false">IFERROR(INDEX(Tasks[UID],SMALL(Tasks[_PickKey],Tasks[[#This Row],[_Row]]))&amp;" "&amp;INDEX(Tasks[Task Name],SMALL(Tasks[_PickKey],Tasks[[#This Row],[_Row]])),"")</f>
        <v/>
      </c>
      <c r="HE15" s="43" t="n">
        <f aca="false">IF(Tasks[[#This Row],[Task Name]]="","",IF(Tasks[[#This Row],[_IsSummary]],NETWORKDAYS.INTL(Tasks[[#This Row],[Start]],Tasks[[#This Row],[Finish]],WorkWeek,Holidays),N(Tasks[[#This Row],[_Days]])))</f>
        <v>15</v>
      </c>
      <c r="HF15" s="43" t="n">
        <f aca="false">IF(Tasks[[#This Row],[Expected]]="",0,((Tasks[[#This Row],[Pessimistic]]-Tasks[[#This Row],[Optimistic]])/6)^2)</f>
        <v>1.36111111111111</v>
      </c>
      <c r="HG15" s="43" t="n">
        <f aca="false">IF(Tasks[[#This Row],[Expected]]="",0,Tasks[[#This Row],[Expected]]-N(Tasks[[#This Row],[_Days]]))</f>
        <v>-1.8</v>
      </c>
    </row>
    <row r="16" customFormat="false" ht="15" hidden="false" customHeight="false" outlineLevel="1" collapsed="false">
      <c r="A16" s="21" t="n">
        <f aca="false">IF(Tasks[[#This Row],[Task Name]]="","",COUNTA(Tasks[[#Headers],[Task Name]]:Tasks[[#This Row],[Task Name]])-1)</f>
        <v>11</v>
      </c>
      <c r="B16" s="22" t="n">
        <v>24</v>
      </c>
      <c r="C16" s="22" t="n">
        <v>2</v>
      </c>
      <c r="D16" s="93" t="s">
        <v>660</v>
      </c>
      <c r="E16" s="22" t="n">
        <v>1</v>
      </c>
      <c r="F16" s="23" t="n">
        <v>21</v>
      </c>
      <c r="G16" s="22"/>
      <c r="H16" s="22"/>
      <c r="I16" s="23"/>
      <c r="J16" s="22"/>
      <c r="K16" s="22"/>
      <c r="L16" s="23"/>
      <c r="M16" s="22"/>
      <c r="N16" s="22"/>
      <c r="O16" s="23"/>
      <c r="P16" s="22"/>
      <c r="Q16" s="22"/>
      <c r="R16" s="23"/>
      <c r="S16" s="23" t="s">
        <v>6</v>
      </c>
      <c r="T16" s="84"/>
      <c r="U16" s="23"/>
      <c r="V16" s="84"/>
      <c r="W16" s="23"/>
      <c r="X16" s="84"/>
      <c r="Y16" s="23"/>
      <c r="Z16" s="84"/>
      <c r="AA16" s="23"/>
      <c r="AB16" s="23"/>
      <c r="AC16" s="7"/>
      <c r="AD16" s="7"/>
      <c r="AE16" s="63" t="n">
        <f aca="false">IF(Tasks[[#This Row],[Task Name]]="","",IF(Tasks[[#This Row],[_IsSummary]],MIN(INDEX(Tasks[_ShownFcstStart],Tasks[[#This Row],[_Row]]+1):INDEX(Tasks[_ShownFcstStart],Tasks[[#This Row],[_Row]]+Tasks[[#This Row],[_Descendants]])),Tasks[[#This Row],[_ShownFcstStart]]))</f>
        <v>46324</v>
      </c>
      <c r="AF16" s="63" t="n">
        <f aca="false">IF(Tasks[[#This Row],[Task Name]]="","",IF(Tasks[[#This Row],[_IsSummary]],MAX(INDEX(Tasks[_ShownFcstFinish],Tasks[[#This Row],[_Row]]+1):INDEX(Tasks[_ShownFcstFinish],Tasks[[#This Row],[_Row]]+Tasks[[#This Row],[_Descendants]])),Tasks[[#This Row],[_ShownFcstFinish]]))</f>
        <v>46324</v>
      </c>
      <c r="AG16" s="21" t="str">
        <f aca="false">""</f>
        <v/>
      </c>
      <c r="AH16" s="23" t="s">
        <v>661</v>
      </c>
      <c r="AI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 s="7"/>
      <c r="AK16" s="22" t="s">
        <v>248</v>
      </c>
      <c r="AL16" s="23"/>
      <c r="AM16" s="7"/>
      <c r="AN16" s="47" t="n">
        <f aca="false">IF(Tasks[[#This Row],[Task Name]]="","",IF(Tasks[[#This Row],[Finish]]&gt;=Tasks[[#This Row],[Planned Finish]],NETWORKDAYS.INTL(Tasks[[#This Row],[Planned Finish]],Tasks[[#This Row],[Finish]],WorkWeek,Holidays)-1,1-NETWORKDAYS.INTL(Tasks[[#This Row],[Finish]],Tasks[[#This Row],[Planned Finish]],WorkWeek,Holidays)))</f>
        <v>4</v>
      </c>
      <c r="AO16" s="21" t="str">
        <f aca="false">IF(Tasks[[#This Row],[Task Name]]="","",IF(Tasks[[#This Row],[Progress]]&gt;=1,"Complete",IF(OR(N(Tasks[[#This Row],[Actual Start]])&gt;0,Tasks[[#This Row],[Progress]]&gt;0),IF(Tasks[[#This Row],[Finish Var]]&gt;0,"Behind","In Progress"),IF(Tasks[[#This Row],[Planned Start]]&lt;StatusDate,"Late Start","Not Started"))))</f>
        <v>Late Start</v>
      </c>
      <c r="AP16" s="21" t="str">
        <f aca="false">IF(Tasks[[#This Row],[Task Name]]="","",IF(IF(Tasks[[#This Row],[_IsSummary]],COUNTIF(INDEX(Tasks[_LeafCritical],Tasks[[#This Row],[_Row]]+1):INDEX(Tasks[_LeafCritical],Tasks[[#This Row],[_Row]]+Tasks[[#This Row],[_Descendants]]),TRUE())&gt;0,Tasks[[#This Row],[_LeafCritical]]),"Yes",""))</f>
        <v>Yes</v>
      </c>
      <c r="AQ16" s="63" t="n">
        <f aca="false">IF(Tasks[[#This Row],[Task Name]]="","",IF(N(Tasks[[#This Row],[Baseline Start]])&gt;0,Tasks[[#This Row],[Baseline Start]],Tasks[[#This Row],[_CalcStart]]))</f>
        <v>46318</v>
      </c>
      <c r="AR16" s="63" t="n">
        <f aca="false">IF(Tasks[[#This Row],[Task Name]]="","",IF(N(Tasks[[#This Row],[Baseline Finish]])&gt;0,Tasks[[#This Row],[Baseline Finish]],Tasks[[#This Row],[_CalcFinish]]))</f>
        <v>46318</v>
      </c>
      <c r="AS16" s="47" t="n">
        <f aca="false">IF(Tasks[[#This Row],[Task Name]]="","",IF(Tasks[[#This Row],[Start]]&gt;=Tasks[[#This Row],[Planned Start]],NETWORKDAYS.INTL(Tasks[[#This Row],[Planned Start]],Tasks[[#This Row],[Start]],WorkWeek,Holidays)-1,1-NETWORKDAYS.INTL(Tasks[[#This Row],[Start]],Tasks[[#This Row],[Planned Start]],WorkWeek,Holidays)))</f>
        <v>4</v>
      </c>
      <c r="AT16" s="63" t="n">
        <f aca="false">IF(Tasks[[#This Row],[Task Name]]="","",IF(Tasks[[#This Row],[_IsSummary]],MIN(INDEX(Tasks[_LeafLateStart],Tasks[[#This Row],[_Row]]+1):INDEX(Tasks[_LeafLateStart],Tasks[[#This Row],[_Row]]+Tasks[[#This Row],[_Descendants]])),Tasks[[#This Row],[_LeafLateStart]]))</f>
        <v>46324</v>
      </c>
      <c r="AU16" s="63" t="n">
        <f aca="false">IF(Tasks[[#This Row],[Task Name]]="","",IF(Tasks[[#This Row],[_IsSummary]],MAX(INDEX(Tasks[_LeafLateFinish],Tasks[[#This Row],[_Row]]+1):INDEX(Tasks[_LeafLateFinish],Tasks[[#This Row],[_Row]]+Tasks[[#This Row],[_Descendants]])),Tasks[[#This Row],[_LeafLateFinish]]))</f>
        <v>46324</v>
      </c>
      <c r="AV16" s="47" t="n">
        <f aca="false">IF(Tasks[[#This Row],[Task Name]]="","",IF(Tasks[[#This Row],[_IsSummary]],MIN(INDEX(Tasks[_LeafTotalSlack],Tasks[[#This Row],[_Row]]+1):INDEX(Tasks[_LeafTotalSlack],Tasks[[#This Row],[_Row]]+Tasks[[#This Row],[_Descendants]])),Tasks[[#This Row],[_LeafTotalSlack]]))</f>
        <v>0</v>
      </c>
      <c r="AW16"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5"/>
      <c r="BA16"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10</v>
      </c>
      <c r="BC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BD16" s="21" t="str">
        <f aca="false">IF(Tasks[[#This Row],[Task Name]]="","",IF(Tasks[[#This Row],[_Level]]&lt;=OutlineShowLevel,"Yes","No"))</f>
        <v>Yes</v>
      </c>
      <c r="BE16" s="86" t="n">
        <f aca="false">IF(Tasks[[#This Row],[Task Name]]="","",IF(Tasks[[#This Row],[_IsSummary]],SUM(INDEX(Tasks[_LeafTotalWork],Tasks[[#This Row],[_Row]]+1):INDEX(Tasks[_LeafTotalWork],Tasks[[#This Row],[_Row]]+Tasks[[#This Row],[_Descendants]])),Tasks[[#This Row],[_LeafTotalWork]]))</f>
        <v>8</v>
      </c>
      <c r="BF16" s="23"/>
      <c r="BG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16" s="21" t="str">
        <f aca="false">""</f>
        <v/>
      </c>
      <c r="BI16" s="87"/>
      <c r="BJ16" s="22"/>
      <c r="BK16" s="47" t="n">
        <f aca="false">IF(OR(Tasks[[#This Row],[Task Name]]="",Tasks[[#This Row],[Baseline Duration]]=""),"",Tasks[[#This Row],[_SpanDays]]-N(Tasks[[#This Row],[Baseline Duration]]))</f>
        <v>0</v>
      </c>
      <c r="BL16" s="86" t="n">
        <f aca="false">IF(OR(Tasks[[#This Row],[Task Name]]="",Tasks[[#This Row],[Baseline Work]]=""),"",Tasks[[#This Row],[Work]]-N(Tasks[[#This Row],[Baseline Work]]))</f>
        <v>0</v>
      </c>
      <c r="BM16" s="63" t="n">
        <f aca="false">IF(Tasks[[#This Row],[Task Name]]="","",IF(OR(TakeBaseline="Yes",N(Tasks[[#This Row],[Baseline Start]])=0),Tasks[[#This Row],[Start]],Tasks[[#This Row],[Baseline Start]]))</f>
        <v>46318</v>
      </c>
      <c r="BN16" s="63" t="n">
        <f aca="false">IF(Tasks[[#This Row],[Task Name]]="","",IF(OR(TakeBaseline="Yes",N(Tasks[[#This Row],[Baseline Finish]])=0),Tasks[[#This Row],[Finish]],Tasks[[#This Row],[Baseline Finish]]))</f>
        <v>46318</v>
      </c>
      <c r="BO16" s="21" t="n">
        <f aca="false">IF(Tasks[[#This Row],[Task Name]]="","",IF(OR(TakeBaseline="Yes",N(Tasks[[#This Row],[Baseline Duration]])=0),Tasks[[#This Row],[_SpanDays]],Tasks[[#This Row],[Baseline Duration]]))</f>
        <v>1</v>
      </c>
      <c r="BP16" s="86" t="n">
        <f aca="false">IF(Tasks[[#This Row],[Task Name]]="","",IF(OR(TakeBaseline="Yes",N(Tasks[[#This Row],[Baseline Work]])=0),Tasks[[#This Row],[Work]],Tasks[[#This Row],[Baseline Work]]))</f>
        <v>8</v>
      </c>
      <c r="BQ16" s="7" t="n">
        <v>46318</v>
      </c>
      <c r="BR16" s="7" t="n">
        <v>46318</v>
      </c>
      <c r="BS16" s="22" t="n">
        <v>1</v>
      </c>
      <c r="BT16" s="88" t="n">
        <v>8</v>
      </c>
      <c r="BU16" s="23"/>
      <c r="BV16" s="23"/>
      <c r="BW16" s="23"/>
      <c r="BX16" s="89" t="str">
        <f aca="false">IF(AND(Tasks[[#This Row],[_IsLeaf]]=1,ISNUMBER(Tasks[[#This Row],[Optimistic]]),ISNUMBER(Tasks[[#This Row],[Pessimistic]])),ROUND((Tasks[[#This Row],[Optimistic]]+4*N(Tasks[[#This Row],[_Days]])+Tasks[[#This Row],[Pessimistic]])/6,1),"")</f>
        <v/>
      </c>
      <c r="BY16" s="87"/>
      <c r="BZ16" s="87"/>
      <c r="CA16" s="22"/>
      <c r="CB16" s="43" t="n">
        <f aca="false">IF(Tasks[[#This Row],[Task Name]]="","",MAX(1,N(Tasks[[#This Row],[Level]])))</f>
        <v>2</v>
      </c>
      <c r="CC16" s="43" t="n">
        <f aca="false">ROW()-ROW(Tasks[[#Headers],[ID]])</f>
        <v>11</v>
      </c>
      <c r="CD16" s="43" t="n">
        <f aca="false">IF(OR(Tasks[[#This Row],[Task Name]]="",Tasks[[#This Row],[_Level]]&lt;=1),0,IFERROR(LOOKUP(2,1/(Tasks[[#Headers],[_Level]]:Tasks[[#This Row],[_Level]]=Tasks[[#This Row],[_Level]]-1),ROW(Tasks[[#Headers],[_Level]]:Tasks[[#This Row],[_Level]])),0))</f>
        <v>14</v>
      </c>
      <c r="CE16" s="43" t="n">
        <f aca="false">IFERROR(N(INDEX(Tasks[_Level],Tasks[[#This Row],[_Row]]+1)),0)</f>
        <v>2</v>
      </c>
      <c r="CF16" s="90" t="b">
        <f aca="false">AND(Tasks[[#This Row],[Task Name]]&lt;&gt;"",Tasks[[#This Row],[_NextLevel]]&gt;Tasks[[#This Row],[_Level]])</f>
        <v>0</v>
      </c>
      <c r="CG16" s="43" t="n">
        <f aca="false">IF(Tasks[[#This Row],[_IsSummary]],COUNTIF(Tasks[WBS],Tasks[[#This Row],[WBS]]&amp;".*"),0)</f>
        <v>0</v>
      </c>
      <c r="CH16" s="43" t="n">
        <f aca="false">IF(AND(Tasks[[#This Row],[Task Name]]&lt;&gt;"",NOT(Tasks[[#This Row],[_IsSummary]])),1,0)</f>
        <v>1</v>
      </c>
      <c r="CI16" s="43" t="n">
        <f aca="false">IF(N(Tasks[[#This Row],[_Pred1UID]])=0,0,IFERROR(MATCH(Tasks[[#This Row],[_Pred1UID]],Tasks[UID],0),-1))</f>
        <v>10</v>
      </c>
      <c r="CJ16" s="43" t="n">
        <f aca="false">IF(N(Tasks[[#This Row],[_Pred2UID]])=0,0,IFERROR(MATCH(Tasks[[#This Row],[_Pred2UID]],Tasks[UID],0),-1))</f>
        <v>0</v>
      </c>
      <c r="CK16" s="43" t="n">
        <f aca="false">IF(N(Tasks[[#This Row],[_Pred3UID]])=0,0,IFERROR(MATCH(Tasks[[#This Row],[_Pred3UID]],Tasks[UID],0),-1))</f>
        <v>0</v>
      </c>
      <c r="CL16" s="43" t="n">
        <f aca="false">IF(N(Tasks[[#This Row],[_Pred4UID]])=0,0,IFERROR(MATCH(Tasks[[#This Row],[_Pred4UID]],Tasks[UID],0),-1))</f>
        <v>0</v>
      </c>
      <c r="CM16"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 s="91" t="n">
        <f aca="false">IF(OR(Tasks[[#This Row],[_ConstraintCode]]=2,Tasks[[#This Row],[_ConstraintCode]]=3,Tasks[[#This Row],[_ConstraintCode]]=4,Tasks[[#This Row],[_ConstraintCode]]=6),Tasks[[#This Row],[_ConstraintStart]],0)</f>
        <v>0</v>
      </c>
      <c r="CP16" s="91" t="n">
        <f aca="false">IF(OR(Tasks[[#This Row],[_ConstraintCode]]=2,Tasks[[#This Row],[_ConstraintCode]]=3,Tasks[[#This Row],[_ConstraintCode]]=5,Tasks[[#This Row],[_ConstraintCode]]=7),Tasks[[#This Row],[_ConstraintStart]],2958465)</f>
        <v>2958465</v>
      </c>
      <c r="CQ16"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R16" s="91" t="n">
        <f aca="false">IF(NOT(Tasks[[#This Row],[_IsLeaf]]=1),"",IF(N(Tasks[[#This Row],[_Days]])&lt;=0,Tasks[[#This Row],[_LeafCalcStart]],WORKDAY.INTL(Tasks[[#This Row],[_LeafCalcStart]],Tasks[[#This Row],[_Days]]-1,WorkWeek,Holidays)))</f>
        <v>46318</v>
      </c>
      <c r="CS16"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T16"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U16" s="43" t="str">
        <f aca="false">IF(Tasks[[#This Row],[_Predecessors]]="","",TRIM(MID(SUBSTITUTE(SUBSTITUTE(SUBSTITUTE(UPPER(Tasks[[#This Row],[_Predecessors]]),";",",")," ",""),",",REPT(" ",99)),1,99)))</f>
        <v>21</v>
      </c>
      <c r="CV16" s="43" t="n">
        <f aca="false">IF(Tasks[[#This Row],[_Pred1Text]]="","",IFERROR(VALUE(LEFT(Tasks[[#This Row],[_Pred1Text]],MIN(FIND("F",Tasks[[#This Row],[_Pred1Text]]&amp;"F"),FIND("S",Tasks[[#This Row],[_Pred1Text]]&amp;"S"),FIND("+",Tasks[[#This Row],[_Pred1Text]]&amp;"+"),FIND("-",Tasks[[#This Row],[_Pred1Text]]&amp;"-"))-1)),""))</f>
        <v>21</v>
      </c>
      <c r="CW1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6"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6" s="43" t="str">
        <f aca="false">IF(Tasks[[#This Row],[_Pred1Text]]="","",TRIM(MID(SUBSTITUTE(SUBSTITUTE(SUBSTITUTE(UPPER(Tasks[[#This Row],[_Predecessors]]),";",",")," ",""),",",REPT(" ",99)),100,99)))</f>
        <v/>
      </c>
      <c r="CZ16" s="43" t="str">
        <f aca="false">IF(Tasks[[#This Row],[_Pred2Text]]="","",IFERROR(VALUE(LEFT(Tasks[[#This Row],[_Pred2Text]],MIN(FIND("F",Tasks[[#This Row],[_Pred2Text]]&amp;"F"),FIND("S",Tasks[[#This Row],[_Pred2Text]]&amp;"S"),FIND("+",Tasks[[#This Row],[_Pred2Text]]&amp;"+"),FIND("-",Tasks[[#This Row],[_Pred2Text]]&amp;"-"))-1)),""))</f>
        <v/>
      </c>
      <c r="DA1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 s="43" t="str">
        <f aca="false">IF(Tasks[[#This Row],[_Pred2Text]]="","",TRIM(MID(SUBSTITUTE(SUBSTITUTE(SUBSTITUTE(UPPER(Tasks[[#This Row],[_Predecessors]]),";",",")," ",""),",",REPT(" ",99)),199,99)))</f>
        <v/>
      </c>
      <c r="DD16" s="43" t="str">
        <f aca="false">IF(Tasks[[#This Row],[_Pred3Text]]="","",IFERROR(VALUE(LEFT(Tasks[[#This Row],[_Pred3Text]],MIN(FIND("F",Tasks[[#This Row],[_Pred3Text]]&amp;"F"),FIND("S",Tasks[[#This Row],[_Pred3Text]]&amp;"S"),FIND("+",Tasks[[#This Row],[_Pred3Text]]&amp;"+"),FIND("-",Tasks[[#This Row],[_Pred3Text]]&amp;"-"))-1)),""))</f>
        <v/>
      </c>
      <c r="DE1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 s="43" t="str">
        <f aca="false">IF(Tasks[[#This Row],[_Pred3Text]]="","",TRIM(MID(SUBSTITUTE(SUBSTITUTE(SUBSTITUTE(UPPER(Tasks[[#This Row],[_Predecessors]]),";",",")," ",""),",",REPT(" ",99)),298,99)))</f>
        <v/>
      </c>
      <c r="DH16" s="43" t="str">
        <f aca="false">IF(Tasks[[#This Row],[_Pred4Text]]="","",IFERROR(VALUE(LEFT(Tasks[[#This Row],[_Pred4Text]],MIN(FIND("F",Tasks[[#This Row],[_Pred4Text]]&amp;"F"),FIND("S",Tasks[[#This Row],[_Pred4Text]]&amp;"S"),FIND("+",Tasks[[#This Row],[_Pred4Text]]&amp;"+"),FIND("-",Tasks[[#This Row],[_Pred4Text]]&amp;"-"))-1)),""))</f>
        <v/>
      </c>
      <c r="DI1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 s="43" t="str">
        <f aca="false">IF(OR(Tasks[[#This Row],[Task Name]]="",Tasks[[#This Row],[_Resources]]=""),"",TRIM(MID(SUBSTITUTE(Tasks[[#This Row],[_Resources]],",",REPT(" ",99)),1,99)))</f>
        <v>Priya Sharma</v>
      </c>
      <c r="DL16" s="43" t="str">
        <f aca="false">IF(Tasks[[#This Row],[_Res1Text]]="","",TRIM(MID(SUBSTITUTE(Tasks[[#This Row],[_Resources]],",",REPT(" ",99)),100,99)))</f>
        <v/>
      </c>
      <c r="DM16" s="43" t="str">
        <f aca="false">IF(Tasks[[#This Row],[_Res2Text]]="","",TRIM(MID(SUBSTITUTE(Tasks[[#This Row],[_Resources]],",",REPT(" ",99)),199,99)))</f>
        <v/>
      </c>
      <c r="DN16" s="43" t="str">
        <f aca="false">IF(Tasks[[#This Row],[_Res3Text]]="","",TRIM(MID(SUBSTITUTE(Tasks[[#This Row],[_Resources]],",",REPT(" ",99)),298,99)))</f>
        <v/>
      </c>
      <c r="DO16" s="43" t="n">
        <f aca="false">IF(Tasks[[#This Row],[_Res1Text]]="",0,IFERROR(MATCH(TRIM(LEFT(Tasks[[#This Row],[_Res1Text]],FIND("[",Tasks[[#This Row],[_Res1Text]]&amp;"[")-1)),res_Name,0),IFERROR(MATCH(TRIM(LEFT(Tasks[[#This Row],[_Res1Text]],FIND("[",Tasks[[#This Row],[_Res1Text]]&amp;"[")-1)),res_Initials,0),0)))</f>
        <v>1</v>
      </c>
      <c r="DP16" s="43" t="n">
        <f aca="false">IF(Tasks[[#This Row],[_Res2Text]]="",0,IFERROR(MATCH(TRIM(LEFT(Tasks[[#This Row],[_Res2Text]],FIND("[",Tasks[[#This Row],[_Res2Text]]&amp;"[")-1)),res_Name,0),IFERROR(MATCH(TRIM(LEFT(Tasks[[#This Row],[_Res2Text]],FIND("[",Tasks[[#This Row],[_Res2Text]]&amp;"[")-1)),res_Initials,0),0)))</f>
        <v>0</v>
      </c>
      <c r="DQ16" s="43" t="n">
        <f aca="false">IF(Tasks[[#This Row],[_Res3Text]]="",0,IFERROR(MATCH(TRIM(LEFT(Tasks[[#This Row],[_Res3Text]],FIND("[",Tasks[[#This Row],[_Res3Text]]&amp;"[")-1)),res_Name,0),IFERROR(MATCH(TRIM(LEFT(Tasks[[#This Row],[_Res3Text]],FIND("[",Tasks[[#This Row],[_Res3Text]]&amp;"[")-1)),res_Initials,0),0)))</f>
        <v>0</v>
      </c>
      <c r="DR16" s="43" t="n">
        <f aca="false">IF(Tasks[[#This Row],[_Res4Text]]="",0,IFERROR(MATCH(TRIM(LEFT(Tasks[[#This Row],[_Res4Text]],FIND("[",Tasks[[#This Row],[_Res4Text]]&amp;"[")-1)),res_Name,0),IFERROR(MATCH(TRIM(LEFT(Tasks[[#This Row],[_Res4Text]],FIND("[",Tasks[[#This Row],[_Res4Text]]&amp;"[")-1)),res_Initials,0),0)))</f>
        <v>0</v>
      </c>
      <c r="DS16" s="43" t="str">
        <f aca="false">IF(Tasks[[#This Row],[_Res1Text]]="","",IF(Tasks[[#This Row],[_Res1Row]]&gt;0,INDEX(res_Name,Tasks[[#This Row],[_Res1Row]]),TRIM(LEFT(Tasks[[#This Row],[_Res1Text]],FIND("[",Tasks[[#This Row],[_Res1Text]]&amp;"[")-1))))</f>
        <v>Priya Sharma</v>
      </c>
      <c r="DT1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 s="43" t="n">
        <f aca="false">IF(NOT(Tasks[[#This Row],[_IsLeaf]]=1),0,(Tasks[[#This Row],[_Resource1]]&lt;&gt;"")+(Tasks[[#This Row],[_Res2]]&lt;&gt;"")+(Tasks[[#This Row],[_Res3]]&lt;&gt;"")+(Tasks[[#This Row],[_Res4]]&lt;&gt;""))</f>
        <v>1</v>
      </c>
      <c r="DV16" s="43" t="str">
        <f aca="false">IF(Tasks[[#This Row],[_Res2Text]]="","",IF(Tasks[[#This Row],[_Res2Row]]&gt;0,INDEX(res_Name,Tasks[[#This Row],[_Res2Row]]),TRIM(LEFT(Tasks[[#This Row],[_Res2Text]],FIND("[",Tasks[[#This Row],[_Res2Text]]&amp;"[")-1))))</f>
        <v/>
      </c>
      <c r="DW1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 s="43" t="n">
        <f aca="false">IF(OR(NOT(Tasks[[#This Row],[_IsLeaf]]=1),Tasks[[#This Row],[_Res2Row]]=0),0,N(Tasks[[#This Row],[_Days]])*HoursPerDay*IF(Tasks[[#This Row],[_Res2Units]]="",DefaultUnits,Tasks[[#This Row],[_Res2Units]]))</f>
        <v>0</v>
      </c>
      <c r="DY16" s="43" t="n">
        <f aca="false">IF(AND(AND(Tasks[[#This Row],[_IsLeaf]]=1,Tasks[[#This Row],[_LeafTotalWork]]&gt;0),Tasks[[#This Row],[_Res2Work]]&gt;0),Tasks[[#This Row],[_Res2Work]]/(Tasks[[#This Row],[_FinishWorkday]]-Tasks[[#This Row],[_StartWorkday]]+1),0)</f>
        <v>0</v>
      </c>
      <c r="DZ16" s="43" t="n">
        <f aca="false">Tasks[[#This Row],[_Res2WorkPerWD]]*MAX(0,Tasks[[#This Row],[_StartWorkday]]-1)</f>
        <v>0</v>
      </c>
      <c r="EA16" s="43" t="n">
        <f aca="false">Tasks[[#This Row],[_Res2Work]]*Tasks[[#This Row],[_LeafProgress]]</f>
        <v>0</v>
      </c>
      <c r="EB16" s="43" t="str">
        <f aca="false">IF(Tasks[[#This Row],[_Res3Text]]="","",IF(Tasks[[#This Row],[_Res3Row]]&gt;0,INDEX(res_Name,Tasks[[#This Row],[_Res3Row]]),TRIM(LEFT(Tasks[[#This Row],[_Res3Text]],FIND("[",Tasks[[#This Row],[_Res3Text]]&amp;"[")-1))))</f>
        <v/>
      </c>
      <c r="EC1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 s="43" t="n">
        <f aca="false">IF(OR(NOT(Tasks[[#This Row],[_IsLeaf]]=1),Tasks[[#This Row],[_Res3Row]]=0),0,N(Tasks[[#This Row],[_Days]])*HoursPerDay*IF(Tasks[[#This Row],[_Res3Units]]="",DefaultUnits,Tasks[[#This Row],[_Res3Units]]))</f>
        <v>0</v>
      </c>
      <c r="EE16" s="43" t="n">
        <f aca="false">IF(AND(AND(Tasks[[#This Row],[_IsLeaf]]=1,Tasks[[#This Row],[_LeafTotalWork]]&gt;0),Tasks[[#This Row],[_Res3Work]]&gt;0),Tasks[[#This Row],[_Res3Work]]/(Tasks[[#This Row],[_FinishWorkday]]-Tasks[[#This Row],[_StartWorkday]]+1),0)</f>
        <v>0</v>
      </c>
      <c r="EF16" s="43" t="n">
        <f aca="false">Tasks[[#This Row],[_Res3WorkPerWD]]*MAX(0,Tasks[[#This Row],[_StartWorkday]]-1)</f>
        <v>0</v>
      </c>
      <c r="EG16" s="43" t="n">
        <f aca="false">Tasks[[#This Row],[_Res3Work]]*Tasks[[#This Row],[_LeafProgress]]</f>
        <v>0</v>
      </c>
      <c r="EH16" s="43" t="str">
        <f aca="false">IF(Tasks[[#This Row],[_Res4Text]]="","",IF(Tasks[[#This Row],[_Res4Row]]&gt;0,INDEX(res_Name,Tasks[[#This Row],[_Res4Row]]),TRIM(LEFT(Tasks[[#This Row],[_Res4Text]],FIND("[",Tasks[[#This Row],[_Res4Text]]&amp;"[")-1))))</f>
        <v/>
      </c>
      <c r="EI1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 s="43" t="n">
        <f aca="false">IF(OR(NOT(Tasks[[#This Row],[_IsLeaf]]=1),Tasks[[#This Row],[_Res4Row]]=0),0,N(Tasks[[#This Row],[_Days]])*HoursPerDay*IF(Tasks[[#This Row],[_Res4Units]]="",DefaultUnits,Tasks[[#This Row],[_Res4Units]]))</f>
        <v>0</v>
      </c>
      <c r="EK16" s="43" t="n">
        <f aca="false">IF(AND(AND(Tasks[[#This Row],[_IsLeaf]]=1,Tasks[[#This Row],[_LeafTotalWork]]&gt;0),Tasks[[#This Row],[_Res4Work]]&gt;0),Tasks[[#This Row],[_Res4Work]]/(Tasks[[#This Row],[_FinishWorkday]]-Tasks[[#This Row],[_StartWorkday]]+1),0)</f>
        <v>0</v>
      </c>
      <c r="EL16" s="43" t="n">
        <f aca="false">Tasks[[#This Row],[_Res4WorkPerWD]]*MAX(0,Tasks[[#This Row],[_StartWorkday]]-1)</f>
        <v>0</v>
      </c>
      <c r="EM16" s="43" t="n">
        <f aca="false">Tasks[[#This Row],[_Res4Work]]*Tasks[[#This Row],[_LeafProgress]]</f>
        <v>0</v>
      </c>
      <c r="EN16" s="43" t="n">
        <f aca="false">IF(ISNUMBER(Tasks[[#This Row],[% Complete]]),Tasks[[#This Row],[% Complete]],IF(Tasks[[#This Row],[Stage]]="",0,IFERROR(INDEX(stg_Pct,MATCH(Tasks[[#This Row],[Stage]],stg_Name,0)),0)))</f>
        <v>0</v>
      </c>
      <c r="EO16" s="43" t="n">
        <f aca="false">IF(NOT(Tasks[[#This Row],[_IsLeaf]]=1),0,IF(N(Tasks[[#This Row],[Actual Finish]])&gt;0,1,MIN(1,Tasks[[#This Row],[_Pct]])))</f>
        <v>0</v>
      </c>
      <c r="EP16" s="43" t="n">
        <f aca="false">IF(OR(NOT(Tasks[[#This Row],[_IsLeaf]]=1),Tasks[[#This Row],[_Res1Row]]=0),0,N(Tasks[[#This Row],[_Days]])*HoursPerDay*IF(Tasks[[#This Row],[_Units1]]="",DefaultUnits,Tasks[[#This Row],[_Units1]]))</f>
        <v>8</v>
      </c>
      <c r="EQ16" s="43" t="n">
        <f aca="false">Tasks[[#This Row],[_LeafWork]]+Tasks[[#This Row],[_Res2Work]]+Tasks[[#This Row],[_Res3Work]]+Tasks[[#This Row],[_Res4Work]]</f>
        <v>8</v>
      </c>
      <c r="ER16"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2912142</v>
      </c>
      <c r="ES1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 s="43" t="n">
        <f aca="false">IF(NOT(Tasks[[#This Row],[_IsLeaf]]=1),0,MAX(_xlfn.MAXIFS(Tasks[_Row],Tasks[_Pred1UID],Tasks[[#This Row],[UID]]),_xlfn.MAXIFS(Tasks[_Row],Tasks[_Pred2UID],Tasks[[#This Row],[UID]]),_xlfn.MAXIFS(Tasks[_Row],Tasks[_Pred3UID],Tasks[[#This Row],[UID]]),_xlfn.MAXIFS(Tasks[_Row],Tasks[_Pred4UID],Tasks[[#This Row],[UID]])))</f>
        <v>12</v>
      </c>
      <c r="FA16"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46324</v>
      </c>
      <c r="FB16"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FC16" s="91" t="n">
        <f aca="false">IF(NOT(Tasks[[#This Row],[_IsLeaf]]=1),"",IF(N(Tasks[[#This Row],[_Days]])&lt;=0,Tasks[[#This Row],[_LeafLateFinish]],WORKDAY.INTL(Tasks[[#This Row],[_LeafLateFinish]],-(Tasks[[#This Row],[_Days]]-1),WorkWeek,Holidays)))</f>
        <v>46324</v>
      </c>
      <c r="FD16"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E16" s="90" t="b">
        <f aca="false">AND(Tasks[[#This Row],[_IsLeaf]]=1,Tasks[[#This Row],[_LeafProgress]]&lt;1,N(Tasks[[#This Row],[_LeafTotalSlack]])&lt;=CriticalSlackDays)</f>
        <v>1</v>
      </c>
      <c r="FF16" s="43" t="n">
        <f aca="false">IF(AND(Tasks[[#This Row],[_IsLeaf]]=1,Tasks[[#This Row],[_ConstraintCode]]=1,Tasks[[#This Row],[Mode]]&lt;&gt;"Manual",N(Tasks[[#This Row],[Actual Start]])=0),MAX(0,N(Tasks[[#This Row],[Free Slack]])),0)</f>
        <v>0</v>
      </c>
      <c r="FG16" s="91" t="n">
        <f aca="false">IF(NOT(Tasks[[#This Row],[_IsLeaf]]=1),"",IF(Tasks[[#This Row],[_AlapShift]]=0,Tasks[[#This Row],[_LeafCalcStart]],WORKDAY.INTL(Tasks[[#This Row],[_LeafCalcStart]],Tasks[[#This Row],[_AlapShift]],WorkWeek,Holidays)))</f>
        <v>46318</v>
      </c>
      <c r="FH16" s="91" t="n">
        <f aca="false">IF(NOT(Tasks[[#This Row],[_IsLeaf]]=1),"",IF(Tasks[[#This Row],[_AlapShift]]=0,Tasks[[#This Row],[_LeafCalcFinish]],WORKDAY.INTL(Tasks[[#This Row],[_LeafCalcFinish]],Tasks[[#This Row],[_AlapShift]],WorkWeek,Holidays)))</f>
        <v>46318</v>
      </c>
      <c r="FI16" s="91" t="n">
        <f aca="false">IF(NOT(Tasks[[#This Row],[_IsLeaf]]=1),"",IF(Tasks[[#This Row],[_AlapShift]]=0,Tasks[[#This Row],[_LeafFcstStart]],WORKDAY.INTL(Tasks[[#This Row],[_LeafFcstStart]],Tasks[[#This Row],[_AlapShift]],WorkWeek,Holidays)))</f>
        <v>46324</v>
      </c>
      <c r="FJ16" s="91" t="n">
        <f aca="false">IF(NOT(Tasks[[#This Row],[_IsLeaf]]=1),"",IF(Tasks[[#This Row],[_AlapShift]]=0,Tasks[[#This Row],[_LeafFcstFinish]],WORKDAY.INTL(Tasks[[#This Row],[_LeafFcstFinish]],Tasks[[#This Row],[_AlapShift]],WorkWeek,Holidays)))</f>
        <v>46324</v>
      </c>
      <c r="FK16" s="91" t="n">
        <f aca="false">IF(Tasks[[#This Row],[Task Name]]="","",IF(Tasks[[#This Row],[_IsSummary]],MIN(INDEX(Tasks[_ShownCalcStart],Tasks[[#This Row],[_Row]]+1):INDEX(Tasks[_ShownCalcStart],Tasks[[#This Row],[_Row]]+Tasks[[#This Row],[_Descendants]])),Tasks[[#This Row],[_ShownCalcStart]]))</f>
        <v>46318</v>
      </c>
      <c r="FL16" s="91" t="n">
        <f aca="false">IF(Tasks[[#This Row],[Task Name]]="","",IF(Tasks[[#This Row],[_IsSummary]],MAX(INDEX(Tasks[_ShownCalcFinish],Tasks[[#This Row],[_Row]]+1):INDEX(Tasks[_ShownCalcFinish],Tasks[[#This Row],[_Row]]+Tasks[[#This Row],[_Descendants]])),Tasks[[#This Row],[_ShownCalcFinish]]))</f>
        <v>46318</v>
      </c>
      <c r="FM1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R1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V1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 s="43" t="n">
        <f aca="false">IF(AND(Tasks[[#This Row],[_IsLeaf]]=1,Tasks[[#This Row],[_LeafTotalWork]]&gt;0),NETWORKDAYS.INTL(ProjectStart,Tasks[[#This Row],[_ShownFcstStart]],WorkWeek,Holidays),0)</f>
        <v>39</v>
      </c>
      <c r="FZ16" s="43" t="n">
        <f aca="false">IF(AND(Tasks[[#This Row],[_IsLeaf]]=1,Tasks[[#This Row],[_LeafTotalWork]]&gt;0),MAX(Tasks[[#This Row],[_StartWorkday]],NETWORKDAYS.INTL(ProjectStart,Tasks[[#This Row],[_ShownFcstFinish]],WorkWeek,Holidays)),0)</f>
        <v>39</v>
      </c>
      <c r="GA16" s="43" t="n">
        <f aca="false">IF(AND(Tasks[[#This Row],[_IsLeaf]]=1,Tasks[[#This Row],[_LeafTotalWork]]&gt;0),Tasks[[#This Row],[_LeafWork]]/(Tasks[[#This Row],[_FinishWorkday]]-Tasks[[#This Row],[_StartWorkday]]+1),0)</f>
        <v>8</v>
      </c>
      <c r="GB16" s="43" t="n">
        <f aca="false">Tasks[[#This Row],[_WorkPerWorkday]]*(Tasks[[#This Row],[_StartWorkday]]-1)</f>
        <v>304</v>
      </c>
      <c r="GC16" s="43" t="n">
        <f aca="false">IF(Tasks[[#This Row],[_IsLeaf]]=1,MAX(N(Tasks[[#This Row],[_Days]]),0.1),0)</f>
        <v>1</v>
      </c>
      <c r="GD16" s="43" t="n">
        <f aca="false">Tasks[[#This Row],[_WeightDur]]*Tasks[[#This Row],[_LeafProgress]]</f>
        <v>0</v>
      </c>
      <c r="GE16" s="43" t="n">
        <f aca="false">Tasks[[#This Row],[_WeightDur]]*Tasks[[#This Row],[_PlannedPct]]</f>
        <v>1</v>
      </c>
      <c r="GF1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v>
      </c>
      <c r="GG16" s="43" t="str">
        <f aca="false">IF(AND(Tasks[[#This Row],[_IsLeaf]]=1,N(Tasks[[#This Row],[_Days]])=0,Tasks[[#This Row],[_LeafProgress]]&lt;1),Tasks[[#This Row],[_ShownFcstFinish]]+Tasks[[#This Row],[_Row]]/100000,"")</f>
        <v/>
      </c>
      <c r="GH1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6" s="43" t="str">
        <f aca="false">IF(Tasks[[#This Row],[Task Name]]="","",LEFT(Tasks[[#This Row],[WBS]],FIND(".",Tasks[[#This Row],[WBS]]&amp;".")-1))</f>
        <v>3</v>
      </c>
      <c r="GJ16" s="43" t="str">
        <f aca="false">IF(AND(Tasks[[#This Row],[Task Name]]&lt;&gt;"",Tasks[[#This Row],[_Level]]=1),Tasks[[#This Row],[_Row]],"")</f>
        <v/>
      </c>
      <c r="GK16" s="43" t="str">
        <f aca="false">IF(AND(Tasks[[#This Row],[_IsLeaf]]=1,N(Tasks[[#This Row],[_Days]])=0),Tasks[[#This Row],[Planned Finish]]+Tasks[[#This Row],[_Row]]/100000,"")</f>
        <v/>
      </c>
      <c r="GL16" s="43" t="n">
        <f aca="false">IF(AND(Tasks[[#This Row],[_IsLeaf]]=1,Tasks[[#This Row],[_LeafProgress]]&lt;1,OR(N(Tasks[[#This Row],[Finish Var]])&gt;0,Tasks[[#This Row],[Status]]="Late Start")),MAX(0,Tasks[[#This Row],[Finish Var]])+1-Tasks[[#This Row],[_Row]]/1000000,"")</f>
        <v>4.999989</v>
      </c>
      <c r="GM16" s="95" t="n">
        <f aca="false">IF(AND(Tasks[[#This Row],[_IsLeaf]]=1,N(Tasks[[#This Row],[Actual Start]])=0,Tasks[[#This Row],[_ShownFcstStart]]&gt;=StatusDate,Tasks[[#This Row],[_ShownFcstStart]]&lt;=LookaheadEnd),Tasks[[#This Row],[_ShownFcstStart]]+Tasks[[#This Row],[_Row]]/100000,"")</f>
        <v>46324.00011</v>
      </c>
      <c r="GN16" s="95" t="n">
        <f aca="false">IF(AND(Tasks[[#This Row],[_IsLeaf]]=1,Tasks[[#This Row],[_LeafProgress]]&lt;1,Tasks[[#This Row],[_ShownFcstFinish]]&gt;=StatusDate,Tasks[[#This Row],[_ShownFcstFinish]]&lt;=LookaheadEnd),Tasks[[#This Row],[_ShownFcstFinish]]+Tasks[[#This Row],[_Row]]/100000,"")</f>
        <v>46324.00011</v>
      </c>
      <c r="GO16" s="95" t="n">
        <f aca="false">IF(Tasks[[#This Row],[_LeafCritical]],Tasks[[#This Row],[_ShownFcstStart]]+Tasks[[#This Row],[_Row]]/100000,"")</f>
        <v>46324.00011</v>
      </c>
      <c r="GP16" s="43" t="n">
        <f aca="false">Tasks[[#This Row],[_LeafWork]]*Tasks[[#This Row],[_LeafProgress]]</f>
        <v>0</v>
      </c>
      <c r="GQ16" s="91" t="str">
        <f aca="false">IF(AND(Tasks[[#This Row],[_IsLeaf]]=1,Tasks[[#This Row],[_LeafProgress]]&gt;=1),IF(N(Tasks[[#This Row],[Actual Finish]])&gt;0,Tasks[[#This Row],[Actual Finish]],Tasks[[#This Row],[_ShownFcstFinish]]),"")</f>
        <v/>
      </c>
      <c r="GR16" s="43" t="n">
        <f aca="false">IF(Tasks[[#This Row],[_IsLeaf]]=1,N(Tasks[[#This Row],[Story Points]]),0)</f>
        <v>0</v>
      </c>
      <c r="GS16" s="43" t="str">
        <f aca="false">""</f>
        <v/>
      </c>
      <c r="GT16" s="90" t="b">
        <f aca="false">IF(Tasks[[#This Row],[Task Name]]="",FALSE(),AND(Tasks[[#This Row],[_IsLeaf]]=1,N(Tasks[[#This Row],[_Days]])=0))</f>
        <v>0</v>
      </c>
      <c r="GU16" s="91" t="n">
        <f aca="false">IF(Tasks[[#This Row],[Task Name]]="",0,IF(AND(Tasks[[#This Row],[_IsLeaf]]=1,NOT(Tasks[[#This Row],[_IsMilestone]]),N(Tasks[[#This Row],[Progress]])&gt;0),Tasks[[#This Row],[Start]],0))</f>
        <v>0</v>
      </c>
      <c r="GV16" s="91" t="n">
        <f aca="false">IF(Tasks[[#This Row],[_DoneFrom]]=0,0,IF(Tasks[[#This Row],[Progress]]&gt;=1,Tasks[[#This Row],[Finish]],MAX(Tasks[[#This Row],[_DoneFrom]],Tasks[[#This Row],[Start]]+ROUND((Tasks[[#This Row],[Finish]]-Tasks[[#This Row],[Start]]+1)*Tasks[[#This Row],[Progress]],0)-1)))</f>
        <v>0</v>
      </c>
      <c r="GW16" s="91" t="n">
        <f aca="false">IF(Tasks[[#This Row],[Task Name]]="",0,IF(OR(NOT(Tasks[[#This Row],[_IsLeaf]]=1),Tasks[[#This Row],[_IsMilestone]],N(Tasks[[#This Row],[Progress]])&gt;=1),0,IF(Tasks[[#This Row],[_DoneTo]]&gt;0,Tasks[[#This Row],[_DoneTo]]+1,Tasks[[#This Row],[Start]])))</f>
        <v>46324</v>
      </c>
      <c r="GX16" s="91" t="n">
        <f aca="false">IF(Tasks[[#This Row],[_RemFrom]]=0,0,Tasks[[#This Row],[Finish]])</f>
        <v>46324</v>
      </c>
      <c r="GY16" s="90" t="b">
        <f aca="false">IF(Tasks[[#This Row],[Task Name]]="",FALSE(),OR(NOT(BaselineSet),N(Tasks[[#This Row],[Baseline Start]])&gt;0))</f>
        <v>1</v>
      </c>
      <c r="GZ16"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v>
      </c>
      <c r="HA1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21</v>
      </c>
      <c r="HB1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HC16" s="92" t="n">
        <f aca="false">IF(Tasks[[#This Row],[_IsLeaf]]=1,Tasks[[#This Row],[_Row]],"")</f>
        <v>11</v>
      </c>
      <c r="HD16" s="92" t="str">
        <f aca="false">IFERROR(INDEX(Tasks[UID],SMALL(Tasks[_PickKey],Tasks[[#This Row],[_Row]]))&amp;" "&amp;INDEX(Tasks[Task Name],SMALL(Tasks[_PickKey],Tasks[[#This Row],[_Row]])),"")</f>
        <v/>
      </c>
      <c r="HE16" s="43" t="n">
        <f aca="false">IF(Tasks[[#This Row],[Task Name]]="","",IF(Tasks[[#This Row],[_IsSummary]],NETWORKDAYS.INTL(Tasks[[#This Row],[Start]],Tasks[[#This Row],[Finish]],WorkWeek,Holidays),N(Tasks[[#This Row],[_Days]])))</f>
        <v>1</v>
      </c>
      <c r="HF16" s="43" t="n">
        <f aca="false">IF(Tasks[[#This Row],[Expected]]="",0,((Tasks[[#This Row],[Pessimistic]]-Tasks[[#This Row],[Optimistic]])/6)^2)</f>
        <v>0</v>
      </c>
      <c r="HG16" s="43" t="n">
        <f aca="false">IF(Tasks[[#This Row],[Expected]]="",0,Tasks[[#This Row],[Expected]]-N(Tasks[[#This Row],[_Days]]))</f>
        <v>0</v>
      </c>
    </row>
    <row r="17" customFormat="false" ht="15" hidden="false" customHeight="false" outlineLevel="1" collapsed="false">
      <c r="A17" s="21" t="n">
        <f aca="false">IF(Tasks[[#This Row],[Task Name]]="","",COUNTA(Tasks[[#Headers],[Task Name]]:Tasks[[#This Row],[Task Name]])-1)</f>
        <v>12</v>
      </c>
      <c r="B17" s="22" t="n">
        <v>25</v>
      </c>
      <c r="C17" s="22" t="n">
        <v>2</v>
      </c>
      <c r="D17" s="93" t="s">
        <v>662</v>
      </c>
      <c r="E17" s="22" t="n">
        <v>0</v>
      </c>
      <c r="F17" s="23" t="n">
        <v>24</v>
      </c>
      <c r="G17" s="22"/>
      <c r="H17" s="22"/>
      <c r="I17" s="23"/>
      <c r="J17" s="22"/>
      <c r="K17" s="22"/>
      <c r="L17" s="23"/>
      <c r="M17" s="22"/>
      <c r="N17" s="22"/>
      <c r="O17" s="23"/>
      <c r="P17" s="22"/>
      <c r="Q17" s="22"/>
      <c r="R17" s="23"/>
      <c r="S17" s="23"/>
      <c r="T17" s="84"/>
      <c r="U17" s="23"/>
      <c r="V17" s="84"/>
      <c r="W17" s="23"/>
      <c r="X17" s="84"/>
      <c r="Y17" s="23"/>
      <c r="Z17" s="84"/>
      <c r="AA17" s="23"/>
      <c r="AB17" s="23"/>
      <c r="AC17" s="7"/>
      <c r="AD17" s="7"/>
      <c r="AE17" s="63" t="n">
        <f aca="false">IF(Tasks[[#This Row],[Task Name]]="","",IF(Tasks[[#This Row],[_IsSummary]],MIN(INDEX(Tasks[_ShownFcstStart],Tasks[[#This Row],[_Row]]+1):INDEX(Tasks[_ShownFcstStart],Tasks[[#This Row],[_Row]]+Tasks[[#This Row],[_Descendants]])),Tasks[[#This Row],[_ShownFcstStart]]))</f>
        <v>46324</v>
      </c>
      <c r="AF17" s="63" t="n">
        <f aca="false">IF(Tasks[[#This Row],[Task Name]]="","",IF(Tasks[[#This Row],[_IsSummary]],MAX(INDEX(Tasks[_ShownFcstFinish],Tasks[[#This Row],[_Row]]+1):INDEX(Tasks[_ShownFcstFinish],Tasks[[#This Row],[_Row]]+Tasks[[#This Row],[_Descendants]])),Tasks[[#This Row],[_ShownFcstFinish]]))</f>
        <v>46324</v>
      </c>
      <c r="AG17" s="21" t="str">
        <f aca="false">""</f>
        <v/>
      </c>
      <c r="AH17" s="23" t="s">
        <v>663</v>
      </c>
      <c r="AI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 s="7" t="n">
        <v>46374</v>
      </c>
      <c r="AK17" s="22" t="s">
        <v>248</v>
      </c>
      <c r="AL17" s="23"/>
      <c r="AM17" s="7"/>
      <c r="AN17" s="47" t="n">
        <f aca="false">IF(Tasks[[#This Row],[Task Name]]="","",IF(Tasks[[#This Row],[Finish]]&gt;=Tasks[[#This Row],[Planned Finish]],NETWORKDAYS.INTL(Tasks[[#This Row],[Planned Finish]],Tasks[[#This Row],[Finish]],WorkWeek,Holidays)-1,1-NETWORKDAYS.INTL(Tasks[[#This Row],[Finish]],Tasks[[#This Row],[Planned Finish]],WorkWeek,Holidays)))</f>
        <v>4</v>
      </c>
      <c r="AO17" s="21" t="str">
        <f aca="false">IF(Tasks[[#This Row],[Task Name]]="","",IF(Tasks[[#This Row],[Progress]]&gt;=1,"Complete",IF(OR(N(Tasks[[#This Row],[Actual Start]])&gt;0,Tasks[[#This Row],[Progress]]&gt;0),IF(Tasks[[#This Row],[Finish Var]]&gt;0,"Behind","In Progress"),IF(Tasks[[#This Row],[Planned Start]]&lt;StatusDate,"Late Start","Not Started"))))</f>
        <v>Late Start</v>
      </c>
      <c r="AP17" s="21" t="str">
        <f aca="false">IF(Tasks[[#This Row],[Task Name]]="","",IF(IF(Tasks[[#This Row],[_IsSummary]],COUNTIF(INDEX(Tasks[_LeafCritical],Tasks[[#This Row],[_Row]]+1):INDEX(Tasks[_LeafCritical],Tasks[[#This Row],[_Row]]+Tasks[[#This Row],[_Descendants]]),TRUE())&gt;0,Tasks[[#This Row],[_LeafCritical]]),"Yes",""))</f>
        <v>Yes</v>
      </c>
      <c r="AQ17" s="63" t="n">
        <f aca="false">IF(Tasks[[#This Row],[Task Name]]="","",IF(N(Tasks[[#This Row],[Baseline Start]])&gt;0,Tasks[[#This Row],[Baseline Start]],Tasks[[#This Row],[_CalcStart]]))</f>
        <v>46318</v>
      </c>
      <c r="AR17" s="63" t="n">
        <f aca="false">IF(Tasks[[#This Row],[Task Name]]="","",IF(N(Tasks[[#This Row],[Baseline Finish]])&gt;0,Tasks[[#This Row],[Baseline Finish]],Tasks[[#This Row],[_CalcFinish]]))</f>
        <v>46318</v>
      </c>
      <c r="AS17" s="47" t="n">
        <f aca="false">IF(Tasks[[#This Row],[Task Name]]="","",IF(Tasks[[#This Row],[Start]]&gt;=Tasks[[#This Row],[Planned Start]],NETWORKDAYS.INTL(Tasks[[#This Row],[Planned Start]],Tasks[[#This Row],[Start]],WorkWeek,Holidays)-1,1-NETWORKDAYS.INTL(Tasks[[#This Row],[Start]],Tasks[[#This Row],[Planned Start]],WorkWeek,Holidays)))</f>
        <v>4</v>
      </c>
      <c r="AT17" s="63" t="n">
        <f aca="false">IF(Tasks[[#This Row],[Task Name]]="","",IF(Tasks[[#This Row],[_IsSummary]],MIN(INDEX(Tasks[_LeafLateStart],Tasks[[#This Row],[_Row]]+1):INDEX(Tasks[_LeafLateStart],Tasks[[#This Row],[_Row]]+Tasks[[#This Row],[_Descendants]])),Tasks[[#This Row],[_LeafLateStart]]))</f>
        <v>46324</v>
      </c>
      <c r="AU17" s="63" t="n">
        <f aca="false">IF(Tasks[[#This Row],[Task Name]]="","",IF(Tasks[[#This Row],[_IsSummary]],MAX(INDEX(Tasks[_LeafLateFinish],Tasks[[#This Row],[_Row]]+1):INDEX(Tasks[_LeafLateFinish],Tasks[[#This Row],[_Row]]+Tasks[[#This Row],[_Descendants]])),Tasks[[#This Row],[_LeafLateFinish]]))</f>
        <v>46324</v>
      </c>
      <c r="AV17" s="47" t="n">
        <f aca="false">IF(Tasks[[#This Row],[Task Name]]="","",IF(Tasks[[#This Row],[_IsSummary]],MIN(INDEX(Tasks[_LeafTotalSlack],Tasks[[#This Row],[_Row]]+1):INDEX(Tasks[_LeafTotalSlack],Tasks[[#This Row],[_Row]]+Tasks[[#This Row],[_Descendants]])),Tasks[[#This Row],[_LeafTotalSlack]]))</f>
        <v>0</v>
      </c>
      <c r="AW1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OK</v>
      </c>
      <c r="AY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5"/>
      <c r="BA17"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11</v>
      </c>
      <c r="BC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BD17" s="21" t="str">
        <f aca="false">IF(Tasks[[#This Row],[Task Name]]="","",IF(Tasks[[#This Row],[_Level]]&lt;=OutlineShowLevel,"Yes","No"))</f>
        <v>Yes</v>
      </c>
      <c r="BE17" s="86" t="n">
        <f aca="false">IF(Tasks[[#This Row],[Task Name]]="","",IF(Tasks[[#This Row],[_IsSummary]],SUM(INDEX(Tasks[_LeafTotalWork],Tasks[[#This Row],[_Row]]+1):INDEX(Tasks[_LeafTotalWork],Tasks[[#This Row],[_Row]]+Tasks[[#This Row],[_Descendants]])),Tasks[[#This Row],[_LeafTotalWork]]))</f>
        <v>0</v>
      </c>
      <c r="BF17" s="23"/>
      <c r="BG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 s="21" t="str">
        <f aca="false">""</f>
        <v/>
      </c>
      <c r="BI17" s="87"/>
      <c r="BJ17" s="22"/>
      <c r="BK17" s="47" t="n">
        <f aca="false">IF(OR(Tasks[[#This Row],[Task Name]]="",Tasks[[#This Row],[Baseline Duration]]=""),"",Tasks[[#This Row],[_SpanDays]]-N(Tasks[[#This Row],[Baseline Duration]]))</f>
        <v>0</v>
      </c>
      <c r="BL17" s="86" t="n">
        <f aca="false">IF(OR(Tasks[[#This Row],[Task Name]]="",Tasks[[#This Row],[Baseline Work]]=""),"",Tasks[[#This Row],[Work]]-N(Tasks[[#This Row],[Baseline Work]]))</f>
        <v>0</v>
      </c>
      <c r="BM17" s="63" t="n">
        <f aca="false">IF(Tasks[[#This Row],[Task Name]]="","",IF(OR(TakeBaseline="Yes",N(Tasks[[#This Row],[Baseline Start]])=0),Tasks[[#This Row],[Start]],Tasks[[#This Row],[Baseline Start]]))</f>
        <v>46318</v>
      </c>
      <c r="BN17" s="63" t="n">
        <f aca="false">IF(Tasks[[#This Row],[Task Name]]="","",IF(OR(TakeBaseline="Yes",N(Tasks[[#This Row],[Baseline Finish]])=0),Tasks[[#This Row],[Finish]],Tasks[[#This Row],[Baseline Finish]]))</f>
        <v>46318</v>
      </c>
      <c r="BO17" s="21" t="n">
        <f aca="false">IF(Tasks[[#This Row],[Task Name]]="","",IF(OR(TakeBaseline="Yes",N(Tasks[[#This Row],[Baseline Duration]])=0),Tasks[[#This Row],[_SpanDays]],Tasks[[#This Row],[Baseline Duration]]))</f>
        <v>0</v>
      </c>
      <c r="BP17" s="86" t="n">
        <f aca="false">IF(Tasks[[#This Row],[Task Name]]="","",IF(OR(TakeBaseline="Yes",N(Tasks[[#This Row],[Baseline Work]])=0),Tasks[[#This Row],[Work]],Tasks[[#This Row],[Baseline Work]]))</f>
        <v>0</v>
      </c>
      <c r="BQ17" s="7" t="n">
        <v>46318</v>
      </c>
      <c r="BR17" s="7" t="n">
        <v>46318</v>
      </c>
      <c r="BS17" s="22" t="n">
        <v>0</v>
      </c>
      <c r="BT17" s="88" t="n">
        <v>0</v>
      </c>
      <c r="BU17" s="23" t="s">
        <v>6</v>
      </c>
      <c r="BV17" s="23" t="s">
        <v>644</v>
      </c>
      <c r="BW17" s="23" t="s">
        <v>664</v>
      </c>
      <c r="BX17" s="89" t="str">
        <f aca="false">IF(AND(Tasks[[#This Row],[_IsLeaf]]=1,ISNUMBER(Tasks[[#This Row],[Optimistic]]),ISNUMBER(Tasks[[#This Row],[Pessimistic]])),ROUND((Tasks[[#This Row],[Optimistic]]+4*N(Tasks[[#This Row],[_Days]])+Tasks[[#This Row],[Pessimistic]])/6,1),"")</f>
        <v/>
      </c>
      <c r="BY17" s="87"/>
      <c r="BZ17" s="87"/>
      <c r="CA17" s="22"/>
      <c r="CB17" s="43" t="n">
        <f aca="false">IF(Tasks[[#This Row],[Task Name]]="","",MAX(1,N(Tasks[[#This Row],[Level]])))</f>
        <v>2</v>
      </c>
      <c r="CC17" s="43" t="n">
        <f aca="false">ROW()-ROW(Tasks[[#Headers],[ID]])</f>
        <v>12</v>
      </c>
      <c r="CD17" s="43" t="n">
        <f aca="false">IF(OR(Tasks[[#This Row],[Task Name]]="",Tasks[[#This Row],[_Level]]&lt;=1),0,IFERROR(LOOKUP(2,1/(Tasks[[#Headers],[_Level]]:Tasks[[#This Row],[_Level]]=Tasks[[#This Row],[_Level]]-1),ROW(Tasks[[#Headers],[_Level]]:Tasks[[#This Row],[_Level]])),0))</f>
        <v>14</v>
      </c>
      <c r="CE17" s="43" t="n">
        <f aca="false">IFERROR(N(INDEX(Tasks[_Level],Tasks[[#This Row],[_Row]]+1)),0)</f>
        <v>0</v>
      </c>
      <c r="CF17" s="90" t="b">
        <f aca="false">AND(Tasks[[#This Row],[Task Name]]&lt;&gt;"",Tasks[[#This Row],[_NextLevel]]&gt;Tasks[[#This Row],[_Level]])</f>
        <v>0</v>
      </c>
      <c r="CG17" s="43" t="n">
        <f aca="false">IF(Tasks[[#This Row],[_IsSummary]],COUNTIF(Tasks[WBS],Tasks[[#This Row],[WBS]]&amp;".*"),0)</f>
        <v>0</v>
      </c>
      <c r="CH17" s="43" t="n">
        <f aca="false">IF(AND(Tasks[[#This Row],[Task Name]]&lt;&gt;"",NOT(Tasks[[#This Row],[_IsSummary]])),1,0)</f>
        <v>1</v>
      </c>
      <c r="CI17" s="43" t="n">
        <f aca="false">IF(N(Tasks[[#This Row],[_Pred1UID]])=0,0,IFERROR(MATCH(Tasks[[#This Row],[_Pred1UID]],Tasks[UID],0),-1))</f>
        <v>11</v>
      </c>
      <c r="CJ17" s="43" t="n">
        <f aca="false">IF(N(Tasks[[#This Row],[_Pred2UID]])=0,0,IFERROR(MATCH(Tasks[[#This Row],[_Pred2UID]],Tasks[UID],0),-1))</f>
        <v>0</v>
      </c>
      <c r="CK17" s="43" t="n">
        <f aca="false">IF(N(Tasks[[#This Row],[_Pred3UID]])=0,0,IFERROR(MATCH(Tasks[[#This Row],[_Pred3UID]],Tasks[UID],0),-1))</f>
        <v>0</v>
      </c>
      <c r="CL17" s="43" t="n">
        <f aca="false">IF(N(Tasks[[#This Row],[_Pred4UID]])=0,0,IFERROR(MATCH(Tasks[[#This Row],[_Pred4UID]],Tasks[UID],0),-1))</f>
        <v>0</v>
      </c>
      <c r="CM1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 s="91" t="n">
        <f aca="false">IF(OR(Tasks[[#This Row],[_ConstraintCode]]=2,Tasks[[#This Row],[_ConstraintCode]]=3,Tasks[[#This Row],[_ConstraintCode]]=4,Tasks[[#This Row],[_ConstraintCode]]=6),Tasks[[#This Row],[_ConstraintStart]],0)</f>
        <v>0</v>
      </c>
      <c r="CP17" s="91" t="n">
        <f aca="false">IF(OR(Tasks[[#This Row],[_ConstraintCode]]=2,Tasks[[#This Row],[_ConstraintCode]]=3,Tasks[[#This Row],[_ConstraintCode]]=5,Tasks[[#This Row],[_ConstraintCode]]=7),Tasks[[#This Row],[_ConstraintStart]],2958465)</f>
        <v>2958465</v>
      </c>
      <c r="CQ1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R17" s="91" t="n">
        <f aca="false">IF(NOT(Tasks[[#This Row],[_IsLeaf]]=1),"",IF(N(Tasks[[#This Row],[_Days]])&lt;=0,Tasks[[#This Row],[_LeafCalcStart]],WORKDAY.INTL(Tasks[[#This Row],[_LeafCalcStart]],Tasks[[#This Row],[_Days]]-1,WorkWeek,Holidays)))</f>
        <v>46318</v>
      </c>
      <c r="CS1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T17"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U17" s="43" t="str">
        <f aca="false">IF(Tasks[[#This Row],[_Predecessors]]="","",TRIM(MID(SUBSTITUTE(SUBSTITUTE(SUBSTITUTE(UPPER(Tasks[[#This Row],[_Predecessors]]),";",",")," ",""),",",REPT(" ",99)),1,99)))</f>
        <v>24</v>
      </c>
      <c r="CV17" s="43" t="n">
        <f aca="false">IF(Tasks[[#This Row],[_Pred1Text]]="","",IFERROR(VALUE(LEFT(Tasks[[#This Row],[_Pred1Text]],MIN(FIND("F",Tasks[[#This Row],[_Pred1Text]]&amp;"F"),FIND("S",Tasks[[#This Row],[_Pred1Text]]&amp;"S"),FIND("+",Tasks[[#This Row],[_Pred1Text]]&amp;"+"),FIND("-",Tasks[[#This Row],[_Pred1Text]]&amp;"-"))-1)),""))</f>
        <v>24</v>
      </c>
      <c r="CW1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7"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7" s="43" t="str">
        <f aca="false">IF(Tasks[[#This Row],[_Pred1Text]]="","",TRIM(MID(SUBSTITUTE(SUBSTITUTE(SUBSTITUTE(UPPER(Tasks[[#This Row],[_Predecessors]]),";",",")," ",""),",",REPT(" ",99)),100,99)))</f>
        <v/>
      </c>
      <c r="CZ17" s="43" t="str">
        <f aca="false">IF(Tasks[[#This Row],[_Pred2Text]]="","",IFERROR(VALUE(LEFT(Tasks[[#This Row],[_Pred2Text]],MIN(FIND("F",Tasks[[#This Row],[_Pred2Text]]&amp;"F"),FIND("S",Tasks[[#This Row],[_Pred2Text]]&amp;"S"),FIND("+",Tasks[[#This Row],[_Pred2Text]]&amp;"+"),FIND("-",Tasks[[#This Row],[_Pred2Text]]&amp;"-"))-1)),""))</f>
        <v/>
      </c>
      <c r="DA1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 s="43" t="str">
        <f aca="false">IF(Tasks[[#This Row],[_Pred2Text]]="","",TRIM(MID(SUBSTITUTE(SUBSTITUTE(SUBSTITUTE(UPPER(Tasks[[#This Row],[_Predecessors]]),";",",")," ",""),",",REPT(" ",99)),199,99)))</f>
        <v/>
      </c>
      <c r="DD17" s="43" t="str">
        <f aca="false">IF(Tasks[[#This Row],[_Pred3Text]]="","",IFERROR(VALUE(LEFT(Tasks[[#This Row],[_Pred3Text]],MIN(FIND("F",Tasks[[#This Row],[_Pred3Text]]&amp;"F"),FIND("S",Tasks[[#This Row],[_Pred3Text]]&amp;"S"),FIND("+",Tasks[[#This Row],[_Pred3Text]]&amp;"+"),FIND("-",Tasks[[#This Row],[_Pred3Text]]&amp;"-"))-1)),""))</f>
        <v/>
      </c>
      <c r="DE1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 s="43" t="str">
        <f aca="false">IF(Tasks[[#This Row],[_Pred3Text]]="","",TRIM(MID(SUBSTITUTE(SUBSTITUTE(SUBSTITUTE(UPPER(Tasks[[#This Row],[_Predecessors]]),";",",")," ",""),",",REPT(" ",99)),298,99)))</f>
        <v/>
      </c>
      <c r="DH17" s="43" t="str">
        <f aca="false">IF(Tasks[[#This Row],[_Pred4Text]]="","",IFERROR(VALUE(LEFT(Tasks[[#This Row],[_Pred4Text]],MIN(FIND("F",Tasks[[#This Row],[_Pred4Text]]&amp;"F"),FIND("S",Tasks[[#This Row],[_Pred4Text]]&amp;"S"),FIND("+",Tasks[[#This Row],[_Pred4Text]]&amp;"+"),FIND("-",Tasks[[#This Row],[_Pred4Text]]&amp;"-"))-1)),""))</f>
        <v/>
      </c>
      <c r="DI1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 s="43" t="str">
        <f aca="false">IF(OR(Tasks[[#This Row],[Task Name]]="",Tasks[[#This Row],[_Resources]]=""),"",TRIM(MID(SUBSTITUTE(Tasks[[#This Row],[_Resources]],",",REPT(" ",99)),1,99)))</f>
        <v/>
      </c>
      <c r="DL17" s="43" t="str">
        <f aca="false">IF(Tasks[[#This Row],[_Res1Text]]="","",TRIM(MID(SUBSTITUTE(Tasks[[#This Row],[_Resources]],",",REPT(" ",99)),100,99)))</f>
        <v/>
      </c>
      <c r="DM17" s="43" t="str">
        <f aca="false">IF(Tasks[[#This Row],[_Res2Text]]="","",TRIM(MID(SUBSTITUTE(Tasks[[#This Row],[_Resources]],",",REPT(" ",99)),199,99)))</f>
        <v/>
      </c>
      <c r="DN17" s="43" t="str">
        <f aca="false">IF(Tasks[[#This Row],[_Res3Text]]="","",TRIM(MID(SUBSTITUTE(Tasks[[#This Row],[_Resources]],",",REPT(" ",99)),298,99)))</f>
        <v/>
      </c>
      <c r="DO17" s="43" t="n">
        <f aca="false">IF(Tasks[[#This Row],[_Res1Text]]="",0,IFERROR(MATCH(TRIM(LEFT(Tasks[[#This Row],[_Res1Text]],FIND("[",Tasks[[#This Row],[_Res1Text]]&amp;"[")-1)),res_Name,0),IFERROR(MATCH(TRIM(LEFT(Tasks[[#This Row],[_Res1Text]],FIND("[",Tasks[[#This Row],[_Res1Text]]&amp;"[")-1)),res_Initials,0),0)))</f>
        <v>0</v>
      </c>
      <c r="DP17" s="43" t="n">
        <f aca="false">IF(Tasks[[#This Row],[_Res2Text]]="",0,IFERROR(MATCH(TRIM(LEFT(Tasks[[#This Row],[_Res2Text]],FIND("[",Tasks[[#This Row],[_Res2Text]]&amp;"[")-1)),res_Name,0),IFERROR(MATCH(TRIM(LEFT(Tasks[[#This Row],[_Res2Text]],FIND("[",Tasks[[#This Row],[_Res2Text]]&amp;"[")-1)),res_Initials,0),0)))</f>
        <v>0</v>
      </c>
      <c r="DQ17" s="43" t="n">
        <f aca="false">IF(Tasks[[#This Row],[_Res3Text]]="",0,IFERROR(MATCH(TRIM(LEFT(Tasks[[#This Row],[_Res3Text]],FIND("[",Tasks[[#This Row],[_Res3Text]]&amp;"[")-1)),res_Name,0),IFERROR(MATCH(TRIM(LEFT(Tasks[[#This Row],[_Res3Text]],FIND("[",Tasks[[#This Row],[_Res3Text]]&amp;"[")-1)),res_Initials,0),0)))</f>
        <v>0</v>
      </c>
      <c r="DR17" s="43" t="n">
        <f aca="false">IF(Tasks[[#This Row],[_Res4Text]]="",0,IFERROR(MATCH(TRIM(LEFT(Tasks[[#This Row],[_Res4Text]],FIND("[",Tasks[[#This Row],[_Res4Text]]&amp;"[")-1)),res_Name,0),IFERROR(MATCH(TRIM(LEFT(Tasks[[#This Row],[_Res4Text]],FIND("[",Tasks[[#This Row],[_Res4Text]]&amp;"[")-1)),res_Initials,0),0)))</f>
        <v>0</v>
      </c>
      <c r="DS17" s="43" t="str">
        <f aca="false">IF(Tasks[[#This Row],[_Res1Text]]="","",IF(Tasks[[#This Row],[_Res1Row]]&gt;0,INDEX(res_Name,Tasks[[#This Row],[_Res1Row]]),TRIM(LEFT(Tasks[[#This Row],[_Res1Text]],FIND("[",Tasks[[#This Row],[_Res1Text]]&amp;"[")-1))))</f>
        <v/>
      </c>
      <c r="DT1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 s="43" t="n">
        <f aca="false">IF(NOT(Tasks[[#This Row],[_IsLeaf]]=1),0,(Tasks[[#This Row],[_Resource1]]&lt;&gt;"")+(Tasks[[#This Row],[_Res2]]&lt;&gt;"")+(Tasks[[#This Row],[_Res3]]&lt;&gt;"")+(Tasks[[#This Row],[_Res4]]&lt;&gt;""))</f>
        <v>0</v>
      </c>
      <c r="DV17" s="43" t="str">
        <f aca="false">IF(Tasks[[#This Row],[_Res2Text]]="","",IF(Tasks[[#This Row],[_Res2Row]]&gt;0,INDEX(res_Name,Tasks[[#This Row],[_Res2Row]]),TRIM(LEFT(Tasks[[#This Row],[_Res2Text]],FIND("[",Tasks[[#This Row],[_Res2Text]]&amp;"[")-1))))</f>
        <v/>
      </c>
      <c r="DW1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 s="43" t="n">
        <f aca="false">IF(OR(NOT(Tasks[[#This Row],[_IsLeaf]]=1),Tasks[[#This Row],[_Res2Row]]=0),0,N(Tasks[[#This Row],[_Days]])*HoursPerDay*IF(Tasks[[#This Row],[_Res2Units]]="",DefaultUnits,Tasks[[#This Row],[_Res2Units]]))</f>
        <v>0</v>
      </c>
      <c r="DY17" s="43" t="n">
        <f aca="false">IF(AND(AND(Tasks[[#This Row],[_IsLeaf]]=1,Tasks[[#This Row],[_LeafTotalWork]]&gt;0),Tasks[[#This Row],[_Res2Work]]&gt;0),Tasks[[#This Row],[_Res2Work]]/(Tasks[[#This Row],[_FinishWorkday]]-Tasks[[#This Row],[_StartWorkday]]+1),0)</f>
        <v>0</v>
      </c>
      <c r="DZ17" s="43" t="n">
        <f aca="false">Tasks[[#This Row],[_Res2WorkPerWD]]*MAX(0,Tasks[[#This Row],[_StartWorkday]]-1)</f>
        <v>0</v>
      </c>
      <c r="EA17" s="43" t="n">
        <f aca="false">Tasks[[#This Row],[_Res2Work]]*Tasks[[#This Row],[_LeafProgress]]</f>
        <v>0</v>
      </c>
      <c r="EB17" s="43" t="str">
        <f aca="false">IF(Tasks[[#This Row],[_Res3Text]]="","",IF(Tasks[[#This Row],[_Res3Row]]&gt;0,INDEX(res_Name,Tasks[[#This Row],[_Res3Row]]),TRIM(LEFT(Tasks[[#This Row],[_Res3Text]],FIND("[",Tasks[[#This Row],[_Res3Text]]&amp;"[")-1))))</f>
        <v/>
      </c>
      <c r="EC1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 s="43" t="n">
        <f aca="false">IF(OR(NOT(Tasks[[#This Row],[_IsLeaf]]=1),Tasks[[#This Row],[_Res3Row]]=0),0,N(Tasks[[#This Row],[_Days]])*HoursPerDay*IF(Tasks[[#This Row],[_Res3Units]]="",DefaultUnits,Tasks[[#This Row],[_Res3Units]]))</f>
        <v>0</v>
      </c>
      <c r="EE17" s="43" t="n">
        <f aca="false">IF(AND(AND(Tasks[[#This Row],[_IsLeaf]]=1,Tasks[[#This Row],[_LeafTotalWork]]&gt;0),Tasks[[#This Row],[_Res3Work]]&gt;0),Tasks[[#This Row],[_Res3Work]]/(Tasks[[#This Row],[_FinishWorkday]]-Tasks[[#This Row],[_StartWorkday]]+1),0)</f>
        <v>0</v>
      </c>
      <c r="EF17" s="43" t="n">
        <f aca="false">Tasks[[#This Row],[_Res3WorkPerWD]]*MAX(0,Tasks[[#This Row],[_StartWorkday]]-1)</f>
        <v>0</v>
      </c>
      <c r="EG17" s="43" t="n">
        <f aca="false">Tasks[[#This Row],[_Res3Work]]*Tasks[[#This Row],[_LeafProgress]]</f>
        <v>0</v>
      </c>
      <c r="EH17" s="43" t="str">
        <f aca="false">IF(Tasks[[#This Row],[_Res4Text]]="","",IF(Tasks[[#This Row],[_Res4Row]]&gt;0,INDEX(res_Name,Tasks[[#This Row],[_Res4Row]]),TRIM(LEFT(Tasks[[#This Row],[_Res4Text]],FIND("[",Tasks[[#This Row],[_Res4Text]]&amp;"[")-1))))</f>
        <v/>
      </c>
      <c r="EI1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 s="43" t="n">
        <f aca="false">IF(OR(NOT(Tasks[[#This Row],[_IsLeaf]]=1),Tasks[[#This Row],[_Res4Row]]=0),0,N(Tasks[[#This Row],[_Days]])*HoursPerDay*IF(Tasks[[#This Row],[_Res4Units]]="",DefaultUnits,Tasks[[#This Row],[_Res4Units]]))</f>
        <v>0</v>
      </c>
      <c r="EK17" s="43" t="n">
        <f aca="false">IF(AND(AND(Tasks[[#This Row],[_IsLeaf]]=1,Tasks[[#This Row],[_LeafTotalWork]]&gt;0),Tasks[[#This Row],[_Res4Work]]&gt;0),Tasks[[#This Row],[_Res4Work]]/(Tasks[[#This Row],[_FinishWorkday]]-Tasks[[#This Row],[_StartWorkday]]+1),0)</f>
        <v>0</v>
      </c>
      <c r="EL17" s="43" t="n">
        <f aca="false">Tasks[[#This Row],[_Res4WorkPerWD]]*MAX(0,Tasks[[#This Row],[_StartWorkday]]-1)</f>
        <v>0</v>
      </c>
      <c r="EM17" s="43" t="n">
        <f aca="false">Tasks[[#This Row],[_Res4Work]]*Tasks[[#This Row],[_LeafProgress]]</f>
        <v>0</v>
      </c>
      <c r="EN17" s="43" t="n">
        <f aca="false">IF(ISNUMBER(Tasks[[#This Row],[% Complete]]),Tasks[[#This Row],[% Complete]],IF(Tasks[[#This Row],[Stage]]="",0,IFERROR(INDEX(stg_Pct,MATCH(Tasks[[#This Row],[Stage]],stg_Name,0)),0)))</f>
        <v>0</v>
      </c>
      <c r="EO17" s="43" t="n">
        <f aca="false">IF(NOT(Tasks[[#This Row],[_IsLeaf]]=1),0,IF(N(Tasks[[#This Row],[Actual Finish]])&gt;0,1,MIN(1,Tasks[[#This Row],[_Pct]])))</f>
        <v>0</v>
      </c>
      <c r="EP17" s="43" t="n">
        <f aca="false">IF(OR(NOT(Tasks[[#This Row],[_IsLeaf]]=1),Tasks[[#This Row],[_Res1Row]]=0),0,N(Tasks[[#This Row],[_Days]])*HoursPerDay*IF(Tasks[[#This Row],[_Units1]]="",DefaultUnits,Tasks[[#This Row],[_Units1]]))</f>
        <v>0</v>
      </c>
      <c r="EQ17" s="43" t="n">
        <f aca="false">Tasks[[#This Row],[_LeafWork]]+Tasks[[#This Row],[_Res2Work]]+Tasks[[#This Row],[_Res3Work]]+Tasks[[#This Row],[_Res4Work]]</f>
        <v>0</v>
      </c>
      <c r="ER17"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2912141</v>
      </c>
      <c r="ES1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 s="43" t="n">
        <f aca="false">IF(NOT(Tasks[[#This Row],[_IsLeaf]]=1),0,MAX(_xlfn.MAXIFS(Tasks[_Row],Tasks[_Pred1UID],Tasks[[#This Row],[UID]]),_xlfn.MAXIFS(Tasks[_Row],Tasks[_Pred2UID],Tasks[[#This Row],[UID]]),_xlfn.MAXIFS(Tasks[_Row],Tasks[_Pred3UID],Tasks[[#This Row],[UID]]),_xlfn.MAXIFS(Tasks[_Row],Tasks[_Pred4UID],Tasks[[#This Row],[UID]])))</f>
        <v>0</v>
      </c>
      <c r="FA1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FB17"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FC17" s="91" t="n">
        <f aca="false">IF(NOT(Tasks[[#This Row],[_IsLeaf]]=1),"",IF(N(Tasks[[#This Row],[_Days]])&lt;=0,Tasks[[#This Row],[_LeafLateFinish]],WORKDAY.INTL(Tasks[[#This Row],[_LeafLateFinish]],-(Tasks[[#This Row],[_Days]]-1),WorkWeek,Holidays)))</f>
        <v>46324</v>
      </c>
      <c r="FD1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E17" s="90" t="b">
        <f aca="false">AND(Tasks[[#This Row],[_IsLeaf]]=1,Tasks[[#This Row],[_LeafProgress]]&lt;1,N(Tasks[[#This Row],[_LeafTotalSlack]])&lt;=CriticalSlackDays)</f>
        <v>1</v>
      </c>
      <c r="FF17" s="43" t="n">
        <f aca="false">IF(AND(Tasks[[#This Row],[_IsLeaf]]=1,Tasks[[#This Row],[_ConstraintCode]]=1,Tasks[[#This Row],[Mode]]&lt;&gt;"Manual",N(Tasks[[#This Row],[Actual Start]])=0),MAX(0,N(Tasks[[#This Row],[Free Slack]])),0)</f>
        <v>0</v>
      </c>
      <c r="FG17" s="91" t="n">
        <f aca="false">IF(NOT(Tasks[[#This Row],[_IsLeaf]]=1),"",IF(Tasks[[#This Row],[_AlapShift]]=0,Tasks[[#This Row],[_LeafCalcStart]],WORKDAY.INTL(Tasks[[#This Row],[_LeafCalcStart]],Tasks[[#This Row],[_AlapShift]],WorkWeek,Holidays)))</f>
        <v>46318</v>
      </c>
      <c r="FH17" s="91" t="n">
        <f aca="false">IF(NOT(Tasks[[#This Row],[_IsLeaf]]=1),"",IF(Tasks[[#This Row],[_AlapShift]]=0,Tasks[[#This Row],[_LeafCalcFinish]],WORKDAY.INTL(Tasks[[#This Row],[_LeafCalcFinish]],Tasks[[#This Row],[_AlapShift]],WorkWeek,Holidays)))</f>
        <v>46318</v>
      </c>
      <c r="FI17" s="91" t="n">
        <f aca="false">IF(NOT(Tasks[[#This Row],[_IsLeaf]]=1),"",IF(Tasks[[#This Row],[_AlapShift]]=0,Tasks[[#This Row],[_LeafFcstStart]],WORKDAY.INTL(Tasks[[#This Row],[_LeafFcstStart]],Tasks[[#This Row],[_AlapShift]],WorkWeek,Holidays)))</f>
        <v>46324</v>
      </c>
      <c r="FJ17" s="91" t="n">
        <f aca="false">IF(NOT(Tasks[[#This Row],[_IsLeaf]]=1),"",IF(Tasks[[#This Row],[_AlapShift]]=0,Tasks[[#This Row],[_LeafFcstFinish]],WORKDAY.INTL(Tasks[[#This Row],[_LeafFcstFinish]],Tasks[[#This Row],[_AlapShift]],WorkWeek,Holidays)))</f>
        <v>46324</v>
      </c>
      <c r="FK17" s="91" t="n">
        <f aca="false">IF(Tasks[[#This Row],[Task Name]]="","",IF(Tasks[[#This Row],[_IsSummary]],MIN(INDEX(Tasks[_ShownCalcStart],Tasks[[#This Row],[_Row]]+1):INDEX(Tasks[_ShownCalcStart],Tasks[[#This Row],[_Row]]+Tasks[[#This Row],[_Descendants]])),Tasks[[#This Row],[_ShownCalcStart]]))</f>
        <v>46318</v>
      </c>
      <c r="FL17" s="91" t="n">
        <f aca="false">IF(Tasks[[#This Row],[Task Name]]="","",IF(Tasks[[#This Row],[_IsSummary]],MAX(INDEX(Tasks[_ShownCalcFinish],Tasks[[#This Row],[_Row]]+1):INDEX(Tasks[_ShownCalcFinish],Tasks[[#This Row],[_Row]]+Tasks[[#This Row],[_Descendants]])),Tasks[[#This Row],[_ShownCalcFinish]]))</f>
        <v>46318</v>
      </c>
      <c r="FM1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R1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V1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 s="43" t="n">
        <f aca="false">IF(AND(Tasks[[#This Row],[_IsLeaf]]=1,Tasks[[#This Row],[_LeafTotalWork]]&gt;0),NETWORKDAYS.INTL(ProjectStart,Tasks[[#This Row],[_ShownFcstStart]],WorkWeek,Holidays),0)</f>
        <v>0</v>
      </c>
      <c r="FZ17" s="43" t="n">
        <f aca="false">IF(AND(Tasks[[#This Row],[_IsLeaf]]=1,Tasks[[#This Row],[_LeafTotalWork]]&gt;0),MAX(Tasks[[#This Row],[_StartWorkday]],NETWORKDAYS.INTL(ProjectStart,Tasks[[#This Row],[_ShownFcstFinish]],WorkWeek,Holidays)),0)</f>
        <v>0</v>
      </c>
      <c r="GA17" s="43" t="n">
        <f aca="false">IF(AND(Tasks[[#This Row],[_IsLeaf]]=1,Tasks[[#This Row],[_LeafTotalWork]]&gt;0),Tasks[[#This Row],[_LeafWork]]/(Tasks[[#This Row],[_FinishWorkday]]-Tasks[[#This Row],[_StartWorkday]]+1),0)</f>
        <v>0</v>
      </c>
      <c r="GB17" s="43" t="n">
        <f aca="false">Tasks[[#This Row],[_WorkPerWorkday]]*(Tasks[[#This Row],[_StartWorkday]]-1)</f>
        <v>-0</v>
      </c>
      <c r="GC17" s="43" t="n">
        <f aca="false">IF(Tasks[[#This Row],[_IsLeaf]]=1,MAX(N(Tasks[[#This Row],[_Days]]),0.1),0)</f>
        <v>0.1</v>
      </c>
      <c r="GD17" s="43" t="n">
        <f aca="false">Tasks[[#This Row],[_WeightDur]]*Tasks[[#This Row],[_LeafProgress]]</f>
        <v>0</v>
      </c>
      <c r="GE17" s="43" t="n">
        <f aca="false">Tasks[[#This Row],[_WeightDur]]*Tasks[[#This Row],[_PlannedPct]]</f>
        <v>0.1</v>
      </c>
      <c r="GF1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24</v>
      </c>
      <c r="GG17" s="95" t="n">
        <f aca="false">IF(AND(Tasks[[#This Row],[_IsLeaf]]=1,N(Tasks[[#This Row],[_Days]])=0,Tasks[[#This Row],[_LeafProgress]]&lt;1),Tasks[[#This Row],[_ShownFcstFinish]]+Tasks[[#This Row],[_Row]]/100000,"")</f>
        <v>46324.00012</v>
      </c>
      <c r="GH1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7" s="43" t="str">
        <f aca="false">IF(Tasks[[#This Row],[Task Name]]="","",LEFT(Tasks[[#This Row],[WBS]],FIND(".",Tasks[[#This Row],[WBS]]&amp;".")-1))</f>
        <v>3</v>
      </c>
      <c r="GJ17" s="43" t="str">
        <f aca="false">IF(AND(Tasks[[#This Row],[Task Name]]&lt;&gt;"",Tasks[[#This Row],[_Level]]=1),Tasks[[#This Row],[_Row]],"")</f>
        <v/>
      </c>
      <c r="GK17" s="95" t="n">
        <f aca="false">IF(AND(Tasks[[#This Row],[_IsLeaf]]=1,N(Tasks[[#This Row],[_Days]])=0),Tasks[[#This Row],[Planned Finish]]+Tasks[[#This Row],[_Row]]/100000,"")</f>
        <v>46318.00012</v>
      </c>
      <c r="GL17" s="43" t="n">
        <f aca="false">IF(AND(Tasks[[#This Row],[_IsLeaf]]=1,Tasks[[#This Row],[_LeafProgress]]&lt;1,OR(N(Tasks[[#This Row],[Finish Var]])&gt;0,Tasks[[#This Row],[Status]]="Late Start")),MAX(0,Tasks[[#This Row],[Finish Var]])+1-Tasks[[#This Row],[_Row]]/1000000,"")</f>
        <v>4.999988</v>
      </c>
      <c r="GM17" s="95" t="n">
        <f aca="false">IF(AND(Tasks[[#This Row],[_IsLeaf]]=1,N(Tasks[[#This Row],[Actual Start]])=0,Tasks[[#This Row],[_ShownFcstStart]]&gt;=StatusDate,Tasks[[#This Row],[_ShownFcstStart]]&lt;=LookaheadEnd),Tasks[[#This Row],[_ShownFcstStart]]+Tasks[[#This Row],[_Row]]/100000,"")</f>
        <v>46324.00012</v>
      </c>
      <c r="GN17" s="95" t="n">
        <f aca="false">IF(AND(Tasks[[#This Row],[_IsLeaf]]=1,Tasks[[#This Row],[_LeafProgress]]&lt;1,Tasks[[#This Row],[_ShownFcstFinish]]&gt;=StatusDate,Tasks[[#This Row],[_ShownFcstFinish]]&lt;=LookaheadEnd),Tasks[[#This Row],[_ShownFcstFinish]]+Tasks[[#This Row],[_Row]]/100000,"")</f>
        <v>46324.00012</v>
      </c>
      <c r="GO17" s="95" t="n">
        <f aca="false">IF(Tasks[[#This Row],[_LeafCritical]],Tasks[[#This Row],[_ShownFcstStart]]+Tasks[[#This Row],[_Row]]/100000,"")</f>
        <v>46324.00012</v>
      </c>
      <c r="GP17" s="43" t="n">
        <f aca="false">Tasks[[#This Row],[_LeafWork]]*Tasks[[#This Row],[_LeafProgress]]</f>
        <v>0</v>
      </c>
      <c r="GQ17" s="91" t="str">
        <f aca="false">IF(AND(Tasks[[#This Row],[_IsLeaf]]=1,Tasks[[#This Row],[_LeafProgress]]&gt;=1),IF(N(Tasks[[#This Row],[Actual Finish]])&gt;0,Tasks[[#This Row],[Actual Finish]],Tasks[[#This Row],[_ShownFcstFinish]]),"")</f>
        <v/>
      </c>
      <c r="GR17" s="43" t="n">
        <f aca="false">IF(Tasks[[#This Row],[_IsLeaf]]=1,N(Tasks[[#This Row],[Story Points]]),0)</f>
        <v>0</v>
      </c>
      <c r="GS17" s="43" t="str">
        <f aca="false">""</f>
        <v/>
      </c>
      <c r="GT17" s="90" t="b">
        <f aca="false">IF(Tasks[[#This Row],[Task Name]]="",FALSE(),AND(Tasks[[#This Row],[_IsLeaf]]=1,N(Tasks[[#This Row],[_Days]])=0))</f>
        <v>1</v>
      </c>
      <c r="GU17" s="91" t="n">
        <f aca="false">IF(Tasks[[#This Row],[Task Name]]="",0,IF(AND(Tasks[[#This Row],[_IsLeaf]]=1,NOT(Tasks[[#This Row],[_IsMilestone]]),N(Tasks[[#This Row],[Progress]])&gt;0),Tasks[[#This Row],[Start]],0))</f>
        <v>0</v>
      </c>
      <c r="GV17" s="91" t="n">
        <f aca="false">IF(Tasks[[#This Row],[_DoneFrom]]=0,0,IF(Tasks[[#This Row],[Progress]]&gt;=1,Tasks[[#This Row],[Finish]],MAX(Tasks[[#This Row],[_DoneFrom]],Tasks[[#This Row],[Start]]+ROUND((Tasks[[#This Row],[Finish]]-Tasks[[#This Row],[Start]]+1)*Tasks[[#This Row],[Progress]],0)-1)))</f>
        <v>0</v>
      </c>
      <c r="GW17" s="91" t="n">
        <f aca="false">IF(Tasks[[#This Row],[Task Name]]="",0,IF(OR(NOT(Tasks[[#This Row],[_IsLeaf]]=1),Tasks[[#This Row],[_IsMilestone]],N(Tasks[[#This Row],[Progress]])&gt;=1),0,IF(Tasks[[#This Row],[_DoneTo]]&gt;0,Tasks[[#This Row],[_DoneTo]]+1,Tasks[[#This Row],[Start]])))</f>
        <v>0</v>
      </c>
      <c r="GX17" s="91" t="n">
        <f aca="false">IF(Tasks[[#This Row],[_RemFrom]]=0,0,Tasks[[#This Row],[Finish]])</f>
        <v>0</v>
      </c>
      <c r="GY17" s="90" t="b">
        <f aca="false">IF(Tasks[[#This Row],[Task Name]]="",FALSE(),OR(NOT(BaselineSet),N(Tasks[[#This Row],[Baseline Start]])&gt;0))</f>
        <v>1</v>
      </c>
      <c r="GZ17"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A1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24</v>
      </c>
      <c r="HB1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 s="92" t="n">
        <f aca="false">IF(Tasks[[#This Row],[_IsLeaf]]=1,Tasks[[#This Row],[_Row]],"")</f>
        <v>12</v>
      </c>
      <c r="HD17" s="92" t="str">
        <f aca="false">IFERROR(INDEX(Tasks[UID],SMALL(Tasks[_PickKey],Tasks[[#This Row],[_Row]]))&amp;" "&amp;INDEX(Tasks[Task Name],SMALL(Tasks[_PickKey],Tasks[[#This Row],[_Row]])),"")</f>
        <v/>
      </c>
      <c r="HE17" s="43" t="n">
        <f aca="false">IF(Tasks[[#This Row],[Task Name]]="","",IF(Tasks[[#This Row],[_IsSummary]],NETWORKDAYS.INTL(Tasks[[#This Row],[Start]],Tasks[[#This Row],[Finish]],WorkWeek,Holidays),N(Tasks[[#This Row],[_Days]])))</f>
        <v>0</v>
      </c>
      <c r="HF17" s="43" t="n">
        <f aca="false">IF(Tasks[[#This Row],[Expected]]="",0,((Tasks[[#This Row],[Pessimistic]]-Tasks[[#This Row],[Optimistic]])/6)^2)</f>
        <v>0</v>
      </c>
      <c r="HG17" s="43" t="n">
        <f aca="false">IF(Tasks[[#This Row],[Expected]]="",0,Tasks[[#This Row],[Expected]]-N(Tasks[[#This Row],[_Days]]))</f>
        <v>0</v>
      </c>
    </row>
    <row r="18" customFormat="false" ht="15" hidden="false" customHeight="false" outlineLevel="0" collapsed="false">
      <c r="A18" s="21" t="str">
        <f aca="false">IF(Tasks[[#This Row],[Task Name]]="","",COUNTA(Tasks[[#Headers],[Task Name]]:Tasks[[#This Row],[Task Name]])-1)</f>
        <v/>
      </c>
      <c r="B18" s="22" t="n">
        <v>26</v>
      </c>
      <c r="C18" s="22"/>
      <c r="D18" s="23"/>
      <c r="E18" s="22"/>
      <c r="F18" s="23"/>
      <c r="G18" s="22"/>
      <c r="H18" s="22"/>
      <c r="I18" s="23"/>
      <c r="J18" s="22"/>
      <c r="K18" s="22"/>
      <c r="L18" s="23"/>
      <c r="M18" s="22"/>
      <c r="N18" s="22"/>
      <c r="O18" s="23"/>
      <c r="P18" s="22"/>
      <c r="Q18" s="22"/>
      <c r="R18" s="23"/>
      <c r="S18" s="23"/>
      <c r="T18" s="84"/>
      <c r="U18" s="23"/>
      <c r="V18" s="84"/>
      <c r="W18" s="23"/>
      <c r="X18" s="84"/>
      <c r="Y18" s="23"/>
      <c r="Z18" s="84"/>
      <c r="AA18" s="23"/>
      <c r="AB18" s="23"/>
      <c r="AC18" s="7"/>
      <c r="AD18" s="7"/>
      <c r="AE18" s="63" t="str">
        <f aca="false">IF(Tasks[[#This Row],[Task Name]]="","",IF(Tasks[[#This Row],[_IsSummary]],MIN(INDEX(Tasks[_ShownFcstStart],Tasks[[#This Row],[_Row]]+1):INDEX(Tasks[_ShownFcstStart],Tasks[[#This Row],[_Row]]+Tasks[[#This Row],[_Descendants]])),Tasks[[#This Row],[_ShownFcstStart]]))</f>
        <v/>
      </c>
      <c r="AF18" s="63" t="str">
        <f aca="false">IF(Tasks[[#This Row],[Task Name]]="","",IF(Tasks[[#This Row],[_IsSummary]],MAX(INDEX(Tasks[_ShownFcstFinish],Tasks[[#This Row],[_Row]]+1):INDEX(Tasks[_ShownFcstFinish],Tasks[[#This Row],[_Row]]+Tasks[[#This Row],[_Descendants]])),Tasks[[#This Row],[_ShownFcstFinish]]))</f>
        <v/>
      </c>
      <c r="AG18" s="21" t="str">
        <f aca="false">""</f>
        <v/>
      </c>
      <c r="AH18" s="23"/>
      <c r="AI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 s="7"/>
      <c r="AK18" s="22"/>
      <c r="AL18" s="23"/>
      <c r="AM18" s="7"/>
      <c r="AN18" s="47" t="str">
        <f aca="false">IF(Tasks[[#This Row],[Task Name]]="","",IF(Tasks[[#This Row],[Finish]]&gt;=Tasks[[#This Row],[Planned Finish]],NETWORKDAYS.INTL(Tasks[[#This Row],[Planned Finish]],Tasks[[#This Row],[Finish]],WorkWeek,Holidays)-1,1-NETWORKDAYS.INTL(Tasks[[#This Row],[Finish]],Tasks[[#This Row],[Planned Finish]],WorkWeek,Holidays)))</f>
        <v/>
      </c>
      <c r="AO18" s="21" t="str">
        <f aca="false">IF(Tasks[[#This Row],[Task Name]]="","",IF(Tasks[[#This Row],[Progress]]&gt;=1,"Complete",IF(OR(N(Tasks[[#This Row],[Actual Start]])&gt;0,Tasks[[#This Row],[Progress]]&gt;0),IF(Tasks[[#This Row],[Finish Var]]&gt;0,"Behind","In Progress"),IF(Tasks[[#This Row],[Planned Start]]&lt;StatusDate,"Late Start","Not Started"))))</f>
        <v/>
      </c>
      <c r="AP18" s="21" t="str">
        <f aca="false">IF(Tasks[[#This Row],[Task Name]]="","",IF(IF(Tasks[[#This Row],[_IsSummary]],COUNTIF(INDEX(Tasks[_LeafCritical],Tasks[[#This Row],[_Row]]+1):INDEX(Tasks[_LeafCritical],Tasks[[#This Row],[_Row]]+Tasks[[#This Row],[_Descendants]]),TRUE())&gt;0,Tasks[[#This Row],[_LeafCritical]]),"Yes",""))</f>
        <v/>
      </c>
      <c r="AQ18" s="63" t="str">
        <f aca="false">IF(Tasks[[#This Row],[Task Name]]="","",IF(N(Tasks[[#This Row],[Baseline Start]])&gt;0,Tasks[[#This Row],[Baseline Start]],Tasks[[#This Row],[_CalcStart]]))</f>
        <v/>
      </c>
      <c r="AR18" s="63" t="str">
        <f aca="false">IF(Tasks[[#This Row],[Task Name]]="","",IF(N(Tasks[[#This Row],[Baseline Finish]])&gt;0,Tasks[[#This Row],[Baseline Finish]],Tasks[[#This Row],[_CalcFinish]]))</f>
        <v/>
      </c>
      <c r="AS18" s="47" t="str">
        <f aca="false">IF(Tasks[[#This Row],[Task Name]]="","",IF(Tasks[[#This Row],[Start]]&gt;=Tasks[[#This Row],[Planned Start]],NETWORKDAYS.INTL(Tasks[[#This Row],[Planned Start]],Tasks[[#This Row],[Start]],WorkWeek,Holidays)-1,1-NETWORKDAYS.INTL(Tasks[[#This Row],[Start]],Tasks[[#This Row],[Planned Start]],WorkWeek,Holidays)))</f>
        <v/>
      </c>
      <c r="AT18" s="63" t="str">
        <f aca="false">IF(Tasks[[#This Row],[Task Name]]="","",IF(Tasks[[#This Row],[_IsSummary]],MIN(INDEX(Tasks[_LeafLateStart],Tasks[[#This Row],[_Row]]+1):INDEX(Tasks[_LeafLateStart],Tasks[[#This Row],[_Row]]+Tasks[[#This Row],[_Descendants]])),Tasks[[#This Row],[_LeafLateStart]]))</f>
        <v/>
      </c>
      <c r="AU18" s="63" t="str">
        <f aca="false">IF(Tasks[[#This Row],[Task Name]]="","",IF(Tasks[[#This Row],[_IsSummary]],MAX(INDEX(Tasks[_LeafLateFinish],Tasks[[#This Row],[_Row]]+1):INDEX(Tasks[_LeafLateFinish],Tasks[[#This Row],[_Row]]+Tasks[[#This Row],[_Descendants]])),Tasks[[#This Row],[_LeafLateFinish]]))</f>
        <v/>
      </c>
      <c r="AV18" s="47" t="str">
        <f aca="false">IF(Tasks[[#This Row],[Task Name]]="","",IF(Tasks[[#This Row],[_IsSummary]],MIN(INDEX(Tasks[_LeafTotalSlack],Tasks[[#This Row],[_Row]]+1):INDEX(Tasks[_LeafTotalSlack],Tasks[[#This Row],[_Row]]+Tasks[[#This Row],[_Descendants]])),Tasks[[#This Row],[_LeafTotalSlack]]))</f>
        <v/>
      </c>
      <c r="AW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5"/>
      <c r="BA1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1" t="str">
        <f aca="false">IF(Tasks[[#This Row],[Task Name]]="","",IF(Tasks[[#This Row],[_Level]]&lt;=OutlineShowLevel,"Yes","No"))</f>
        <v/>
      </c>
      <c r="BE18" s="86" t="str">
        <f aca="false">IF(Tasks[[#This Row],[Task Name]]="","",IF(Tasks[[#This Row],[_IsSummary]],SUM(INDEX(Tasks[_LeafTotalWork],Tasks[[#This Row],[_Row]]+1):INDEX(Tasks[_LeafTotalWork],Tasks[[#This Row],[_Row]]+Tasks[[#This Row],[_Descendants]])),Tasks[[#This Row],[_LeafTotalWork]]))</f>
        <v/>
      </c>
      <c r="BF18" s="23"/>
      <c r="BG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 s="21" t="str">
        <f aca="false">""</f>
        <v/>
      </c>
      <c r="BI18" s="87"/>
      <c r="BJ18" s="22"/>
      <c r="BK18" s="47" t="str">
        <f aca="false">IF(OR(Tasks[[#This Row],[Task Name]]="",Tasks[[#This Row],[Baseline Duration]]=""),"",Tasks[[#This Row],[_SpanDays]]-N(Tasks[[#This Row],[Baseline Duration]]))</f>
        <v/>
      </c>
      <c r="BL18" s="86" t="str">
        <f aca="false">IF(OR(Tasks[[#This Row],[Task Name]]="",Tasks[[#This Row],[Baseline Work]]=""),"",Tasks[[#This Row],[Work]]-N(Tasks[[#This Row],[Baseline Work]]))</f>
        <v/>
      </c>
      <c r="BM18" s="63" t="str">
        <f aca="false">IF(Tasks[[#This Row],[Task Name]]="","",IF(OR(TakeBaseline="Yes",N(Tasks[[#This Row],[Baseline Start]])=0),Tasks[[#This Row],[Start]],Tasks[[#This Row],[Baseline Start]]))</f>
        <v/>
      </c>
      <c r="BN18" s="63" t="str">
        <f aca="false">IF(Tasks[[#This Row],[Task Name]]="","",IF(OR(TakeBaseline="Yes",N(Tasks[[#This Row],[Baseline Finish]])=0),Tasks[[#This Row],[Finish]],Tasks[[#This Row],[Baseline Finish]]))</f>
        <v/>
      </c>
      <c r="BO18" s="21" t="str">
        <f aca="false">IF(Tasks[[#This Row],[Task Name]]="","",IF(OR(TakeBaseline="Yes",N(Tasks[[#This Row],[Baseline Duration]])=0),Tasks[[#This Row],[_SpanDays]],Tasks[[#This Row],[Baseline Duration]]))</f>
        <v/>
      </c>
      <c r="BP18" s="86" t="str">
        <f aca="false">IF(Tasks[[#This Row],[Task Name]]="","",IF(OR(TakeBaseline="Yes",N(Tasks[[#This Row],[Baseline Work]])=0),Tasks[[#This Row],[Work]],Tasks[[#This Row],[Baseline Work]]))</f>
        <v/>
      </c>
      <c r="BQ18" s="7"/>
      <c r="BR18" s="7"/>
      <c r="BS18" s="22"/>
      <c r="BT18" s="88"/>
      <c r="BU18" s="23"/>
      <c r="BV18" s="23"/>
      <c r="BW18" s="23"/>
      <c r="BX18" s="89" t="str">
        <f aca="false">IF(AND(Tasks[[#This Row],[_IsLeaf]]=1,ISNUMBER(Tasks[[#This Row],[Optimistic]]),ISNUMBER(Tasks[[#This Row],[Pessimistic]])),ROUND((Tasks[[#This Row],[Optimistic]]+4*N(Tasks[[#This Row],[_Days]])+Tasks[[#This Row],[Pessimistic]])/6,1),"")</f>
        <v/>
      </c>
      <c r="BY18" s="87"/>
      <c r="BZ18" s="87"/>
      <c r="CA18" s="22"/>
      <c r="CB18" s="43" t="str">
        <f aca="false">IF(Tasks[[#This Row],[Task Name]]="","",MAX(1,N(Tasks[[#This Row],[Level]])))</f>
        <v/>
      </c>
      <c r="CC18" s="43" t="n">
        <f aca="false">ROW()-ROW(Tasks[[#Headers],[ID]])</f>
        <v>13</v>
      </c>
      <c r="CD18" s="43" t="n">
        <f aca="false">IF(OR(Tasks[[#This Row],[Task Name]]="",Tasks[[#This Row],[_Level]]&lt;=1),0,IFERROR(LOOKUP(2,1/(Tasks[[#Headers],[_Level]]:Tasks[[#This Row],[_Level]]=Tasks[[#This Row],[_Level]]-1),ROW(Tasks[[#Headers],[_Level]]:Tasks[[#This Row],[_Level]])),0))</f>
        <v>0</v>
      </c>
      <c r="CE18" s="43" t="n">
        <f aca="false">IFERROR(N(INDEX(Tasks[_Level],Tasks[[#This Row],[_Row]]+1)),0)</f>
        <v>0</v>
      </c>
      <c r="CF18" s="90" t="b">
        <f aca="false">AND(Tasks[[#This Row],[Task Name]]&lt;&gt;"",Tasks[[#This Row],[_NextLevel]]&gt;Tasks[[#This Row],[_Level]])</f>
        <v>0</v>
      </c>
      <c r="CG18" s="43" t="n">
        <f aca="false">IF(Tasks[[#This Row],[_IsSummary]],COUNTIF(Tasks[WBS],Tasks[[#This Row],[WBS]]&amp;".*"),0)</f>
        <v>0</v>
      </c>
      <c r="CH18" s="43" t="n">
        <f aca="false">IF(AND(Tasks[[#This Row],[Task Name]]&lt;&gt;"",NOT(Tasks[[#This Row],[_IsSummary]])),1,0)</f>
        <v>0</v>
      </c>
      <c r="CI18" s="43" t="n">
        <f aca="false">IF(N(Tasks[[#This Row],[_Pred1UID]])=0,0,IFERROR(MATCH(Tasks[[#This Row],[_Pred1UID]],Tasks[UID],0),-1))</f>
        <v>0</v>
      </c>
      <c r="CJ18" s="43" t="n">
        <f aca="false">IF(N(Tasks[[#This Row],[_Pred2UID]])=0,0,IFERROR(MATCH(Tasks[[#This Row],[_Pred2UID]],Tasks[UID],0),-1))</f>
        <v>0</v>
      </c>
      <c r="CK18" s="43" t="n">
        <f aca="false">IF(N(Tasks[[#This Row],[_Pred3UID]])=0,0,IFERROR(MATCH(Tasks[[#This Row],[_Pred3UID]],Tasks[UID],0),-1))</f>
        <v>0</v>
      </c>
      <c r="CL18" s="43" t="n">
        <f aca="false">IF(N(Tasks[[#This Row],[_Pred4UID]])=0,0,IFERROR(MATCH(Tasks[[#This Row],[_Pred4UID]],Tasks[UID],0),-1))</f>
        <v>0</v>
      </c>
      <c r="CM1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 s="91" t="n">
        <f aca="false">IF(OR(Tasks[[#This Row],[_ConstraintCode]]=2,Tasks[[#This Row],[_ConstraintCode]]=3,Tasks[[#This Row],[_ConstraintCode]]=4,Tasks[[#This Row],[_ConstraintCode]]=6),Tasks[[#This Row],[_ConstraintStart]],0)</f>
        <v>0</v>
      </c>
      <c r="CP18" s="91" t="n">
        <f aca="false">IF(OR(Tasks[[#This Row],[_ConstraintCode]]=2,Tasks[[#This Row],[_ConstraintCode]]=3,Tasks[[#This Row],[_ConstraintCode]]=5,Tasks[[#This Row],[_ConstraintCode]]=7),Tasks[[#This Row],[_ConstraintStart]],2958465)</f>
        <v>2958465</v>
      </c>
      <c r="CQ1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 s="91" t="str">
        <f aca="false">IF(NOT(Tasks[[#This Row],[_IsLeaf]]=1),"",IF(N(Tasks[[#This Row],[_Days]])&lt;=0,Tasks[[#This Row],[_LeafCalcStart]],WORKDAY.INTL(Tasks[[#This Row],[_LeafCalcStart]],Tasks[[#This Row],[_Days]]-1,WorkWeek,Holidays)))</f>
        <v/>
      </c>
      <c r="CS1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 s="43" t="str">
        <f aca="false">IF(Tasks[[#This Row],[_Predecessors]]="","",TRIM(MID(SUBSTITUTE(SUBSTITUTE(SUBSTITUTE(UPPER(Tasks[[#This Row],[_Predecessors]]),";",",")," ",""),",",REPT(" ",99)),1,99)))</f>
        <v/>
      </c>
      <c r="CV18" s="43" t="str">
        <f aca="false">IF(Tasks[[#This Row],[_Pred1Text]]="","",IFERROR(VALUE(LEFT(Tasks[[#This Row],[_Pred1Text]],MIN(FIND("F",Tasks[[#This Row],[_Pred1Text]]&amp;"F"),FIND("S",Tasks[[#This Row],[_Pred1Text]]&amp;"S"),FIND("+",Tasks[[#This Row],[_Pred1Text]]&amp;"+"),FIND("-",Tasks[[#This Row],[_Pred1Text]]&amp;"-"))-1)),""))</f>
        <v/>
      </c>
      <c r="CW1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 s="43" t="str">
        <f aca="false">IF(Tasks[[#This Row],[_Pred1Text]]="","",TRIM(MID(SUBSTITUTE(SUBSTITUTE(SUBSTITUTE(UPPER(Tasks[[#This Row],[_Predecessors]]),";",",")," ",""),",",REPT(" ",99)),100,99)))</f>
        <v/>
      </c>
      <c r="CZ18" s="43" t="str">
        <f aca="false">IF(Tasks[[#This Row],[_Pred2Text]]="","",IFERROR(VALUE(LEFT(Tasks[[#This Row],[_Pred2Text]],MIN(FIND("F",Tasks[[#This Row],[_Pred2Text]]&amp;"F"),FIND("S",Tasks[[#This Row],[_Pred2Text]]&amp;"S"),FIND("+",Tasks[[#This Row],[_Pred2Text]]&amp;"+"),FIND("-",Tasks[[#This Row],[_Pred2Text]]&amp;"-"))-1)),""))</f>
        <v/>
      </c>
      <c r="DA1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 s="43" t="str">
        <f aca="false">IF(Tasks[[#This Row],[_Pred2Text]]="","",TRIM(MID(SUBSTITUTE(SUBSTITUTE(SUBSTITUTE(UPPER(Tasks[[#This Row],[_Predecessors]]),";",",")," ",""),",",REPT(" ",99)),199,99)))</f>
        <v/>
      </c>
      <c r="DD18" s="43" t="str">
        <f aca="false">IF(Tasks[[#This Row],[_Pred3Text]]="","",IFERROR(VALUE(LEFT(Tasks[[#This Row],[_Pred3Text]],MIN(FIND("F",Tasks[[#This Row],[_Pred3Text]]&amp;"F"),FIND("S",Tasks[[#This Row],[_Pred3Text]]&amp;"S"),FIND("+",Tasks[[#This Row],[_Pred3Text]]&amp;"+"),FIND("-",Tasks[[#This Row],[_Pred3Text]]&amp;"-"))-1)),""))</f>
        <v/>
      </c>
      <c r="DE1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 s="43" t="str">
        <f aca="false">IF(Tasks[[#This Row],[_Pred3Text]]="","",TRIM(MID(SUBSTITUTE(SUBSTITUTE(SUBSTITUTE(UPPER(Tasks[[#This Row],[_Predecessors]]),";",",")," ",""),",",REPT(" ",99)),298,99)))</f>
        <v/>
      </c>
      <c r="DH18" s="43" t="str">
        <f aca="false">IF(Tasks[[#This Row],[_Pred4Text]]="","",IFERROR(VALUE(LEFT(Tasks[[#This Row],[_Pred4Text]],MIN(FIND("F",Tasks[[#This Row],[_Pred4Text]]&amp;"F"),FIND("S",Tasks[[#This Row],[_Pred4Text]]&amp;"S"),FIND("+",Tasks[[#This Row],[_Pred4Text]]&amp;"+"),FIND("-",Tasks[[#This Row],[_Pred4Text]]&amp;"-"))-1)),""))</f>
        <v/>
      </c>
      <c r="DI1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 s="43" t="str">
        <f aca="false">IF(OR(Tasks[[#This Row],[Task Name]]="",Tasks[[#This Row],[_Resources]]=""),"",TRIM(MID(SUBSTITUTE(Tasks[[#This Row],[_Resources]],",",REPT(" ",99)),1,99)))</f>
        <v/>
      </c>
      <c r="DL18" s="43" t="str">
        <f aca="false">IF(Tasks[[#This Row],[_Res1Text]]="","",TRIM(MID(SUBSTITUTE(Tasks[[#This Row],[_Resources]],",",REPT(" ",99)),100,99)))</f>
        <v/>
      </c>
      <c r="DM18" s="43" t="str">
        <f aca="false">IF(Tasks[[#This Row],[_Res2Text]]="","",TRIM(MID(SUBSTITUTE(Tasks[[#This Row],[_Resources]],",",REPT(" ",99)),199,99)))</f>
        <v/>
      </c>
      <c r="DN18" s="43" t="str">
        <f aca="false">IF(Tasks[[#This Row],[_Res3Text]]="","",TRIM(MID(SUBSTITUTE(Tasks[[#This Row],[_Resources]],",",REPT(" ",99)),298,99)))</f>
        <v/>
      </c>
      <c r="DO18" s="43" t="n">
        <f aca="false">IF(Tasks[[#This Row],[_Res1Text]]="",0,IFERROR(MATCH(TRIM(LEFT(Tasks[[#This Row],[_Res1Text]],FIND("[",Tasks[[#This Row],[_Res1Text]]&amp;"[")-1)),res_Name,0),IFERROR(MATCH(TRIM(LEFT(Tasks[[#This Row],[_Res1Text]],FIND("[",Tasks[[#This Row],[_Res1Text]]&amp;"[")-1)),res_Initials,0),0)))</f>
        <v>0</v>
      </c>
      <c r="DP18" s="43" t="n">
        <f aca="false">IF(Tasks[[#This Row],[_Res2Text]]="",0,IFERROR(MATCH(TRIM(LEFT(Tasks[[#This Row],[_Res2Text]],FIND("[",Tasks[[#This Row],[_Res2Text]]&amp;"[")-1)),res_Name,0),IFERROR(MATCH(TRIM(LEFT(Tasks[[#This Row],[_Res2Text]],FIND("[",Tasks[[#This Row],[_Res2Text]]&amp;"[")-1)),res_Initials,0),0)))</f>
        <v>0</v>
      </c>
      <c r="DQ18" s="43" t="n">
        <f aca="false">IF(Tasks[[#This Row],[_Res3Text]]="",0,IFERROR(MATCH(TRIM(LEFT(Tasks[[#This Row],[_Res3Text]],FIND("[",Tasks[[#This Row],[_Res3Text]]&amp;"[")-1)),res_Name,0),IFERROR(MATCH(TRIM(LEFT(Tasks[[#This Row],[_Res3Text]],FIND("[",Tasks[[#This Row],[_Res3Text]]&amp;"[")-1)),res_Initials,0),0)))</f>
        <v>0</v>
      </c>
      <c r="DR18" s="43" t="n">
        <f aca="false">IF(Tasks[[#This Row],[_Res4Text]]="",0,IFERROR(MATCH(TRIM(LEFT(Tasks[[#This Row],[_Res4Text]],FIND("[",Tasks[[#This Row],[_Res4Text]]&amp;"[")-1)),res_Name,0),IFERROR(MATCH(TRIM(LEFT(Tasks[[#This Row],[_Res4Text]],FIND("[",Tasks[[#This Row],[_Res4Text]]&amp;"[")-1)),res_Initials,0),0)))</f>
        <v>0</v>
      </c>
      <c r="DS18" s="43" t="str">
        <f aca="false">IF(Tasks[[#This Row],[_Res1Text]]="","",IF(Tasks[[#This Row],[_Res1Row]]&gt;0,INDEX(res_Name,Tasks[[#This Row],[_Res1Row]]),TRIM(LEFT(Tasks[[#This Row],[_Res1Text]],FIND("[",Tasks[[#This Row],[_Res1Text]]&amp;"[")-1))))</f>
        <v/>
      </c>
      <c r="DT1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 s="43" t="n">
        <f aca="false">IF(NOT(Tasks[[#This Row],[_IsLeaf]]=1),0,(Tasks[[#This Row],[_Resource1]]&lt;&gt;"")+(Tasks[[#This Row],[_Res2]]&lt;&gt;"")+(Tasks[[#This Row],[_Res3]]&lt;&gt;"")+(Tasks[[#This Row],[_Res4]]&lt;&gt;""))</f>
        <v>0</v>
      </c>
      <c r="DV18" s="43" t="str">
        <f aca="false">IF(Tasks[[#This Row],[_Res2Text]]="","",IF(Tasks[[#This Row],[_Res2Row]]&gt;0,INDEX(res_Name,Tasks[[#This Row],[_Res2Row]]),TRIM(LEFT(Tasks[[#This Row],[_Res2Text]],FIND("[",Tasks[[#This Row],[_Res2Text]]&amp;"[")-1))))</f>
        <v/>
      </c>
      <c r="DW1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 s="43" t="n">
        <f aca="false">IF(OR(NOT(Tasks[[#This Row],[_IsLeaf]]=1),Tasks[[#This Row],[_Res2Row]]=0),0,N(Tasks[[#This Row],[_Days]])*HoursPerDay*IF(Tasks[[#This Row],[_Res2Units]]="",DefaultUnits,Tasks[[#This Row],[_Res2Units]]))</f>
        <v>0</v>
      </c>
      <c r="DY18" s="43" t="n">
        <f aca="false">IF(AND(AND(Tasks[[#This Row],[_IsLeaf]]=1,Tasks[[#This Row],[_LeafTotalWork]]&gt;0),Tasks[[#This Row],[_Res2Work]]&gt;0),Tasks[[#This Row],[_Res2Work]]/(Tasks[[#This Row],[_FinishWorkday]]-Tasks[[#This Row],[_StartWorkday]]+1),0)</f>
        <v>0</v>
      </c>
      <c r="DZ18" s="43" t="n">
        <f aca="false">Tasks[[#This Row],[_Res2WorkPerWD]]*MAX(0,Tasks[[#This Row],[_StartWorkday]]-1)</f>
        <v>0</v>
      </c>
      <c r="EA18" s="43" t="n">
        <f aca="false">Tasks[[#This Row],[_Res2Work]]*Tasks[[#This Row],[_LeafProgress]]</f>
        <v>0</v>
      </c>
      <c r="EB18" s="43" t="str">
        <f aca="false">IF(Tasks[[#This Row],[_Res3Text]]="","",IF(Tasks[[#This Row],[_Res3Row]]&gt;0,INDEX(res_Name,Tasks[[#This Row],[_Res3Row]]),TRIM(LEFT(Tasks[[#This Row],[_Res3Text]],FIND("[",Tasks[[#This Row],[_Res3Text]]&amp;"[")-1))))</f>
        <v/>
      </c>
      <c r="EC1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 s="43" t="n">
        <f aca="false">IF(OR(NOT(Tasks[[#This Row],[_IsLeaf]]=1),Tasks[[#This Row],[_Res3Row]]=0),0,N(Tasks[[#This Row],[_Days]])*HoursPerDay*IF(Tasks[[#This Row],[_Res3Units]]="",DefaultUnits,Tasks[[#This Row],[_Res3Units]]))</f>
        <v>0</v>
      </c>
      <c r="EE18" s="43" t="n">
        <f aca="false">IF(AND(AND(Tasks[[#This Row],[_IsLeaf]]=1,Tasks[[#This Row],[_LeafTotalWork]]&gt;0),Tasks[[#This Row],[_Res3Work]]&gt;0),Tasks[[#This Row],[_Res3Work]]/(Tasks[[#This Row],[_FinishWorkday]]-Tasks[[#This Row],[_StartWorkday]]+1),0)</f>
        <v>0</v>
      </c>
      <c r="EF18" s="43" t="n">
        <f aca="false">Tasks[[#This Row],[_Res3WorkPerWD]]*MAX(0,Tasks[[#This Row],[_StartWorkday]]-1)</f>
        <v>0</v>
      </c>
      <c r="EG18" s="43" t="n">
        <f aca="false">Tasks[[#This Row],[_Res3Work]]*Tasks[[#This Row],[_LeafProgress]]</f>
        <v>0</v>
      </c>
      <c r="EH18" s="43" t="str">
        <f aca="false">IF(Tasks[[#This Row],[_Res4Text]]="","",IF(Tasks[[#This Row],[_Res4Row]]&gt;0,INDEX(res_Name,Tasks[[#This Row],[_Res4Row]]),TRIM(LEFT(Tasks[[#This Row],[_Res4Text]],FIND("[",Tasks[[#This Row],[_Res4Text]]&amp;"[")-1))))</f>
        <v/>
      </c>
      <c r="EI1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 s="43" t="n">
        <f aca="false">IF(OR(NOT(Tasks[[#This Row],[_IsLeaf]]=1),Tasks[[#This Row],[_Res4Row]]=0),0,N(Tasks[[#This Row],[_Days]])*HoursPerDay*IF(Tasks[[#This Row],[_Res4Units]]="",DefaultUnits,Tasks[[#This Row],[_Res4Units]]))</f>
        <v>0</v>
      </c>
      <c r="EK18" s="43" t="n">
        <f aca="false">IF(AND(AND(Tasks[[#This Row],[_IsLeaf]]=1,Tasks[[#This Row],[_LeafTotalWork]]&gt;0),Tasks[[#This Row],[_Res4Work]]&gt;0),Tasks[[#This Row],[_Res4Work]]/(Tasks[[#This Row],[_FinishWorkday]]-Tasks[[#This Row],[_StartWorkday]]+1),0)</f>
        <v>0</v>
      </c>
      <c r="EL18" s="43" t="n">
        <f aca="false">Tasks[[#This Row],[_Res4WorkPerWD]]*MAX(0,Tasks[[#This Row],[_StartWorkday]]-1)</f>
        <v>0</v>
      </c>
      <c r="EM18" s="43" t="n">
        <f aca="false">Tasks[[#This Row],[_Res4Work]]*Tasks[[#This Row],[_LeafProgress]]</f>
        <v>0</v>
      </c>
      <c r="EN18" s="43" t="n">
        <f aca="false">IF(ISNUMBER(Tasks[[#This Row],[% Complete]]),Tasks[[#This Row],[% Complete]],IF(Tasks[[#This Row],[Stage]]="",0,IFERROR(INDEX(stg_Pct,MATCH(Tasks[[#This Row],[Stage]],stg_Name,0)),0)))</f>
        <v>0</v>
      </c>
      <c r="EO18" s="43" t="n">
        <f aca="false">IF(NOT(Tasks[[#This Row],[_IsLeaf]]=1),0,IF(N(Tasks[[#This Row],[Actual Finish]])&gt;0,1,MIN(1,Tasks[[#This Row],[_Pct]])))</f>
        <v>0</v>
      </c>
      <c r="EP18" s="43" t="n">
        <f aca="false">IF(OR(NOT(Tasks[[#This Row],[_IsLeaf]]=1),Tasks[[#This Row],[_Res1Row]]=0),0,N(Tasks[[#This Row],[_Days]])*HoursPerDay*IF(Tasks[[#This Row],[_Units1]]="",DefaultUnits,Tasks[[#This Row],[_Units1]]))</f>
        <v>0</v>
      </c>
      <c r="EQ18" s="43" t="n">
        <f aca="false">Tasks[[#This Row],[_LeafWork]]+Tasks[[#This Row],[_Res2Work]]+Tasks[[#This Row],[_Res3Work]]+Tasks[[#This Row],[_Res4Work]]</f>
        <v>0</v>
      </c>
      <c r="ER1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 s="43" t="n">
        <f aca="false">IF(NOT(Tasks[[#This Row],[_IsLeaf]]=1),0,MAX(_xlfn.MAXIFS(Tasks[_Row],Tasks[_Pred1UID],Tasks[[#This Row],[UID]]),_xlfn.MAXIFS(Tasks[_Row],Tasks[_Pred2UID],Tasks[[#This Row],[UID]]),_xlfn.MAXIFS(Tasks[_Row],Tasks[_Pred3UID],Tasks[[#This Row],[UID]]),_xlfn.MAXIFS(Tasks[_Row],Tasks[_Pred4UID],Tasks[[#This Row],[UID]])))</f>
        <v>0</v>
      </c>
      <c r="FA1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 s="91" t="str">
        <f aca="false">IF(NOT(Tasks[[#This Row],[_IsLeaf]]=1),"",IF(N(Tasks[[#This Row],[_Days]])&lt;=0,Tasks[[#This Row],[_LeafLateFinish]],WORKDAY.INTL(Tasks[[#This Row],[_LeafLateFinish]],-(Tasks[[#This Row],[_Days]]-1),WorkWeek,Holidays)))</f>
        <v/>
      </c>
      <c r="FD1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 s="90" t="b">
        <f aca="false">AND(Tasks[[#This Row],[_IsLeaf]]=1,Tasks[[#This Row],[_LeafProgress]]&lt;1,N(Tasks[[#This Row],[_LeafTotalSlack]])&lt;=CriticalSlackDays)</f>
        <v>0</v>
      </c>
      <c r="FF18" s="43" t="n">
        <f aca="false">IF(AND(Tasks[[#This Row],[_IsLeaf]]=1,Tasks[[#This Row],[_ConstraintCode]]=1,Tasks[[#This Row],[Mode]]&lt;&gt;"Manual",N(Tasks[[#This Row],[Actual Start]])=0),MAX(0,N(Tasks[[#This Row],[Free Slack]])),0)</f>
        <v>0</v>
      </c>
      <c r="FG18" s="91" t="str">
        <f aca="false">IF(NOT(Tasks[[#This Row],[_IsLeaf]]=1),"",IF(Tasks[[#This Row],[_AlapShift]]=0,Tasks[[#This Row],[_LeafCalcStart]],WORKDAY.INTL(Tasks[[#This Row],[_LeafCalcStart]],Tasks[[#This Row],[_AlapShift]],WorkWeek,Holidays)))</f>
        <v/>
      </c>
      <c r="FH18" s="91" t="str">
        <f aca="false">IF(NOT(Tasks[[#This Row],[_IsLeaf]]=1),"",IF(Tasks[[#This Row],[_AlapShift]]=0,Tasks[[#This Row],[_LeafCalcFinish]],WORKDAY.INTL(Tasks[[#This Row],[_LeafCalcFinish]],Tasks[[#This Row],[_AlapShift]],WorkWeek,Holidays)))</f>
        <v/>
      </c>
      <c r="FI18" s="91" t="str">
        <f aca="false">IF(NOT(Tasks[[#This Row],[_IsLeaf]]=1),"",IF(Tasks[[#This Row],[_AlapShift]]=0,Tasks[[#This Row],[_LeafFcstStart]],WORKDAY.INTL(Tasks[[#This Row],[_LeafFcstStart]],Tasks[[#This Row],[_AlapShift]],WorkWeek,Holidays)))</f>
        <v/>
      </c>
      <c r="FJ18" s="91" t="str">
        <f aca="false">IF(NOT(Tasks[[#This Row],[_IsLeaf]]=1),"",IF(Tasks[[#This Row],[_AlapShift]]=0,Tasks[[#This Row],[_LeafFcstFinish]],WORKDAY.INTL(Tasks[[#This Row],[_LeafFcstFinish]],Tasks[[#This Row],[_AlapShift]],WorkWeek,Holidays)))</f>
        <v/>
      </c>
      <c r="FK18" s="91" t="str">
        <f aca="false">IF(Tasks[[#This Row],[Task Name]]="","",IF(Tasks[[#This Row],[_IsSummary]],MIN(INDEX(Tasks[_ShownCalcStart],Tasks[[#This Row],[_Row]]+1):INDEX(Tasks[_ShownCalcStart],Tasks[[#This Row],[_Row]]+Tasks[[#This Row],[_Descendants]])),Tasks[[#This Row],[_ShownCalcStart]]))</f>
        <v/>
      </c>
      <c r="FL18" s="91" t="str">
        <f aca="false">IF(Tasks[[#This Row],[Task Name]]="","",IF(Tasks[[#This Row],[_IsSummary]],MAX(INDEX(Tasks[_ShownCalcFinish],Tasks[[#This Row],[_Row]]+1):INDEX(Tasks[_ShownCalcFinish],Tasks[[#This Row],[_Row]]+Tasks[[#This Row],[_Descendants]])),Tasks[[#This Row],[_ShownCalcFinish]]))</f>
        <v/>
      </c>
      <c r="FM1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 s="43" t="n">
        <f aca="false">IF(AND(Tasks[[#This Row],[_IsLeaf]]=1,Tasks[[#This Row],[_LeafTotalWork]]&gt;0),NETWORKDAYS.INTL(ProjectStart,Tasks[[#This Row],[_ShownFcstStart]],WorkWeek,Holidays),0)</f>
        <v>0</v>
      </c>
      <c r="FZ18" s="43" t="n">
        <f aca="false">IF(AND(Tasks[[#This Row],[_IsLeaf]]=1,Tasks[[#This Row],[_LeafTotalWork]]&gt;0),MAX(Tasks[[#This Row],[_StartWorkday]],NETWORKDAYS.INTL(ProjectStart,Tasks[[#This Row],[_ShownFcstFinish]],WorkWeek,Holidays)),0)</f>
        <v>0</v>
      </c>
      <c r="GA18" s="43" t="n">
        <f aca="false">IF(AND(Tasks[[#This Row],[_IsLeaf]]=1,Tasks[[#This Row],[_LeafTotalWork]]&gt;0),Tasks[[#This Row],[_LeafWork]]/(Tasks[[#This Row],[_FinishWorkday]]-Tasks[[#This Row],[_StartWorkday]]+1),0)</f>
        <v>0</v>
      </c>
      <c r="GB18" s="43" t="n">
        <f aca="false">Tasks[[#This Row],[_WorkPerWorkday]]*(Tasks[[#This Row],[_StartWorkday]]-1)</f>
        <v>-0</v>
      </c>
      <c r="GC18" s="43" t="n">
        <f aca="false">IF(Tasks[[#This Row],[_IsLeaf]]=1,MAX(N(Tasks[[#This Row],[_Days]]),0.1),0)</f>
        <v>0</v>
      </c>
      <c r="GD18" s="43" t="n">
        <f aca="false">Tasks[[#This Row],[_WeightDur]]*Tasks[[#This Row],[_LeafProgress]]</f>
        <v>0</v>
      </c>
      <c r="GE18" s="43" t="n">
        <f aca="false">Tasks[[#This Row],[_WeightDur]]*Tasks[[#This Row],[_PlannedPct]]</f>
        <v>0</v>
      </c>
      <c r="GF1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 s="43" t="str">
        <f aca="false">IF(AND(Tasks[[#This Row],[_IsLeaf]]=1,N(Tasks[[#This Row],[_Days]])=0,Tasks[[#This Row],[_LeafProgress]]&lt;1),Tasks[[#This Row],[_ShownFcstFinish]]+Tasks[[#This Row],[_Row]]/100000,"")</f>
        <v/>
      </c>
      <c r="GH1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 s="43" t="str">
        <f aca="false">IF(Tasks[[#This Row],[Task Name]]="","",LEFT(Tasks[[#This Row],[WBS]],FIND(".",Tasks[[#This Row],[WBS]]&amp;".")-1))</f>
        <v/>
      </c>
      <c r="GJ18" s="43" t="str">
        <f aca="false">IF(AND(Tasks[[#This Row],[Task Name]]&lt;&gt;"",Tasks[[#This Row],[_Level]]=1),Tasks[[#This Row],[_Row]],"")</f>
        <v/>
      </c>
      <c r="GK18" s="43" t="str">
        <f aca="false">IF(AND(Tasks[[#This Row],[_IsLeaf]]=1,N(Tasks[[#This Row],[_Days]])=0),Tasks[[#This Row],[Planned Finish]]+Tasks[[#This Row],[_Row]]/100000,"")</f>
        <v/>
      </c>
      <c r="GL18" s="43" t="str">
        <f aca="false">IF(AND(Tasks[[#This Row],[_IsLeaf]]=1,Tasks[[#This Row],[_LeafProgress]]&lt;1,OR(N(Tasks[[#This Row],[Finish Var]])&gt;0,Tasks[[#This Row],[Status]]="Late Start")),MAX(0,Tasks[[#This Row],[Finish Var]])+1-Tasks[[#This Row],[_Row]]/1000000,"")</f>
        <v/>
      </c>
      <c r="GM18" s="43" t="str">
        <f aca="false">IF(AND(Tasks[[#This Row],[_IsLeaf]]=1,N(Tasks[[#This Row],[Actual Start]])=0,Tasks[[#This Row],[_ShownFcstStart]]&gt;=StatusDate,Tasks[[#This Row],[_ShownFcstStart]]&lt;=LookaheadEnd),Tasks[[#This Row],[_ShownFcstStart]]+Tasks[[#This Row],[_Row]]/100000,"")</f>
        <v/>
      </c>
      <c r="GN18" s="43" t="str">
        <f aca="false">IF(AND(Tasks[[#This Row],[_IsLeaf]]=1,Tasks[[#This Row],[_LeafProgress]]&lt;1,Tasks[[#This Row],[_ShownFcstFinish]]&gt;=StatusDate,Tasks[[#This Row],[_ShownFcstFinish]]&lt;=LookaheadEnd),Tasks[[#This Row],[_ShownFcstFinish]]+Tasks[[#This Row],[_Row]]/100000,"")</f>
        <v/>
      </c>
      <c r="GO18" s="43" t="str">
        <f aca="false">IF(Tasks[[#This Row],[_LeafCritical]],Tasks[[#This Row],[_ShownFcstStart]]+Tasks[[#This Row],[_Row]]/100000,"")</f>
        <v/>
      </c>
      <c r="GP18" s="43" t="n">
        <f aca="false">Tasks[[#This Row],[_LeafWork]]*Tasks[[#This Row],[_LeafProgress]]</f>
        <v>0</v>
      </c>
      <c r="GQ18" s="91" t="str">
        <f aca="false">IF(AND(Tasks[[#This Row],[_IsLeaf]]=1,Tasks[[#This Row],[_LeafProgress]]&gt;=1),IF(N(Tasks[[#This Row],[Actual Finish]])&gt;0,Tasks[[#This Row],[Actual Finish]],Tasks[[#This Row],[_ShownFcstFinish]]),"")</f>
        <v/>
      </c>
      <c r="GR18" s="43" t="n">
        <f aca="false">IF(Tasks[[#This Row],[_IsLeaf]]=1,N(Tasks[[#This Row],[Story Points]]),0)</f>
        <v>0</v>
      </c>
      <c r="GS18" s="43" t="str">
        <f aca="false">""</f>
        <v/>
      </c>
      <c r="GT18" s="90" t="b">
        <f aca="false">IF(Tasks[[#This Row],[Task Name]]="",FALSE(),AND(Tasks[[#This Row],[_IsLeaf]]=1,N(Tasks[[#This Row],[_Days]])=0))</f>
        <v>0</v>
      </c>
      <c r="GU18" s="91" t="n">
        <f aca="false">IF(Tasks[[#This Row],[Task Name]]="",0,IF(AND(Tasks[[#This Row],[_IsLeaf]]=1,NOT(Tasks[[#This Row],[_IsMilestone]]),N(Tasks[[#This Row],[Progress]])&gt;0),Tasks[[#This Row],[Start]],0))</f>
        <v>0</v>
      </c>
      <c r="GV18" s="91" t="n">
        <f aca="false">IF(Tasks[[#This Row],[_DoneFrom]]=0,0,IF(Tasks[[#This Row],[Progress]]&gt;=1,Tasks[[#This Row],[Finish]],MAX(Tasks[[#This Row],[_DoneFrom]],Tasks[[#This Row],[Start]]+ROUND((Tasks[[#This Row],[Finish]]-Tasks[[#This Row],[Start]]+1)*Tasks[[#This Row],[Progress]],0)-1)))</f>
        <v>0</v>
      </c>
      <c r="GW18" s="91" t="n">
        <f aca="false">IF(Tasks[[#This Row],[Task Name]]="",0,IF(OR(NOT(Tasks[[#This Row],[_IsLeaf]]=1),Tasks[[#This Row],[_IsMilestone]],N(Tasks[[#This Row],[Progress]])&gt;=1),0,IF(Tasks[[#This Row],[_DoneTo]]&gt;0,Tasks[[#This Row],[_DoneTo]]+1,Tasks[[#This Row],[Start]])))</f>
        <v>0</v>
      </c>
      <c r="GX18" s="91" t="n">
        <f aca="false">IF(Tasks[[#This Row],[_RemFrom]]=0,0,Tasks[[#This Row],[Finish]])</f>
        <v>0</v>
      </c>
      <c r="GY18" s="90" t="b">
        <f aca="false">IF(Tasks[[#This Row],[Task Name]]="",FALSE(),OR(NOT(BaselineSet),N(Tasks[[#This Row],[Baseline Start]])&gt;0))</f>
        <v>0</v>
      </c>
      <c r="GZ1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 s="92" t="str">
        <f aca="false">IF(Tasks[[#This Row],[_IsLeaf]]=1,Tasks[[#This Row],[_Row]],"")</f>
        <v/>
      </c>
      <c r="HD18" s="92" t="str">
        <f aca="false">IFERROR(INDEX(Tasks[UID],SMALL(Tasks[_PickKey],Tasks[[#This Row],[_Row]]))&amp;" "&amp;INDEX(Tasks[Task Name],SMALL(Tasks[_PickKey],Tasks[[#This Row],[_Row]])),"")</f>
        <v/>
      </c>
      <c r="HE18" s="43" t="str">
        <f aca="false">IF(Tasks[[#This Row],[Task Name]]="","",IF(Tasks[[#This Row],[_IsSummary]],NETWORKDAYS.INTL(Tasks[[#This Row],[Start]],Tasks[[#This Row],[Finish]],WorkWeek,Holidays),N(Tasks[[#This Row],[_Days]])))</f>
        <v/>
      </c>
      <c r="HF18" s="43" t="n">
        <f aca="false">IF(Tasks[[#This Row],[Expected]]="",0,((Tasks[[#This Row],[Pessimistic]]-Tasks[[#This Row],[Optimistic]])/6)^2)</f>
        <v>0</v>
      </c>
      <c r="HG18" s="43" t="n">
        <f aca="false">IF(Tasks[[#This Row],[Expected]]="",0,Tasks[[#This Row],[Expected]]-N(Tasks[[#This Row],[_Days]]))</f>
        <v>0</v>
      </c>
    </row>
    <row r="19" customFormat="false" ht="15" hidden="false" customHeight="false" outlineLevel="0" collapsed="false">
      <c r="A19" s="21" t="str">
        <f aca="false">IF(Tasks[[#This Row],[Task Name]]="","",COUNTA(Tasks[[#Headers],[Task Name]]:Tasks[[#This Row],[Task Name]])-1)</f>
        <v/>
      </c>
      <c r="B19" s="22" t="n">
        <v>27</v>
      </c>
      <c r="C19" s="22"/>
      <c r="D19" s="23"/>
      <c r="E19" s="22"/>
      <c r="F19" s="23"/>
      <c r="G19" s="22"/>
      <c r="H19" s="22"/>
      <c r="I19" s="23"/>
      <c r="J19" s="22"/>
      <c r="K19" s="22"/>
      <c r="L19" s="23"/>
      <c r="M19" s="22"/>
      <c r="N19" s="22"/>
      <c r="O19" s="23"/>
      <c r="P19" s="22"/>
      <c r="Q19" s="22"/>
      <c r="R19" s="23"/>
      <c r="S19" s="23"/>
      <c r="T19" s="84"/>
      <c r="U19" s="23"/>
      <c r="V19" s="84"/>
      <c r="W19" s="23"/>
      <c r="X19" s="84"/>
      <c r="Y19" s="23"/>
      <c r="Z19" s="84"/>
      <c r="AA19" s="23"/>
      <c r="AB19" s="23"/>
      <c r="AC19" s="7"/>
      <c r="AD19" s="7"/>
      <c r="AE19" s="63" t="str">
        <f aca="false">IF(Tasks[[#This Row],[Task Name]]="","",IF(Tasks[[#This Row],[_IsSummary]],MIN(INDEX(Tasks[_ShownFcstStart],Tasks[[#This Row],[_Row]]+1):INDEX(Tasks[_ShownFcstStart],Tasks[[#This Row],[_Row]]+Tasks[[#This Row],[_Descendants]])),Tasks[[#This Row],[_ShownFcstStart]]))</f>
        <v/>
      </c>
      <c r="AF19" s="63" t="str">
        <f aca="false">IF(Tasks[[#This Row],[Task Name]]="","",IF(Tasks[[#This Row],[_IsSummary]],MAX(INDEX(Tasks[_ShownFcstFinish],Tasks[[#This Row],[_Row]]+1):INDEX(Tasks[_ShownFcstFinish],Tasks[[#This Row],[_Row]]+Tasks[[#This Row],[_Descendants]])),Tasks[[#This Row],[_ShownFcstFinish]]))</f>
        <v/>
      </c>
      <c r="AG19" s="21" t="str">
        <f aca="false">""</f>
        <v/>
      </c>
      <c r="AH19" s="23"/>
      <c r="AI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 s="7"/>
      <c r="AK19" s="22"/>
      <c r="AL19" s="23"/>
      <c r="AM19" s="7"/>
      <c r="AN19" s="47" t="str">
        <f aca="false">IF(Tasks[[#This Row],[Task Name]]="","",IF(Tasks[[#This Row],[Finish]]&gt;=Tasks[[#This Row],[Planned Finish]],NETWORKDAYS.INTL(Tasks[[#This Row],[Planned Finish]],Tasks[[#This Row],[Finish]],WorkWeek,Holidays)-1,1-NETWORKDAYS.INTL(Tasks[[#This Row],[Finish]],Tasks[[#This Row],[Planned Finish]],WorkWeek,Holidays)))</f>
        <v/>
      </c>
      <c r="AO19" s="21" t="str">
        <f aca="false">IF(Tasks[[#This Row],[Task Name]]="","",IF(Tasks[[#This Row],[Progress]]&gt;=1,"Complete",IF(OR(N(Tasks[[#This Row],[Actual Start]])&gt;0,Tasks[[#This Row],[Progress]]&gt;0),IF(Tasks[[#This Row],[Finish Var]]&gt;0,"Behind","In Progress"),IF(Tasks[[#This Row],[Planned Start]]&lt;StatusDate,"Late Start","Not Started"))))</f>
        <v/>
      </c>
      <c r="AP19" s="21" t="str">
        <f aca="false">IF(Tasks[[#This Row],[Task Name]]="","",IF(IF(Tasks[[#This Row],[_IsSummary]],COUNTIF(INDEX(Tasks[_LeafCritical],Tasks[[#This Row],[_Row]]+1):INDEX(Tasks[_LeafCritical],Tasks[[#This Row],[_Row]]+Tasks[[#This Row],[_Descendants]]),TRUE())&gt;0,Tasks[[#This Row],[_LeafCritical]]),"Yes",""))</f>
        <v/>
      </c>
      <c r="AQ19" s="63" t="str">
        <f aca="false">IF(Tasks[[#This Row],[Task Name]]="","",IF(N(Tasks[[#This Row],[Baseline Start]])&gt;0,Tasks[[#This Row],[Baseline Start]],Tasks[[#This Row],[_CalcStart]]))</f>
        <v/>
      </c>
      <c r="AR19" s="63" t="str">
        <f aca="false">IF(Tasks[[#This Row],[Task Name]]="","",IF(N(Tasks[[#This Row],[Baseline Finish]])&gt;0,Tasks[[#This Row],[Baseline Finish]],Tasks[[#This Row],[_CalcFinish]]))</f>
        <v/>
      </c>
      <c r="AS19" s="47" t="str">
        <f aca="false">IF(Tasks[[#This Row],[Task Name]]="","",IF(Tasks[[#This Row],[Start]]&gt;=Tasks[[#This Row],[Planned Start]],NETWORKDAYS.INTL(Tasks[[#This Row],[Planned Start]],Tasks[[#This Row],[Start]],WorkWeek,Holidays)-1,1-NETWORKDAYS.INTL(Tasks[[#This Row],[Start]],Tasks[[#This Row],[Planned Start]],WorkWeek,Holidays)))</f>
        <v/>
      </c>
      <c r="AT19" s="63" t="str">
        <f aca="false">IF(Tasks[[#This Row],[Task Name]]="","",IF(Tasks[[#This Row],[_IsSummary]],MIN(INDEX(Tasks[_LeafLateStart],Tasks[[#This Row],[_Row]]+1):INDEX(Tasks[_LeafLateStart],Tasks[[#This Row],[_Row]]+Tasks[[#This Row],[_Descendants]])),Tasks[[#This Row],[_LeafLateStart]]))</f>
        <v/>
      </c>
      <c r="AU19" s="63" t="str">
        <f aca="false">IF(Tasks[[#This Row],[Task Name]]="","",IF(Tasks[[#This Row],[_IsSummary]],MAX(INDEX(Tasks[_LeafLateFinish],Tasks[[#This Row],[_Row]]+1):INDEX(Tasks[_LeafLateFinish],Tasks[[#This Row],[_Row]]+Tasks[[#This Row],[_Descendants]])),Tasks[[#This Row],[_LeafLateFinish]]))</f>
        <v/>
      </c>
      <c r="AV19" s="47" t="str">
        <f aca="false">IF(Tasks[[#This Row],[Task Name]]="","",IF(Tasks[[#This Row],[_IsSummary]],MIN(INDEX(Tasks[_LeafTotalSlack],Tasks[[#This Row],[_Row]]+1):INDEX(Tasks[_LeafTotalSlack],Tasks[[#This Row],[_Row]]+Tasks[[#This Row],[_Descendants]])),Tasks[[#This Row],[_LeafTotalSlack]]))</f>
        <v/>
      </c>
      <c r="AW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5"/>
      <c r="BA1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1" t="str">
        <f aca="false">IF(Tasks[[#This Row],[Task Name]]="","",IF(Tasks[[#This Row],[_Level]]&lt;=OutlineShowLevel,"Yes","No"))</f>
        <v/>
      </c>
      <c r="BE19" s="86" t="str">
        <f aca="false">IF(Tasks[[#This Row],[Task Name]]="","",IF(Tasks[[#This Row],[_IsSummary]],SUM(INDEX(Tasks[_LeafTotalWork],Tasks[[#This Row],[_Row]]+1):INDEX(Tasks[_LeafTotalWork],Tasks[[#This Row],[_Row]]+Tasks[[#This Row],[_Descendants]])),Tasks[[#This Row],[_LeafTotalWork]]))</f>
        <v/>
      </c>
      <c r="BF19" s="23"/>
      <c r="BG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 s="21" t="str">
        <f aca="false">""</f>
        <v/>
      </c>
      <c r="BI19" s="87"/>
      <c r="BJ19" s="22"/>
      <c r="BK19" s="47" t="str">
        <f aca="false">IF(OR(Tasks[[#This Row],[Task Name]]="",Tasks[[#This Row],[Baseline Duration]]=""),"",Tasks[[#This Row],[_SpanDays]]-N(Tasks[[#This Row],[Baseline Duration]]))</f>
        <v/>
      </c>
      <c r="BL19" s="86" t="str">
        <f aca="false">IF(OR(Tasks[[#This Row],[Task Name]]="",Tasks[[#This Row],[Baseline Work]]=""),"",Tasks[[#This Row],[Work]]-N(Tasks[[#This Row],[Baseline Work]]))</f>
        <v/>
      </c>
      <c r="BM19" s="63" t="str">
        <f aca="false">IF(Tasks[[#This Row],[Task Name]]="","",IF(OR(TakeBaseline="Yes",N(Tasks[[#This Row],[Baseline Start]])=0),Tasks[[#This Row],[Start]],Tasks[[#This Row],[Baseline Start]]))</f>
        <v/>
      </c>
      <c r="BN19" s="63" t="str">
        <f aca="false">IF(Tasks[[#This Row],[Task Name]]="","",IF(OR(TakeBaseline="Yes",N(Tasks[[#This Row],[Baseline Finish]])=0),Tasks[[#This Row],[Finish]],Tasks[[#This Row],[Baseline Finish]]))</f>
        <v/>
      </c>
      <c r="BO19" s="21" t="str">
        <f aca="false">IF(Tasks[[#This Row],[Task Name]]="","",IF(OR(TakeBaseline="Yes",N(Tasks[[#This Row],[Baseline Duration]])=0),Tasks[[#This Row],[_SpanDays]],Tasks[[#This Row],[Baseline Duration]]))</f>
        <v/>
      </c>
      <c r="BP19" s="86" t="str">
        <f aca="false">IF(Tasks[[#This Row],[Task Name]]="","",IF(OR(TakeBaseline="Yes",N(Tasks[[#This Row],[Baseline Work]])=0),Tasks[[#This Row],[Work]],Tasks[[#This Row],[Baseline Work]]))</f>
        <v/>
      </c>
      <c r="BQ19" s="7"/>
      <c r="BR19" s="7"/>
      <c r="BS19" s="22"/>
      <c r="BT19" s="88"/>
      <c r="BU19" s="23"/>
      <c r="BV19" s="23"/>
      <c r="BW19" s="23"/>
      <c r="BX19" s="89" t="str">
        <f aca="false">IF(AND(Tasks[[#This Row],[_IsLeaf]]=1,ISNUMBER(Tasks[[#This Row],[Optimistic]]),ISNUMBER(Tasks[[#This Row],[Pessimistic]])),ROUND((Tasks[[#This Row],[Optimistic]]+4*N(Tasks[[#This Row],[_Days]])+Tasks[[#This Row],[Pessimistic]])/6,1),"")</f>
        <v/>
      </c>
      <c r="BY19" s="87"/>
      <c r="BZ19" s="87"/>
      <c r="CA19" s="22"/>
      <c r="CB19" s="43" t="str">
        <f aca="false">IF(Tasks[[#This Row],[Task Name]]="","",MAX(1,N(Tasks[[#This Row],[Level]])))</f>
        <v/>
      </c>
      <c r="CC19" s="43" t="n">
        <f aca="false">ROW()-ROW(Tasks[[#Headers],[ID]])</f>
        <v>14</v>
      </c>
      <c r="CD19" s="43" t="n">
        <f aca="false">IF(OR(Tasks[[#This Row],[Task Name]]="",Tasks[[#This Row],[_Level]]&lt;=1),0,IFERROR(LOOKUP(2,1/(Tasks[[#Headers],[_Level]]:Tasks[[#This Row],[_Level]]=Tasks[[#This Row],[_Level]]-1),ROW(Tasks[[#Headers],[_Level]]:Tasks[[#This Row],[_Level]])),0))</f>
        <v>0</v>
      </c>
      <c r="CE19" s="43" t="n">
        <f aca="false">IFERROR(N(INDEX(Tasks[_Level],Tasks[[#This Row],[_Row]]+1)),0)</f>
        <v>0</v>
      </c>
      <c r="CF19" s="90" t="b">
        <f aca="false">AND(Tasks[[#This Row],[Task Name]]&lt;&gt;"",Tasks[[#This Row],[_NextLevel]]&gt;Tasks[[#This Row],[_Level]])</f>
        <v>0</v>
      </c>
      <c r="CG19" s="43" t="n">
        <f aca="false">IF(Tasks[[#This Row],[_IsSummary]],COUNTIF(Tasks[WBS],Tasks[[#This Row],[WBS]]&amp;".*"),0)</f>
        <v>0</v>
      </c>
      <c r="CH19" s="43" t="n">
        <f aca="false">IF(AND(Tasks[[#This Row],[Task Name]]&lt;&gt;"",NOT(Tasks[[#This Row],[_IsSummary]])),1,0)</f>
        <v>0</v>
      </c>
      <c r="CI19" s="43" t="n">
        <f aca="false">IF(N(Tasks[[#This Row],[_Pred1UID]])=0,0,IFERROR(MATCH(Tasks[[#This Row],[_Pred1UID]],Tasks[UID],0),-1))</f>
        <v>0</v>
      </c>
      <c r="CJ19" s="43" t="n">
        <f aca="false">IF(N(Tasks[[#This Row],[_Pred2UID]])=0,0,IFERROR(MATCH(Tasks[[#This Row],[_Pred2UID]],Tasks[UID],0),-1))</f>
        <v>0</v>
      </c>
      <c r="CK19" s="43" t="n">
        <f aca="false">IF(N(Tasks[[#This Row],[_Pred3UID]])=0,0,IFERROR(MATCH(Tasks[[#This Row],[_Pred3UID]],Tasks[UID],0),-1))</f>
        <v>0</v>
      </c>
      <c r="CL19" s="43" t="n">
        <f aca="false">IF(N(Tasks[[#This Row],[_Pred4UID]])=0,0,IFERROR(MATCH(Tasks[[#This Row],[_Pred4UID]],Tasks[UID],0),-1))</f>
        <v>0</v>
      </c>
      <c r="CM1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 s="91" t="n">
        <f aca="false">IF(OR(Tasks[[#This Row],[_ConstraintCode]]=2,Tasks[[#This Row],[_ConstraintCode]]=3,Tasks[[#This Row],[_ConstraintCode]]=4,Tasks[[#This Row],[_ConstraintCode]]=6),Tasks[[#This Row],[_ConstraintStart]],0)</f>
        <v>0</v>
      </c>
      <c r="CP19" s="91" t="n">
        <f aca="false">IF(OR(Tasks[[#This Row],[_ConstraintCode]]=2,Tasks[[#This Row],[_ConstraintCode]]=3,Tasks[[#This Row],[_ConstraintCode]]=5,Tasks[[#This Row],[_ConstraintCode]]=7),Tasks[[#This Row],[_ConstraintStart]],2958465)</f>
        <v>2958465</v>
      </c>
      <c r="CQ1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 s="91" t="str">
        <f aca="false">IF(NOT(Tasks[[#This Row],[_IsLeaf]]=1),"",IF(N(Tasks[[#This Row],[_Days]])&lt;=0,Tasks[[#This Row],[_LeafCalcStart]],WORKDAY.INTL(Tasks[[#This Row],[_LeafCalcStart]],Tasks[[#This Row],[_Days]]-1,WorkWeek,Holidays)))</f>
        <v/>
      </c>
      <c r="CS1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 s="43" t="str">
        <f aca="false">IF(Tasks[[#This Row],[_Predecessors]]="","",TRIM(MID(SUBSTITUTE(SUBSTITUTE(SUBSTITUTE(UPPER(Tasks[[#This Row],[_Predecessors]]),";",",")," ",""),",",REPT(" ",99)),1,99)))</f>
        <v/>
      </c>
      <c r="CV19" s="43" t="str">
        <f aca="false">IF(Tasks[[#This Row],[_Pred1Text]]="","",IFERROR(VALUE(LEFT(Tasks[[#This Row],[_Pred1Text]],MIN(FIND("F",Tasks[[#This Row],[_Pred1Text]]&amp;"F"),FIND("S",Tasks[[#This Row],[_Pred1Text]]&amp;"S"),FIND("+",Tasks[[#This Row],[_Pred1Text]]&amp;"+"),FIND("-",Tasks[[#This Row],[_Pred1Text]]&amp;"-"))-1)),""))</f>
        <v/>
      </c>
      <c r="CW1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 s="43" t="str">
        <f aca="false">IF(Tasks[[#This Row],[_Pred1Text]]="","",TRIM(MID(SUBSTITUTE(SUBSTITUTE(SUBSTITUTE(UPPER(Tasks[[#This Row],[_Predecessors]]),";",",")," ",""),",",REPT(" ",99)),100,99)))</f>
        <v/>
      </c>
      <c r="CZ19" s="43" t="str">
        <f aca="false">IF(Tasks[[#This Row],[_Pred2Text]]="","",IFERROR(VALUE(LEFT(Tasks[[#This Row],[_Pred2Text]],MIN(FIND("F",Tasks[[#This Row],[_Pred2Text]]&amp;"F"),FIND("S",Tasks[[#This Row],[_Pred2Text]]&amp;"S"),FIND("+",Tasks[[#This Row],[_Pred2Text]]&amp;"+"),FIND("-",Tasks[[#This Row],[_Pred2Text]]&amp;"-"))-1)),""))</f>
        <v/>
      </c>
      <c r="DA1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 s="43" t="str">
        <f aca="false">IF(Tasks[[#This Row],[_Pred2Text]]="","",TRIM(MID(SUBSTITUTE(SUBSTITUTE(SUBSTITUTE(UPPER(Tasks[[#This Row],[_Predecessors]]),";",",")," ",""),",",REPT(" ",99)),199,99)))</f>
        <v/>
      </c>
      <c r="DD19" s="43" t="str">
        <f aca="false">IF(Tasks[[#This Row],[_Pred3Text]]="","",IFERROR(VALUE(LEFT(Tasks[[#This Row],[_Pred3Text]],MIN(FIND("F",Tasks[[#This Row],[_Pred3Text]]&amp;"F"),FIND("S",Tasks[[#This Row],[_Pred3Text]]&amp;"S"),FIND("+",Tasks[[#This Row],[_Pred3Text]]&amp;"+"),FIND("-",Tasks[[#This Row],[_Pred3Text]]&amp;"-"))-1)),""))</f>
        <v/>
      </c>
      <c r="DE1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 s="43" t="str">
        <f aca="false">IF(Tasks[[#This Row],[_Pred3Text]]="","",TRIM(MID(SUBSTITUTE(SUBSTITUTE(SUBSTITUTE(UPPER(Tasks[[#This Row],[_Predecessors]]),";",",")," ",""),",",REPT(" ",99)),298,99)))</f>
        <v/>
      </c>
      <c r="DH19" s="43" t="str">
        <f aca="false">IF(Tasks[[#This Row],[_Pred4Text]]="","",IFERROR(VALUE(LEFT(Tasks[[#This Row],[_Pred4Text]],MIN(FIND("F",Tasks[[#This Row],[_Pred4Text]]&amp;"F"),FIND("S",Tasks[[#This Row],[_Pred4Text]]&amp;"S"),FIND("+",Tasks[[#This Row],[_Pred4Text]]&amp;"+"),FIND("-",Tasks[[#This Row],[_Pred4Text]]&amp;"-"))-1)),""))</f>
        <v/>
      </c>
      <c r="DI1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 s="43" t="str">
        <f aca="false">IF(OR(Tasks[[#This Row],[Task Name]]="",Tasks[[#This Row],[_Resources]]=""),"",TRIM(MID(SUBSTITUTE(Tasks[[#This Row],[_Resources]],",",REPT(" ",99)),1,99)))</f>
        <v/>
      </c>
      <c r="DL19" s="43" t="str">
        <f aca="false">IF(Tasks[[#This Row],[_Res1Text]]="","",TRIM(MID(SUBSTITUTE(Tasks[[#This Row],[_Resources]],",",REPT(" ",99)),100,99)))</f>
        <v/>
      </c>
      <c r="DM19" s="43" t="str">
        <f aca="false">IF(Tasks[[#This Row],[_Res2Text]]="","",TRIM(MID(SUBSTITUTE(Tasks[[#This Row],[_Resources]],",",REPT(" ",99)),199,99)))</f>
        <v/>
      </c>
      <c r="DN19" s="43" t="str">
        <f aca="false">IF(Tasks[[#This Row],[_Res3Text]]="","",TRIM(MID(SUBSTITUTE(Tasks[[#This Row],[_Resources]],",",REPT(" ",99)),298,99)))</f>
        <v/>
      </c>
      <c r="DO19" s="43" t="n">
        <f aca="false">IF(Tasks[[#This Row],[_Res1Text]]="",0,IFERROR(MATCH(TRIM(LEFT(Tasks[[#This Row],[_Res1Text]],FIND("[",Tasks[[#This Row],[_Res1Text]]&amp;"[")-1)),res_Name,0),IFERROR(MATCH(TRIM(LEFT(Tasks[[#This Row],[_Res1Text]],FIND("[",Tasks[[#This Row],[_Res1Text]]&amp;"[")-1)),res_Initials,0),0)))</f>
        <v>0</v>
      </c>
      <c r="DP19" s="43" t="n">
        <f aca="false">IF(Tasks[[#This Row],[_Res2Text]]="",0,IFERROR(MATCH(TRIM(LEFT(Tasks[[#This Row],[_Res2Text]],FIND("[",Tasks[[#This Row],[_Res2Text]]&amp;"[")-1)),res_Name,0),IFERROR(MATCH(TRIM(LEFT(Tasks[[#This Row],[_Res2Text]],FIND("[",Tasks[[#This Row],[_Res2Text]]&amp;"[")-1)),res_Initials,0),0)))</f>
        <v>0</v>
      </c>
      <c r="DQ19" s="43" t="n">
        <f aca="false">IF(Tasks[[#This Row],[_Res3Text]]="",0,IFERROR(MATCH(TRIM(LEFT(Tasks[[#This Row],[_Res3Text]],FIND("[",Tasks[[#This Row],[_Res3Text]]&amp;"[")-1)),res_Name,0),IFERROR(MATCH(TRIM(LEFT(Tasks[[#This Row],[_Res3Text]],FIND("[",Tasks[[#This Row],[_Res3Text]]&amp;"[")-1)),res_Initials,0),0)))</f>
        <v>0</v>
      </c>
      <c r="DR19" s="43" t="n">
        <f aca="false">IF(Tasks[[#This Row],[_Res4Text]]="",0,IFERROR(MATCH(TRIM(LEFT(Tasks[[#This Row],[_Res4Text]],FIND("[",Tasks[[#This Row],[_Res4Text]]&amp;"[")-1)),res_Name,0),IFERROR(MATCH(TRIM(LEFT(Tasks[[#This Row],[_Res4Text]],FIND("[",Tasks[[#This Row],[_Res4Text]]&amp;"[")-1)),res_Initials,0),0)))</f>
        <v>0</v>
      </c>
      <c r="DS19" s="43" t="str">
        <f aca="false">IF(Tasks[[#This Row],[_Res1Text]]="","",IF(Tasks[[#This Row],[_Res1Row]]&gt;0,INDEX(res_Name,Tasks[[#This Row],[_Res1Row]]),TRIM(LEFT(Tasks[[#This Row],[_Res1Text]],FIND("[",Tasks[[#This Row],[_Res1Text]]&amp;"[")-1))))</f>
        <v/>
      </c>
      <c r="DT1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 s="43" t="n">
        <f aca="false">IF(NOT(Tasks[[#This Row],[_IsLeaf]]=1),0,(Tasks[[#This Row],[_Resource1]]&lt;&gt;"")+(Tasks[[#This Row],[_Res2]]&lt;&gt;"")+(Tasks[[#This Row],[_Res3]]&lt;&gt;"")+(Tasks[[#This Row],[_Res4]]&lt;&gt;""))</f>
        <v>0</v>
      </c>
      <c r="DV19" s="43" t="str">
        <f aca="false">IF(Tasks[[#This Row],[_Res2Text]]="","",IF(Tasks[[#This Row],[_Res2Row]]&gt;0,INDEX(res_Name,Tasks[[#This Row],[_Res2Row]]),TRIM(LEFT(Tasks[[#This Row],[_Res2Text]],FIND("[",Tasks[[#This Row],[_Res2Text]]&amp;"[")-1))))</f>
        <v/>
      </c>
      <c r="DW1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 s="43" t="n">
        <f aca="false">IF(OR(NOT(Tasks[[#This Row],[_IsLeaf]]=1),Tasks[[#This Row],[_Res2Row]]=0),0,N(Tasks[[#This Row],[_Days]])*HoursPerDay*IF(Tasks[[#This Row],[_Res2Units]]="",DefaultUnits,Tasks[[#This Row],[_Res2Units]]))</f>
        <v>0</v>
      </c>
      <c r="DY19" s="43" t="n">
        <f aca="false">IF(AND(AND(Tasks[[#This Row],[_IsLeaf]]=1,Tasks[[#This Row],[_LeafTotalWork]]&gt;0),Tasks[[#This Row],[_Res2Work]]&gt;0),Tasks[[#This Row],[_Res2Work]]/(Tasks[[#This Row],[_FinishWorkday]]-Tasks[[#This Row],[_StartWorkday]]+1),0)</f>
        <v>0</v>
      </c>
      <c r="DZ19" s="43" t="n">
        <f aca="false">Tasks[[#This Row],[_Res2WorkPerWD]]*MAX(0,Tasks[[#This Row],[_StartWorkday]]-1)</f>
        <v>0</v>
      </c>
      <c r="EA19" s="43" t="n">
        <f aca="false">Tasks[[#This Row],[_Res2Work]]*Tasks[[#This Row],[_LeafProgress]]</f>
        <v>0</v>
      </c>
      <c r="EB19" s="43" t="str">
        <f aca="false">IF(Tasks[[#This Row],[_Res3Text]]="","",IF(Tasks[[#This Row],[_Res3Row]]&gt;0,INDEX(res_Name,Tasks[[#This Row],[_Res3Row]]),TRIM(LEFT(Tasks[[#This Row],[_Res3Text]],FIND("[",Tasks[[#This Row],[_Res3Text]]&amp;"[")-1))))</f>
        <v/>
      </c>
      <c r="EC1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 s="43" t="n">
        <f aca="false">IF(OR(NOT(Tasks[[#This Row],[_IsLeaf]]=1),Tasks[[#This Row],[_Res3Row]]=0),0,N(Tasks[[#This Row],[_Days]])*HoursPerDay*IF(Tasks[[#This Row],[_Res3Units]]="",DefaultUnits,Tasks[[#This Row],[_Res3Units]]))</f>
        <v>0</v>
      </c>
      <c r="EE19" s="43" t="n">
        <f aca="false">IF(AND(AND(Tasks[[#This Row],[_IsLeaf]]=1,Tasks[[#This Row],[_LeafTotalWork]]&gt;0),Tasks[[#This Row],[_Res3Work]]&gt;0),Tasks[[#This Row],[_Res3Work]]/(Tasks[[#This Row],[_FinishWorkday]]-Tasks[[#This Row],[_StartWorkday]]+1),0)</f>
        <v>0</v>
      </c>
      <c r="EF19" s="43" t="n">
        <f aca="false">Tasks[[#This Row],[_Res3WorkPerWD]]*MAX(0,Tasks[[#This Row],[_StartWorkday]]-1)</f>
        <v>0</v>
      </c>
      <c r="EG19" s="43" t="n">
        <f aca="false">Tasks[[#This Row],[_Res3Work]]*Tasks[[#This Row],[_LeafProgress]]</f>
        <v>0</v>
      </c>
      <c r="EH19" s="43" t="str">
        <f aca="false">IF(Tasks[[#This Row],[_Res4Text]]="","",IF(Tasks[[#This Row],[_Res4Row]]&gt;0,INDEX(res_Name,Tasks[[#This Row],[_Res4Row]]),TRIM(LEFT(Tasks[[#This Row],[_Res4Text]],FIND("[",Tasks[[#This Row],[_Res4Text]]&amp;"[")-1))))</f>
        <v/>
      </c>
      <c r="EI1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 s="43" t="n">
        <f aca="false">IF(OR(NOT(Tasks[[#This Row],[_IsLeaf]]=1),Tasks[[#This Row],[_Res4Row]]=0),0,N(Tasks[[#This Row],[_Days]])*HoursPerDay*IF(Tasks[[#This Row],[_Res4Units]]="",DefaultUnits,Tasks[[#This Row],[_Res4Units]]))</f>
        <v>0</v>
      </c>
      <c r="EK19" s="43" t="n">
        <f aca="false">IF(AND(AND(Tasks[[#This Row],[_IsLeaf]]=1,Tasks[[#This Row],[_LeafTotalWork]]&gt;0),Tasks[[#This Row],[_Res4Work]]&gt;0),Tasks[[#This Row],[_Res4Work]]/(Tasks[[#This Row],[_FinishWorkday]]-Tasks[[#This Row],[_StartWorkday]]+1),0)</f>
        <v>0</v>
      </c>
      <c r="EL19" s="43" t="n">
        <f aca="false">Tasks[[#This Row],[_Res4WorkPerWD]]*MAX(0,Tasks[[#This Row],[_StartWorkday]]-1)</f>
        <v>0</v>
      </c>
      <c r="EM19" s="43" t="n">
        <f aca="false">Tasks[[#This Row],[_Res4Work]]*Tasks[[#This Row],[_LeafProgress]]</f>
        <v>0</v>
      </c>
      <c r="EN19" s="43" t="n">
        <f aca="false">IF(ISNUMBER(Tasks[[#This Row],[% Complete]]),Tasks[[#This Row],[% Complete]],IF(Tasks[[#This Row],[Stage]]="",0,IFERROR(INDEX(stg_Pct,MATCH(Tasks[[#This Row],[Stage]],stg_Name,0)),0)))</f>
        <v>0</v>
      </c>
      <c r="EO19" s="43" t="n">
        <f aca="false">IF(NOT(Tasks[[#This Row],[_IsLeaf]]=1),0,IF(N(Tasks[[#This Row],[Actual Finish]])&gt;0,1,MIN(1,Tasks[[#This Row],[_Pct]])))</f>
        <v>0</v>
      </c>
      <c r="EP19" s="43" t="n">
        <f aca="false">IF(OR(NOT(Tasks[[#This Row],[_IsLeaf]]=1),Tasks[[#This Row],[_Res1Row]]=0),0,N(Tasks[[#This Row],[_Days]])*HoursPerDay*IF(Tasks[[#This Row],[_Units1]]="",DefaultUnits,Tasks[[#This Row],[_Units1]]))</f>
        <v>0</v>
      </c>
      <c r="EQ19" s="43" t="n">
        <f aca="false">Tasks[[#This Row],[_LeafWork]]+Tasks[[#This Row],[_Res2Work]]+Tasks[[#This Row],[_Res3Work]]+Tasks[[#This Row],[_Res4Work]]</f>
        <v>0</v>
      </c>
      <c r="ER1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 s="43" t="n">
        <f aca="false">IF(NOT(Tasks[[#This Row],[_IsLeaf]]=1),0,MAX(_xlfn.MAXIFS(Tasks[_Row],Tasks[_Pred1UID],Tasks[[#This Row],[UID]]),_xlfn.MAXIFS(Tasks[_Row],Tasks[_Pred2UID],Tasks[[#This Row],[UID]]),_xlfn.MAXIFS(Tasks[_Row],Tasks[_Pred3UID],Tasks[[#This Row],[UID]]),_xlfn.MAXIFS(Tasks[_Row],Tasks[_Pred4UID],Tasks[[#This Row],[UID]])))</f>
        <v>0</v>
      </c>
      <c r="FA1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 s="91" t="str">
        <f aca="false">IF(NOT(Tasks[[#This Row],[_IsLeaf]]=1),"",IF(N(Tasks[[#This Row],[_Days]])&lt;=0,Tasks[[#This Row],[_LeafLateFinish]],WORKDAY.INTL(Tasks[[#This Row],[_LeafLateFinish]],-(Tasks[[#This Row],[_Days]]-1),WorkWeek,Holidays)))</f>
        <v/>
      </c>
      <c r="FD1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 s="90" t="b">
        <f aca="false">AND(Tasks[[#This Row],[_IsLeaf]]=1,Tasks[[#This Row],[_LeafProgress]]&lt;1,N(Tasks[[#This Row],[_LeafTotalSlack]])&lt;=CriticalSlackDays)</f>
        <v>0</v>
      </c>
      <c r="FF19" s="43" t="n">
        <f aca="false">IF(AND(Tasks[[#This Row],[_IsLeaf]]=1,Tasks[[#This Row],[_ConstraintCode]]=1,Tasks[[#This Row],[Mode]]&lt;&gt;"Manual",N(Tasks[[#This Row],[Actual Start]])=0),MAX(0,N(Tasks[[#This Row],[Free Slack]])),0)</f>
        <v>0</v>
      </c>
      <c r="FG19" s="91" t="str">
        <f aca="false">IF(NOT(Tasks[[#This Row],[_IsLeaf]]=1),"",IF(Tasks[[#This Row],[_AlapShift]]=0,Tasks[[#This Row],[_LeafCalcStart]],WORKDAY.INTL(Tasks[[#This Row],[_LeafCalcStart]],Tasks[[#This Row],[_AlapShift]],WorkWeek,Holidays)))</f>
        <v/>
      </c>
      <c r="FH19" s="91" t="str">
        <f aca="false">IF(NOT(Tasks[[#This Row],[_IsLeaf]]=1),"",IF(Tasks[[#This Row],[_AlapShift]]=0,Tasks[[#This Row],[_LeafCalcFinish]],WORKDAY.INTL(Tasks[[#This Row],[_LeafCalcFinish]],Tasks[[#This Row],[_AlapShift]],WorkWeek,Holidays)))</f>
        <v/>
      </c>
      <c r="FI19" s="91" t="str">
        <f aca="false">IF(NOT(Tasks[[#This Row],[_IsLeaf]]=1),"",IF(Tasks[[#This Row],[_AlapShift]]=0,Tasks[[#This Row],[_LeafFcstStart]],WORKDAY.INTL(Tasks[[#This Row],[_LeafFcstStart]],Tasks[[#This Row],[_AlapShift]],WorkWeek,Holidays)))</f>
        <v/>
      </c>
      <c r="FJ19" s="91" t="str">
        <f aca="false">IF(NOT(Tasks[[#This Row],[_IsLeaf]]=1),"",IF(Tasks[[#This Row],[_AlapShift]]=0,Tasks[[#This Row],[_LeafFcstFinish]],WORKDAY.INTL(Tasks[[#This Row],[_LeafFcstFinish]],Tasks[[#This Row],[_AlapShift]],WorkWeek,Holidays)))</f>
        <v/>
      </c>
      <c r="FK19" s="91" t="str">
        <f aca="false">IF(Tasks[[#This Row],[Task Name]]="","",IF(Tasks[[#This Row],[_IsSummary]],MIN(INDEX(Tasks[_ShownCalcStart],Tasks[[#This Row],[_Row]]+1):INDEX(Tasks[_ShownCalcStart],Tasks[[#This Row],[_Row]]+Tasks[[#This Row],[_Descendants]])),Tasks[[#This Row],[_ShownCalcStart]]))</f>
        <v/>
      </c>
      <c r="FL19" s="91" t="str">
        <f aca="false">IF(Tasks[[#This Row],[Task Name]]="","",IF(Tasks[[#This Row],[_IsSummary]],MAX(INDEX(Tasks[_ShownCalcFinish],Tasks[[#This Row],[_Row]]+1):INDEX(Tasks[_ShownCalcFinish],Tasks[[#This Row],[_Row]]+Tasks[[#This Row],[_Descendants]])),Tasks[[#This Row],[_ShownCalcFinish]]))</f>
        <v/>
      </c>
      <c r="FM1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 s="43" t="n">
        <f aca="false">IF(AND(Tasks[[#This Row],[_IsLeaf]]=1,Tasks[[#This Row],[_LeafTotalWork]]&gt;0),NETWORKDAYS.INTL(ProjectStart,Tasks[[#This Row],[_ShownFcstStart]],WorkWeek,Holidays),0)</f>
        <v>0</v>
      </c>
      <c r="FZ19" s="43" t="n">
        <f aca="false">IF(AND(Tasks[[#This Row],[_IsLeaf]]=1,Tasks[[#This Row],[_LeafTotalWork]]&gt;0),MAX(Tasks[[#This Row],[_StartWorkday]],NETWORKDAYS.INTL(ProjectStart,Tasks[[#This Row],[_ShownFcstFinish]],WorkWeek,Holidays)),0)</f>
        <v>0</v>
      </c>
      <c r="GA19" s="43" t="n">
        <f aca="false">IF(AND(Tasks[[#This Row],[_IsLeaf]]=1,Tasks[[#This Row],[_LeafTotalWork]]&gt;0),Tasks[[#This Row],[_LeafWork]]/(Tasks[[#This Row],[_FinishWorkday]]-Tasks[[#This Row],[_StartWorkday]]+1),0)</f>
        <v>0</v>
      </c>
      <c r="GB19" s="43" t="n">
        <f aca="false">Tasks[[#This Row],[_WorkPerWorkday]]*(Tasks[[#This Row],[_StartWorkday]]-1)</f>
        <v>-0</v>
      </c>
      <c r="GC19" s="43" t="n">
        <f aca="false">IF(Tasks[[#This Row],[_IsLeaf]]=1,MAX(N(Tasks[[#This Row],[_Days]]),0.1),0)</f>
        <v>0</v>
      </c>
      <c r="GD19" s="43" t="n">
        <f aca="false">Tasks[[#This Row],[_WeightDur]]*Tasks[[#This Row],[_LeafProgress]]</f>
        <v>0</v>
      </c>
      <c r="GE19" s="43" t="n">
        <f aca="false">Tasks[[#This Row],[_WeightDur]]*Tasks[[#This Row],[_PlannedPct]]</f>
        <v>0</v>
      </c>
      <c r="GF1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 s="43" t="str">
        <f aca="false">IF(AND(Tasks[[#This Row],[_IsLeaf]]=1,N(Tasks[[#This Row],[_Days]])=0,Tasks[[#This Row],[_LeafProgress]]&lt;1),Tasks[[#This Row],[_ShownFcstFinish]]+Tasks[[#This Row],[_Row]]/100000,"")</f>
        <v/>
      </c>
      <c r="GH1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 s="43" t="str">
        <f aca="false">IF(Tasks[[#This Row],[Task Name]]="","",LEFT(Tasks[[#This Row],[WBS]],FIND(".",Tasks[[#This Row],[WBS]]&amp;".")-1))</f>
        <v/>
      </c>
      <c r="GJ19" s="43" t="str">
        <f aca="false">IF(AND(Tasks[[#This Row],[Task Name]]&lt;&gt;"",Tasks[[#This Row],[_Level]]=1),Tasks[[#This Row],[_Row]],"")</f>
        <v/>
      </c>
      <c r="GK19" s="43" t="str">
        <f aca="false">IF(AND(Tasks[[#This Row],[_IsLeaf]]=1,N(Tasks[[#This Row],[_Days]])=0),Tasks[[#This Row],[Planned Finish]]+Tasks[[#This Row],[_Row]]/100000,"")</f>
        <v/>
      </c>
      <c r="GL19" s="43" t="str">
        <f aca="false">IF(AND(Tasks[[#This Row],[_IsLeaf]]=1,Tasks[[#This Row],[_LeafProgress]]&lt;1,OR(N(Tasks[[#This Row],[Finish Var]])&gt;0,Tasks[[#This Row],[Status]]="Late Start")),MAX(0,Tasks[[#This Row],[Finish Var]])+1-Tasks[[#This Row],[_Row]]/1000000,"")</f>
        <v/>
      </c>
      <c r="GM19" s="43" t="str">
        <f aca="false">IF(AND(Tasks[[#This Row],[_IsLeaf]]=1,N(Tasks[[#This Row],[Actual Start]])=0,Tasks[[#This Row],[_ShownFcstStart]]&gt;=StatusDate,Tasks[[#This Row],[_ShownFcstStart]]&lt;=LookaheadEnd),Tasks[[#This Row],[_ShownFcstStart]]+Tasks[[#This Row],[_Row]]/100000,"")</f>
        <v/>
      </c>
      <c r="GN19" s="43" t="str">
        <f aca="false">IF(AND(Tasks[[#This Row],[_IsLeaf]]=1,Tasks[[#This Row],[_LeafProgress]]&lt;1,Tasks[[#This Row],[_ShownFcstFinish]]&gt;=StatusDate,Tasks[[#This Row],[_ShownFcstFinish]]&lt;=LookaheadEnd),Tasks[[#This Row],[_ShownFcstFinish]]+Tasks[[#This Row],[_Row]]/100000,"")</f>
        <v/>
      </c>
      <c r="GO19" s="43" t="str">
        <f aca="false">IF(Tasks[[#This Row],[_LeafCritical]],Tasks[[#This Row],[_ShownFcstStart]]+Tasks[[#This Row],[_Row]]/100000,"")</f>
        <v/>
      </c>
      <c r="GP19" s="43" t="n">
        <f aca="false">Tasks[[#This Row],[_LeafWork]]*Tasks[[#This Row],[_LeafProgress]]</f>
        <v>0</v>
      </c>
      <c r="GQ19" s="91" t="str">
        <f aca="false">IF(AND(Tasks[[#This Row],[_IsLeaf]]=1,Tasks[[#This Row],[_LeafProgress]]&gt;=1),IF(N(Tasks[[#This Row],[Actual Finish]])&gt;0,Tasks[[#This Row],[Actual Finish]],Tasks[[#This Row],[_ShownFcstFinish]]),"")</f>
        <v/>
      </c>
      <c r="GR19" s="43" t="n">
        <f aca="false">IF(Tasks[[#This Row],[_IsLeaf]]=1,N(Tasks[[#This Row],[Story Points]]),0)</f>
        <v>0</v>
      </c>
      <c r="GS19" s="43" t="str">
        <f aca="false">""</f>
        <v/>
      </c>
      <c r="GT19" s="90" t="b">
        <f aca="false">IF(Tasks[[#This Row],[Task Name]]="",FALSE(),AND(Tasks[[#This Row],[_IsLeaf]]=1,N(Tasks[[#This Row],[_Days]])=0))</f>
        <v>0</v>
      </c>
      <c r="GU19" s="91" t="n">
        <f aca="false">IF(Tasks[[#This Row],[Task Name]]="",0,IF(AND(Tasks[[#This Row],[_IsLeaf]]=1,NOT(Tasks[[#This Row],[_IsMilestone]]),N(Tasks[[#This Row],[Progress]])&gt;0),Tasks[[#This Row],[Start]],0))</f>
        <v>0</v>
      </c>
      <c r="GV19" s="91" t="n">
        <f aca="false">IF(Tasks[[#This Row],[_DoneFrom]]=0,0,IF(Tasks[[#This Row],[Progress]]&gt;=1,Tasks[[#This Row],[Finish]],MAX(Tasks[[#This Row],[_DoneFrom]],Tasks[[#This Row],[Start]]+ROUND((Tasks[[#This Row],[Finish]]-Tasks[[#This Row],[Start]]+1)*Tasks[[#This Row],[Progress]],0)-1)))</f>
        <v>0</v>
      </c>
      <c r="GW19" s="91" t="n">
        <f aca="false">IF(Tasks[[#This Row],[Task Name]]="",0,IF(OR(NOT(Tasks[[#This Row],[_IsLeaf]]=1),Tasks[[#This Row],[_IsMilestone]],N(Tasks[[#This Row],[Progress]])&gt;=1),0,IF(Tasks[[#This Row],[_DoneTo]]&gt;0,Tasks[[#This Row],[_DoneTo]]+1,Tasks[[#This Row],[Start]])))</f>
        <v>0</v>
      </c>
      <c r="GX19" s="91" t="n">
        <f aca="false">IF(Tasks[[#This Row],[_RemFrom]]=0,0,Tasks[[#This Row],[Finish]])</f>
        <v>0</v>
      </c>
      <c r="GY19" s="90" t="b">
        <f aca="false">IF(Tasks[[#This Row],[Task Name]]="",FALSE(),OR(NOT(BaselineSet),N(Tasks[[#This Row],[Baseline Start]])&gt;0))</f>
        <v>0</v>
      </c>
      <c r="GZ1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 s="92" t="str">
        <f aca="false">IF(Tasks[[#This Row],[_IsLeaf]]=1,Tasks[[#This Row],[_Row]],"")</f>
        <v/>
      </c>
      <c r="HD19" s="92" t="str">
        <f aca="false">IFERROR(INDEX(Tasks[UID],SMALL(Tasks[_PickKey],Tasks[[#This Row],[_Row]]))&amp;" "&amp;INDEX(Tasks[Task Name],SMALL(Tasks[_PickKey],Tasks[[#This Row],[_Row]])),"")</f>
        <v/>
      </c>
      <c r="HE19" s="43" t="str">
        <f aca="false">IF(Tasks[[#This Row],[Task Name]]="","",IF(Tasks[[#This Row],[_IsSummary]],NETWORKDAYS.INTL(Tasks[[#This Row],[Start]],Tasks[[#This Row],[Finish]],WorkWeek,Holidays),N(Tasks[[#This Row],[_Days]])))</f>
        <v/>
      </c>
      <c r="HF19" s="43" t="n">
        <f aca="false">IF(Tasks[[#This Row],[Expected]]="",0,((Tasks[[#This Row],[Pessimistic]]-Tasks[[#This Row],[Optimistic]])/6)^2)</f>
        <v>0</v>
      </c>
      <c r="HG19" s="43" t="n">
        <f aca="false">IF(Tasks[[#This Row],[Expected]]="",0,Tasks[[#This Row],[Expected]]-N(Tasks[[#This Row],[_Days]]))</f>
        <v>0</v>
      </c>
    </row>
    <row r="20" customFormat="false" ht="15" hidden="false" customHeight="false" outlineLevel="0" collapsed="false">
      <c r="A20" s="21" t="str">
        <f aca="false">IF(Tasks[[#This Row],[Task Name]]="","",COUNTA(Tasks[[#Headers],[Task Name]]:Tasks[[#This Row],[Task Name]])-1)</f>
        <v/>
      </c>
      <c r="B20" s="22" t="n">
        <v>28</v>
      </c>
      <c r="C20" s="22"/>
      <c r="D20" s="23"/>
      <c r="E20" s="22"/>
      <c r="F20" s="23"/>
      <c r="G20" s="22"/>
      <c r="H20" s="22"/>
      <c r="I20" s="23"/>
      <c r="J20" s="22"/>
      <c r="K20" s="22"/>
      <c r="L20" s="23"/>
      <c r="M20" s="22"/>
      <c r="N20" s="22"/>
      <c r="O20" s="23"/>
      <c r="P20" s="22"/>
      <c r="Q20" s="22"/>
      <c r="R20" s="23"/>
      <c r="S20" s="23"/>
      <c r="T20" s="84"/>
      <c r="U20" s="23"/>
      <c r="V20" s="84"/>
      <c r="W20" s="23"/>
      <c r="X20" s="84"/>
      <c r="Y20" s="23"/>
      <c r="Z20" s="84"/>
      <c r="AA20" s="23"/>
      <c r="AB20" s="23"/>
      <c r="AC20" s="7"/>
      <c r="AD20" s="7"/>
      <c r="AE20" s="63" t="str">
        <f aca="false">IF(Tasks[[#This Row],[Task Name]]="","",IF(Tasks[[#This Row],[_IsSummary]],MIN(INDEX(Tasks[_ShownFcstStart],Tasks[[#This Row],[_Row]]+1):INDEX(Tasks[_ShownFcstStart],Tasks[[#This Row],[_Row]]+Tasks[[#This Row],[_Descendants]])),Tasks[[#This Row],[_ShownFcstStart]]))</f>
        <v/>
      </c>
      <c r="AF20" s="63" t="str">
        <f aca="false">IF(Tasks[[#This Row],[Task Name]]="","",IF(Tasks[[#This Row],[_IsSummary]],MAX(INDEX(Tasks[_ShownFcstFinish],Tasks[[#This Row],[_Row]]+1):INDEX(Tasks[_ShownFcstFinish],Tasks[[#This Row],[_Row]]+Tasks[[#This Row],[_Descendants]])),Tasks[[#This Row],[_ShownFcstFinish]]))</f>
        <v/>
      </c>
      <c r="AG20" s="21" t="str">
        <f aca="false">""</f>
        <v/>
      </c>
      <c r="AH20" s="23"/>
      <c r="AI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 s="7"/>
      <c r="AK20" s="22"/>
      <c r="AL20" s="23"/>
      <c r="AM20" s="7"/>
      <c r="AN20" s="47" t="str">
        <f aca="false">IF(Tasks[[#This Row],[Task Name]]="","",IF(Tasks[[#This Row],[Finish]]&gt;=Tasks[[#This Row],[Planned Finish]],NETWORKDAYS.INTL(Tasks[[#This Row],[Planned Finish]],Tasks[[#This Row],[Finish]],WorkWeek,Holidays)-1,1-NETWORKDAYS.INTL(Tasks[[#This Row],[Finish]],Tasks[[#This Row],[Planned Finish]],WorkWeek,Holidays)))</f>
        <v/>
      </c>
      <c r="AO20" s="21" t="str">
        <f aca="false">IF(Tasks[[#This Row],[Task Name]]="","",IF(Tasks[[#This Row],[Progress]]&gt;=1,"Complete",IF(OR(N(Tasks[[#This Row],[Actual Start]])&gt;0,Tasks[[#This Row],[Progress]]&gt;0),IF(Tasks[[#This Row],[Finish Var]]&gt;0,"Behind","In Progress"),IF(Tasks[[#This Row],[Planned Start]]&lt;StatusDate,"Late Start","Not Started"))))</f>
        <v/>
      </c>
      <c r="AP20" s="21" t="str">
        <f aca="false">IF(Tasks[[#This Row],[Task Name]]="","",IF(IF(Tasks[[#This Row],[_IsSummary]],COUNTIF(INDEX(Tasks[_LeafCritical],Tasks[[#This Row],[_Row]]+1):INDEX(Tasks[_LeafCritical],Tasks[[#This Row],[_Row]]+Tasks[[#This Row],[_Descendants]]),TRUE())&gt;0,Tasks[[#This Row],[_LeafCritical]]),"Yes",""))</f>
        <v/>
      </c>
      <c r="AQ20" s="63" t="str">
        <f aca="false">IF(Tasks[[#This Row],[Task Name]]="","",IF(N(Tasks[[#This Row],[Baseline Start]])&gt;0,Tasks[[#This Row],[Baseline Start]],Tasks[[#This Row],[_CalcStart]]))</f>
        <v/>
      </c>
      <c r="AR20" s="63" t="str">
        <f aca="false">IF(Tasks[[#This Row],[Task Name]]="","",IF(N(Tasks[[#This Row],[Baseline Finish]])&gt;0,Tasks[[#This Row],[Baseline Finish]],Tasks[[#This Row],[_CalcFinish]]))</f>
        <v/>
      </c>
      <c r="AS20" s="47" t="str">
        <f aca="false">IF(Tasks[[#This Row],[Task Name]]="","",IF(Tasks[[#This Row],[Start]]&gt;=Tasks[[#This Row],[Planned Start]],NETWORKDAYS.INTL(Tasks[[#This Row],[Planned Start]],Tasks[[#This Row],[Start]],WorkWeek,Holidays)-1,1-NETWORKDAYS.INTL(Tasks[[#This Row],[Start]],Tasks[[#This Row],[Planned Start]],WorkWeek,Holidays)))</f>
        <v/>
      </c>
      <c r="AT20" s="63" t="str">
        <f aca="false">IF(Tasks[[#This Row],[Task Name]]="","",IF(Tasks[[#This Row],[_IsSummary]],MIN(INDEX(Tasks[_LeafLateStart],Tasks[[#This Row],[_Row]]+1):INDEX(Tasks[_LeafLateStart],Tasks[[#This Row],[_Row]]+Tasks[[#This Row],[_Descendants]])),Tasks[[#This Row],[_LeafLateStart]]))</f>
        <v/>
      </c>
      <c r="AU20" s="63" t="str">
        <f aca="false">IF(Tasks[[#This Row],[Task Name]]="","",IF(Tasks[[#This Row],[_IsSummary]],MAX(INDEX(Tasks[_LeafLateFinish],Tasks[[#This Row],[_Row]]+1):INDEX(Tasks[_LeafLateFinish],Tasks[[#This Row],[_Row]]+Tasks[[#This Row],[_Descendants]])),Tasks[[#This Row],[_LeafLateFinish]]))</f>
        <v/>
      </c>
      <c r="AV20" s="47" t="str">
        <f aca="false">IF(Tasks[[#This Row],[Task Name]]="","",IF(Tasks[[#This Row],[_IsSummary]],MIN(INDEX(Tasks[_LeafTotalSlack],Tasks[[#This Row],[_Row]]+1):INDEX(Tasks[_LeafTotalSlack],Tasks[[#This Row],[_Row]]+Tasks[[#This Row],[_Descendants]])),Tasks[[#This Row],[_LeafTotalSlack]]))</f>
        <v/>
      </c>
      <c r="AW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5"/>
      <c r="BA2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1" t="str">
        <f aca="false">IF(Tasks[[#This Row],[Task Name]]="","",IF(Tasks[[#This Row],[_Level]]&lt;=OutlineShowLevel,"Yes","No"))</f>
        <v/>
      </c>
      <c r="BE20" s="86" t="str">
        <f aca="false">IF(Tasks[[#This Row],[Task Name]]="","",IF(Tasks[[#This Row],[_IsSummary]],SUM(INDEX(Tasks[_LeafTotalWork],Tasks[[#This Row],[_Row]]+1):INDEX(Tasks[_LeafTotalWork],Tasks[[#This Row],[_Row]]+Tasks[[#This Row],[_Descendants]])),Tasks[[#This Row],[_LeafTotalWork]]))</f>
        <v/>
      </c>
      <c r="BF20" s="23"/>
      <c r="BG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 s="21" t="str">
        <f aca="false">""</f>
        <v/>
      </c>
      <c r="BI20" s="87"/>
      <c r="BJ20" s="22"/>
      <c r="BK20" s="47" t="str">
        <f aca="false">IF(OR(Tasks[[#This Row],[Task Name]]="",Tasks[[#This Row],[Baseline Duration]]=""),"",Tasks[[#This Row],[_SpanDays]]-N(Tasks[[#This Row],[Baseline Duration]]))</f>
        <v/>
      </c>
      <c r="BL20" s="86" t="str">
        <f aca="false">IF(OR(Tasks[[#This Row],[Task Name]]="",Tasks[[#This Row],[Baseline Work]]=""),"",Tasks[[#This Row],[Work]]-N(Tasks[[#This Row],[Baseline Work]]))</f>
        <v/>
      </c>
      <c r="BM20" s="63" t="str">
        <f aca="false">IF(Tasks[[#This Row],[Task Name]]="","",IF(OR(TakeBaseline="Yes",N(Tasks[[#This Row],[Baseline Start]])=0),Tasks[[#This Row],[Start]],Tasks[[#This Row],[Baseline Start]]))</f>
        <v/>
      </c>
      <c r="BN20" s="63" t="str">
        <f aca="false">IF(Tasks[[#This Row],[Task Name]]="","",IF(OR(TakeBaseline="Yes",N(Tasks[[#This Row],[Baseline Finish]])=0),Tasks[[#This Row],[Finish]],Tasks[[#This Row],[Baseline Finish]]))</f>
        <v/>
      </c>
      <c r="BO20" s="21" t="str">
        <f aca="false">IF(Tasks[[#This Row],[Task Name]]="","",IF(OR(TakeBaseline="Yes",N(Tasks[[#This Row],[Baseline Duration]])=0),Tasks[[#This Row],[_SpanDays]],Tasks[[#This Row],[Baseline Duration]]))</f>
        <v/>
      </c>
      <c r="BP20" s="86" t="str">
        <f aca="false">IF(Tasks[[#This Row],[Task Name]]="","",IF(OR(TakeBaseline="Yes",N(Tasks[[#This Row],[Baseline Work]])=0),Tasks[[#This Row],[Work]],Tasks[[#This Row],[Baseline Work]]))</f>
        <v/>
      </c>
      <c r="BQ20" s="7"/>
      <c r="BR20" s="7"/>
      <c r="BS20" s="22"/>
      <c r="BT20" s="88"/>
      <c r="BU20" s="23"/>
      <c r="BV20" s="23"/>
      <c r="BW20" s="23"/>
      <c r="BX20" s="89" t="str">
        <f aca="false">IF(AND(Tasks[[#This Row],[_IsLeaf]]=1,ISNUMBER(Tasks[[#This Row],[Optimistic]]),ISNUMBER(Tasks[[#This Row],[Pessimistic]])),ROUND((Tasks[[#This Row],[Optimistic]]+4*N(Tasks[[#This Row],[_Days]])+Tasks[[#This Row],[Pessimistic]])/6,1),"")</f>
        <v/>
      </c>
      <c r="BY20" s="87"/>
      <c r="BZ20" s="87"/>
      <c r="CA20" s="22"/>
      <c r="CB20" s="43" t="str">
        <f aca="false">IF(Tasks[[#This Row],[Task Name]]="","",MAX(1,N(Tasks[[#This Row],[Level]])))</f>
        <v/>
      </c>
      <c r="CC20" s="43" t="n">
        <f aca="false">ROW()-ROW(Tasks[[#Headers],[ID]])</f>
        <v>15</v>
      </c>
      <c r="CD20" s="43" t="n">
        <f aca="false">IF(OR(Tasks[[#This Row],[Task Name]]="",Tasks[[#This Row],[_Level]]&lt;=1),0,IFERROR(LOOKUP(2,1/(Tasks[[#Headers],[_Level]]:Tasks[[#This Row],[_Level]]=Tasks[[#This Row],[_Level]]-1),ROW(Tasks[[#Headers],[_Level]]:Tasks[[#This Row],[_Level]])),0))</f>
        <v>0</v>
      </c>
      <c r="CE20" s="43" t="n">
        <f aca="false">IFERROR(N(INDEX(Tasks[_Level],Tasks[[#This Row],[_Row]]+1)),0)</f>
        <v>0</v>
      </c>
      <c r="CF20" s="90" t="b">
        <f aca="false">AND(Tasks[[#This Row],[Task Name]]&lt;&gt;"",Tasks[[#This Row],[_NextLevel]]&gt;Tasks[[#This Row],[_Level]])</f>
        <v>0</v>
      </c>
      <c r="CG20" s="43" t="n">
        <f aca="false">IF(Tasks[[#This Row],[_IsSummary]],COUNTIF(Tasks[WBS],Tasks[[#This Row],[WBS]]&amp;".*"),0)</f>
        <v>0</v>
      </c>
      <c r="CH20" s="43" t="n">
        <f aca="false">IF(AND(Tasks[[#This Row],[Task Name]]&lt;&gt;"",NOT(Tasks[[#This Row],[_IsSummary]])),1,0)</f>
        <v>0</v>
      </c>
      <c r="CI20" s="43" t="n">
        <f aca="false">IF(N(Tasks[[#This Row],[_Pred1UID]])=0,0,IFERROR(MATCH(Tasks[[#This Row],[_Pred1UID]],Tasks[UID],0),-1))</f>
        <v>0</v>
      </c>
      <c r="CJ20" s="43" t="n">
        <f aca="false">IF(N(Tasks[[#This Row],[_Pred2UID]])=0,0,IFERROR(MATCH(Tasks[[#This Row],[_Pred2UID]],Tasks[UID],0),-1))</f>
        <v>0</v>
      </c>
      <c r="CK20" s="43" t="n">
        <f aca="false">IF(N(Tasks[[#This Row],[_Pred3UID]])=0,0,IFERROR(MATCH(Tasks[[#This Row],[_Pred3UID]],Tasks[UID],0),-1))</f>
        <v>0</v>
      </c>
      <c r="CL20" s="43" t="n">
        <f aca="false">IF(N(Tasks[[#This Row],[_Pred4UID]])=0,0,IFERROR(MATCH(Tasks[[#This Row],[_Pred4UID]],Tasks[UID],0),-1))</f>
        <v>0</v>
      </c>
      <c r="CM2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 s="91" t="n">
        <f aca="false">IF(OR(Tasks[[#This Row],[_ConstraintCode]]=2,Tasks[[#This Row],[_ConstraintCode]]=3,Tasks[[#This Row],[_ConstraintCode]]=4,Tasks[[#This Row],[_ConstraintCode]]=6),Tasks[[#This Row],[_ConstraintStart]],0)</f>
        <v>0</v>
      </c>
      <c r="CP20" s="91" t="n">
        <f aca="false">IF(OR(Tasks[[#This Row],[_ConstraintCode]]=2,Tasks[[#This Row],[_ConstraintCode]]=3,Tasks[[#This Row],[_ConstraintCode]]=5,Tasks[[#This Row],[_ConstraintCode]]=7),Tasks[[#This Row],[_ConstraintStart]],2958465)</f>
        <v>2958465</v>
      </c>
      <c r="CQ2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 s="91" t="str">
        <f aca="false">IF(NOT(Tasks[[#This Row],[_IsLeaf]]=1),"",IF(N(Tasks[[#This Row],[_Days]])&lt;=0,Tasks[[#This Row],[_LeafCalcStart]],WORKDAY.INTL(Tasks[[#This Row],[_LeafCalcStart]],Tasks[[#This Row],[_Days]]-1,WorkWeek,Holidays)))</f>
        <v/>
      </c>
      <c r="CS2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 s="43" t="str">
        <f aca="false">IF(Tasks[[#This Row],[_Predecessors]]="","",TRIM(MID(SUBSTITUTE(SUBSTITUTE(SUBSTITUTE(UPPER(Tasks[[#This Row],[_Predecessors]]),";",",")," ",""),",",REPT(" ",99)),1,99)))</f>
        <v/>
      </c>
      <c r="CV20" s="43" t="str">
        <f aca="false">IF(Tasks[[#This Row],[_Pred1Text]]="","",IFERROR(VALUE(LEFT(Tasks[[#This Row],[_Pred1Text]],MIN(FIND("F",Tasks[[#This Row],[_Pred1Text]]&amp;"F"),FIND("S",Tasks[[#This Row],[_Pred1Text]]&amp;"S"),FIND("+",Tasks[[#This Row],[_Pred1Text]]&amp;"+"),FIND("-",Tasks[[#This Row],[_Pred1Text]]&amp;"-"))-1)),""))</f>
        <v/>
      </c>
      <c r="CW2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 s="43" t="str">
        <f aca="false">IF(Tasks[[#This Row],[_Pred1Text]]="","",TRIM(MID(SUBSTITUTE(SUBSTITUTE(SUBSTITUTE(UPPER(Tasks[[#This Row],[_Predecessors]]),";",",")," ",""),",",REPT(" ",99)),100,99)))</f>
        <v/>
      </c>
      <c r="CZ20" s="43" t="str">
        <f aca="false">IF(Tasks[[#This Row],[_Pred2Text]]="","",IFERROR(VALUE(LEFT(Tasks[[#This Row],[_Pred2Text]],MIN(FIND("F",Tasks[[#This Row],[_Pred2Text]]&amp;"F"),FIND("S",Tasks[[#This Row],[_Pred2Text]]&amp;"S"),FIND("+",Tasks[[#This Row],[_Pred2Text]]&amp;"+"),FIND("-",Tasks[[#This Row],[_Pred2Text]]&amp;"-"))-1)),""))</f>
        <v/>
      </c>
      <c r="DA2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 s="43" t="str">
        <f aca="false">IF(Tasks[[#This Row],[_Pred2Text]]="","",TRIM(MID(SUBSTITUTE(SUBSTITUTE(SUBSTITUTE(UPPER(Tasks[[#This Row],[_Predecessors]]),";",",")," ",""),",",REPT(" ",99)),199,99)))</f>
        <v/>
      </c>
      <c r="DD20" s="43" t="str">
        <f aca="false">IF(Tasks[[#This Row],[_Pred3Text]]="","",IFERROR(VALUE(LEFT(Tasks[[#This Row],[_Pred3Text]],MIN(FIND("F",Tasks[[#This Row],[_Pred3Text]]&amp;"F"),FIND("S",Tasks[[#This Row],[_Pred3Text]]&amp;"S"),FIND("+",Tasks[[#This Row],[_Pred3Text]]&amp;"+"),FIND("-",Tasks[[#This Row],[_Pred3Text]]&amp;"-"))-1)),""))</f>
        <v/>
      </c>
      <c r="DE2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 s="43" t="str">
        <f aca="false">IF(Tasks[[#This Row],[_Pred3Text]]="","",TRIM(MID(SUBSTITUTE(SUBSTITUTE(SUBSTITUTE(UPPER(Tasks[[#This Row],[_Predecessors]]),";",",")," ",""),",",REPT(" ",99)),298,99)))</f>
        <v/>
      </c>
      <c r="DH20" s="43" t="str">
        <f aca="false">IF(Tasks[[#This Row],[_Pred4Text]]="","",IFERROR(VALUE(LEFT(Tasks[[#This Row],[_Pred4Text]],MIN(FIND("F",Tasks[[#This Row],[_Pred4Text]]&amp;"F"),FIND("S",Tasks[[#This Row],[_Pred4Text]]&amp;"S"),FIND("+",Tasks[[#This Row],[_Pred4Text]]&amp;"+"),FIND("-",Tasks[[#This Row],[_Pred4Text]]&amp;"-"))-1)),""))</f>
        <v/>
      </c>
      <c r="DI2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 s="43" t="str">
        <f aca="false">IF(OR(Tasks[[#This Row],[Task Name]]="",Tasks[[#This Row],[_Resources]]=""),"",TRIM(MID(SUBSTITUTE(Tasks[[#This Row],[_Resources]],",",REPT(" ",99)),1,99)))</f>
        <v/>
      </c>
      <c r="DL20" s="43" t="str">
        <f aca="false">IF(Tasks[[#This Row],[_Res1Text]]="","",TRIM(MID(SUBSTITUTE(Tasks[[#This Row],[_Resources]],",",REPT(" ",99)),100,99)))</f>
        <v/>
      </c>
      <c r="DM20" s="43" t="str">
        <f aca="false">IF(Tasks[[#This Row],[_Res2Text]]="","",TRIM(MID(SUBSTITUTE(Tasks[[#This Row],[_Resources]],",",REPT(" ",99)),199,99)))</f>
        <v/>
      </c>
      <c r="DN20" s="43" t="str">
        <f aca="false">IF(Tasks[[#This Row],[_Res3Text]]="","",TRIM(MID(SUBSTITUTE(Tasks[[#This Row],[_Resources]],",",REPT(" ",99)),298,99)))</f>
        <v/>
      </c>
      <c r="DO20" s="43" t="n">
        <f aca="false">IF(Tasks[[#This Row],[_Res1Text]]="",0,IFERROR(MATCH(TRIM(LEFT(Tasks[[#This Row],[_Res1Text]],FIND("[",Tasks[[#This Row],[_Res1Text]]&amp;"[")-1)),res_Name,0),IFERROR(MATCH(TRIM(LEFT(Tasks[[#This Row],[_Res1Text]],FIND("[",Tasks[[#This Row],[_Res1Text]]&amp;"[")-1)),res_Initials,0),0)))</f>
        <v>0</v>
      </c>
      <c r="DP20" s="43" t="n">
        <f aca="false">IF(Tasks[[#This Row],[_Res2Text]]="",0,IFERROR(MATCH(TRIM(LEFT(Tasks[[#This Row],[_Res2Text]],FIND("[",Tasks[[#This Row],[_Res2Text]]&amp;"[")-1)),res_Name,0),IFERROR(MATCH(TRIM(LEFT(Tasks[[#This Row],[_Res2Text]],FIND("[",Tasks[[#This Row],[_Res2Text]]&amp;"[")-1)),res_Initials,0),0)))</f>
        <v>0</v>
      </c>
      <c r="DQ20" s="43" t="n">
        <f aca="false">IF(Tasks[[#This Row],[_Res3Text]]="",0,IFERROR(MATCH(TRIM(LEFT(Tasks[[#This Row],[_Res3Text]],FIND("[",Tasks[[#This Row],[_Res3Text]]&amp;"[")-1)),res_Name,0),IFERROR(MATCH(TRIM(LEFT(Tasks[[#This Row],[_Res3Text]],FIND("[",Tasks[[#This Row],[_Res3Text]]&amp;"[")-1)),res_Initials,0),0)))</f>
        <v>0</v>
      </c>
      <c r="DR20" s="43" t="n">
        <f aca="false">IF(Tasks[[#This Row],[_Res4Text]]="",0,IFERROR(MATCH(TRIM(LEFT(Tasks[[#This Row],[_Res4Text]],FIND("[",Tasks[[#This Row],[_Res4Text]]&amp;"[")-1)),res_Name,0),IFERROR(MATCH(TRIM(LEFT(Tasks[[#This Row],[_Res4Text]],FIND("[",Tasks[[#This Row],[_Res4Text]]&amp;"[")-1)),res_Initials,0),0)))</f>
        <v>0</v>
      </c>
      <c r="DS20" s="43" t="str">
        <f aca="false">IF(Tasks[[#This Row],[_Res1Text]]="","",IF(Tasks[[#This Row],[_Res1Row]]&gt;0,INDEX(res_Name,Tasks[[#This Row],[_Res1Row]]),TRIM(LEFT(Tasks[[#This Row],[_Res1Text]],FIND("[",Tasks[[#This Row],[_Res1Text]]&amp;"[")-1))))</f>
        <v/>
      </c>
      <c r="DT2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 s="43" t="n">
        <f aca="false">IF(NOT(Tasks[[#This Row],[_IsLeaf]]=1),0,(Tasks[[#This Row],[_Resource1]]&lt;&gt;"")+(Tasks[[#This Row],[_Res2]]&lt;&gt;"")+(Tasks[[#This Row],[_Res3]]&lt;&gt;"")+(Tasks[[#This Row],[_Res4]]&lt;&gt;""))</f>
        <v>0</v>
      </c>
      <c r="DV20" s="43" t="str">
        <f aca="false">IF(Tasks[[#This Row],[_Res2Text]]="","",IF(Tasks[[#This Row],[_Res2Row]]&gt;0,INDEX(res_Name,Tasks[[#This Row],[_Res2Row]]),TRIM(LEFT(Tasks[[#This Row],[_Res2Text]],FIND("[",Tasks[[#This Row],[_Res2Text]]&amp;"[")-1))))</f>
        <v/>
      </c>
      <c r="DW2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 s="43" t="n">
        <f aca="false">IF(OR(NOT(Tasks[[#This Row],[_IsLeaf]]=1),Tasks[[#This Row],[_Res2Row]]=0),0,N(Tasks[[#This Row],[_Days]])*HoursPerDay*IF(Tasks[[#This Row],[_Res2Units]]="",DefaultUnits,Tasks[[#This Row],[_Res2Units]]))</f>
        <v>0</v>
      </c>
      <c r="DY20" s="43" t="n">
        <f aca="false">IF(AND(AND(Tasks[[#This Row],[_IsLeaf]]=1,Tasks[[#This Row],[_LeafTotalWork]]&gt;0),Tasks[[#This Row],[_Res2Work]]&gt;0),Tasks[[#This Row],[_Res2Work]]/(Tasks[[#This Row],[_FinishWorkday]]-Tasks[[#This Row],[_StartWorkday]]+1),0)</f>
        <v>0</v>
      </c>
      <c r="DZ20" s="43" t="n">
        <f aca="false">Tasks[[#This Row],[_Res2WorkPerWD]]*MAX(0,Tasks[[#This Row],[_StartWorkday]]-1)</f>
        <v>0</v>
      </c>
      <c r="EA20" s="43" t="n">
        <f aca="false">Tasks[[#This Row],[_Res2Work]]*Tasks[[#This Row],[_LeafProgress]]</f>
        <v>0</v>
      </c>
      <c r="EB20" s="43" t="str">
        <f aca="false">IF(Tasks[[#This Row],[_Res3Text]]="","",IF(Tasks[[#This Row],[_Res3Row]]&gt;0,INDEX(res_Name,Tasks[[#This Row],[_Res3Row]]),TRIM(LEFT(Tasks[[#This Row],[_Res3Text]],FIND("[",Tasks[[#This Row],[_Res3Text]]&amp;"[")-1))))</f>
        <v/>
      </c>
      <c r="EC2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 s="43" t="n">
        <f aca="false">IF(OR(NOT(Tasks[[#This Row],[_IsLeaf]]=1),Tasks[[#This Row],[_Res3Row]]=0),0,N(Tasks[[#This Row],[_Days]])*HoursPerDay*IF(Tasks[[#This Row],[_Res3Units]]="",DefaultUnits,Tasks[[#This Row],[_Res3Units]]))</f>
        <v>0</v>
      </c>
      <c r="EE20" s="43" t="n">
        <f aca="false">IF(AND(AND(Tasks[[#This Row],[_IsLeaf]]=1,Tasks[[#This Row],[_LeafTotalWork]]&gt;0),Tasks[[#This Row],[_Res3Work]]&gt;0),Tasks[[#This Row],[_Res3Work]]/(Tasks[[#This Row],[_FinishWorkday]]-Tasks[[#This Row],[_StartWorkday]]+1),0)</f>
        <v>0</v>
      </c>
      <c r="EF20" s="43" t="n">
        <f aca="false">Tasks[[#This Row],[_Res3WorkPerWD]]*MAX(0,Tasks[[#This Row],[_StartWorkday]]-1)</f>
        <v>0</v>
      </c>
      <c r="EG20" s="43" t="n">
        <f aca="false">Tasks[[#This Row],[_Res3Work]]*Tasks[[#This Row],[_LeafProgress]]</f>
        <v>0</v>
      </c>
      <c r="EH20" s="43" t="str">
        <f aca="false">IF(Tasks[[#This Row],[_Res4Text]]="","",IF(Tasks[[#This Row],[_Res4Row]]&gt;0,INDEX(res_Name,Tasks[[#This Row],[_Res4Row]]),TRIM(LEFT(Tasks[[#This Row],[_Res4Text]],FIND("[",Tasks[[#This Row],[_Res4Text]]&amp;"[")-1))))</f>
        <v/>
      </c>
      <c r="EI2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 s="43" t="n">
        <f aca="false">IF(OR(NOT(Tasks[[#This Row],[_IsLeaf]]=1),Tasks[[#This Row],[_Res4Row]]=0),0,N(Tasks[[#This Row],[_Days]])*HoursPerDay*IF(Tasks[[#This Row],[_Res4Units]]="",DefaultUnits,Tasks[[#This Row],[_Res4Units]]))</f>
        <v>0</v>
      </c>
      <c r="EK20" s="43" t="n">
        <f aca="false">IF(AND(AND(Tasks[[#This Row],[_IsLeaf]]=1,Tasks[[#This Row],[_LeafTotalWork]]&gt;0),Tasks[[#This Row],[_Res4Work]]&gt;0),Tasks[[#This Row],[_Res4Work]]/(Tasks[[#This Row],[_FinishWorkday]]-Tasks[[#This Row],[_StartWorkday]]+1),0)</f>
        <v>0</v>
      </c>
      <c r="EL20" s="43" t="n">
        <f aca="false">Tasks[[#This Row],[_Res4WorkPerWD]]*MAX(0,Tasks[[#This Row],[_StartWorkday]]-1)</f>
        <v>0</v>
      </c>
      <c r="EM20" s="43" t="n">
        <f aca="false">Tasks[[#This Row],[_Res4Work]]*Tasks[[#This Row],[_LeafProgress]]</f>
        <v>0</v>
      </c>
      <c r="EN20" s="43" t="n">
        <f aca="false">IF(ISNUMBER(Tasks[[#This Row],[% Complete]]),Tasks[[#This Row],[% Complete]],IF(Tasks[[#This Row],[Stage]]="",0,IFERROR(INDEX(stg_Pct,MATCH(Tasks[[#This Row],[Stage]],stg_Name,0)),0)))</f>
        <v>0</v>
      </c>
      <c r="EO20" s="43" t="n">
        <f aca="false">IF(NOT(Tasks[[#This Row],[_IsLeaf]]=1),0,IF(N(Tasks[[#This Row],[Actual Finish]])&gt;0,1,MIN(1,Tasks[[#This Row],[_Pct]])))</f>
        <v>0</v>
      </c>
      <c r="EP20" s="43" t="n">
        <f aca="false">IF(OR(NOT(Tasks[[#This Row],[_IsLeaf]]=1),Tasks[[#This Row],[_Res1Row]]=0),0,N(Tasks[[#This Row],[_Days]])*HoursPerDay*IF(Tasks[[#This Row],[_Units1]]="",DefaultUnits,Tasks[[#This Row],[_Units1]]))</f>
        <v>0</v>
      </c>
      <c r="EQ20" s="43" t="n">
        <f aca="false">Tasks[[#This Row],[_LeafWork]]+Tasks[[#This Row],[_Res2Work]]+Tasks[[#This Row],[_Res3Work]]+Tasks[[#This Row],[_Res4Work]]</f>
        <v>0</v>
      </c>
      <c r="ER2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 s="43" t="n">
        <f aca="false">IF(NOT(Tasks[[#This Row],[_IsLeaf]]=1),0,MAX(_xlfn.MAXIFS(Tasks[_Row],Tasks[_Pred1UID],Tasks[[#This Row],[UID]]),_xlfn.MAXIFS(Tasks[_Row],Tasks[_Pred2UID],Tasks[[#This Row],[UID]]),_xlfn.MAXIFS(Tasks[_Row],Tasks[_Pred3UID],Tasks[[#This Row],[UID]]),_xlfn.MAXIFS(Tasks[_Row],Tasks[_Pred4UID],Tasks[[#This Row],[UID]])))</f>
        <v>0</v>
      </c>
      <c r="FA2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 s="91" t="str">
        <f aca="false">IF(NOT(Tasks[[#This Row],[_IsLeaf]]=1),"",IF(N(Tasks[[#This Row],[_Days]])&lt;=0,Tasks[[#This Row],[_LeafLateFinish]],WORKDAY.INTL(Tasks[[#This Row],[_LeafLateFinish]],-(Tasks[[#This Row],[_Days]]-1),WorkWeek,Holidays)))</f>
        <v/>
      </c>
      <c r="FD2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 s="90" t="b">
        <f aca="false">AND(Tasks[[#This Row],[_IsLeaf]]=1,Tasks[[#This Row],[_LeafProgress]]&lt;1,N(Tasks[[#This Row],[_LeafTotalSlack]])&lt;=CriticalSlackDays)</f>
        <v>0</v>
      </c>
      <c r="FF20" s="43" t="n">
        <f aca="false">IF(AND(Tasks[[#This Row],[_IsLeaf]]=1,Tasks[[#This Row],[_ConstraintCode]]=1,Tasks[[#This Row],[Mode]]&lt;&gt;"Manual",N(Tasks[[#This Row],[Actual Start]])=0),MAX(0,N(Tasks[[#This Row],[Free Slack]])),0)</f>
        <v>0</v>
      </c>
      <c r="FG20" s="91" t="str">
        <f aca="false">IF(NOT(Tasks[[#This Row],[_IsLeaf]]=1),"",IF(Tasks[[#This Row],[_AlapShift]]=0,Tasks[[#This Row],[_LeafCalcStart]],WORKDAY.INTL(Tasks[[#This Row],[_LeafCalcStart]],Tasks[[#This Row],[_AlapShift]],WorkWeek,Holidays)))</f>
        <v/>
      </c>
      <c r="FH20" s="91" t="str">
        <f aca="false">IF(NOT(Tasks[[#This Row],[_IsLeaf]]=1),"",IF(Tasks[[#This Row],[_AlapShift]]=0,Tasks[[#This Row],[_LeafCalcFinish]],WORKDAY.INTL(Tasks[[#This Row],[_LeafCalcFinish]],Tasks[[#This Row],[_AlapShift]],WorkWeek,Holidays)))</f>
        <v/>
      </c>
      <c r="FI20" s="91" t="str">
        <f aca="false">IF(NOT(Tasks[[#This Row],[_IsLeaf]]=1),"",IF(Tasks[[#This Row],[_AlapShift]]=0,Tasks[[#This Row],[_LeafFcstStart]],WORKDAY.INTL(Tasks[[#This Row],[_LeafFcstStart]],Tasks[[#This Row],[_AlapShift]],WorkWeek,Holidays)))</f>
        <v/>
      </c>
      <c r="FJ20" s="91" t="str">
        <f aca="false">IF(NOT(Tasks[[#This Row],[_IsLeaf]]=1),"",IF(Tasks[[#This Row],[_AlapShift]]=0,Tasks[[#This Row],[_LeafFcstFinish]],WORKDAY.INTL(Tasks[[#This Row],[_LeafFcstFinish]],Tasks[[#This Row],[_AlapShift]],WorkWeek,Holidays)))</f>
        <v/>
      </c>
      <c r="FK20" s="91" t="str">
        <f aca="false">IF(Tasks[[#This Row],[Task Name]]="","",IF(Tasks[[#This Row],[_IsSummary]],MIN(INDEX(Tasks[_ShownCalcStart],Tasks[[#This Row],[_Row]]+1):INDEX(Tasks[_ShownCalcStart],Tasks[[#This Row],[_Row]]+Tasks[[#This Row],[_Descendants]])),Tasks[[#This Row],[_ShownCalcStart]]))</f>
        <v/>
      </c>
      <c r="FL20" s="91" t="str">
        <f aca="false">IF(Tasks[[#This Row],[Task Name]]="","",IF(Tasks[[#This Row],[_IsSummary]],MAX(INDEX(Tasks[_ShownCalcFinish],Tasks[[#This Row],[_Row]]+1):INDEX(Tasks[_ShownCalcFinish],Tasks[[#This Row],[_Row]]+Tasks[[#This Row],[_Descendants]])),Tasks[[#This Row],[_ShownCalcFinish]]))</f>
        <v/>
      </c>
      <c r="FM2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 s="43" t="n">
        <f aca="false">IF(AND(Tasks[[#This Row],[_IsLeaf]]=1,Tasks[[#This Row],[_LeafTotalWork]]&gt;0),NETWORKDAYS.INTL(ProjectStart,Tasks[[#This Row],[_ShownFcstStart]],WorkWeek,Holidays),0)</f>
        <v>0</v>
      </c>
      <c r="FZ20" s="43" t="n">
        <f aca="false">IF(AND(Tasks[[#This Row],[_IsLeaf]]=1,Tasks[[#This Row],[_LeafTotalWork]]&gt;0),MAX(Tasks[[#This Row],[_StartWorkday]],NETWORKDAYS.INTL(ProjectStart,Tasks[[#This Row],[_ShownFcstFinish]],WorkWeek,Holidays)),0)</f>
        <v>0</v>
      </c>
      <c r="GA20" s="43" t="n">
        <f aca="false">IF(AND(Tasks[[#This Row],[_IsLeaf]]=1,Tasks[[#This Row],[_LeafTotalWork]]&gt;0),Tasks[[#This Row],[_LeafWork]]/(Tasks[[#This Row],[_FinishWorkday]]-Tasks[[#This Row],[_StartWorkday]]+1),0)</f>
        <v>0</v>
      </c>
      <c r="GB20" s="43" t="n">
        <f aca="false">Tasks[[#This Row],[_WorkPerWorkday]]*(Tasks[[#This Row],[_StartWorkday]]-1)</f>
        <v>-0</v>
      </c>
      <c r="GC20" s="43" t="n">
        <f aca="false">IF(Tasks[[#This Row],[_IsLeaf]]=1,MAX(N(Tasks[[#This Row],[_Days]]),0.1),0)</f>
        <v>0</v>
      </c>
      <c r="GD20" s="43" t="n">
        <f aca="false">Tasks[[#This Row],[_WeightDur]]*Tasks[[#This Row],[_LeafProgress]]</f>
        <v>0</v>
      </c>
      <c r="GE20" s="43" t="n">
        <f aca="false">Tasks[[#This Row],[_WeightDur]]*Tasks[[#This Row],[_PlannedPct]]</f>
        <v>0</v>
      </c>
      <c r="GF2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 s="43" t="str">
        <f aca="false">IF(AND(Tasks[[#This Row],[_IsLeaf]]=1,N(Tasks[[#This Row],[_Days]])=0,Tasks[[#This Row],[_LeafProgress]]&lt;1),Tasks[[#This Row],[_ShownFcstFinish]]+Tasks[[#This Row],[_Row]]/100000,"")</f>
        <v/>
      </c>
      <c r="GH2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 s="43" t="str">
        <f aca="false">IF(Tasks[[#This Row],[Task Name]]="","",LEFT(Tasks[[#This Row],[WBS]],FIND(".",Tasks[[#This Row],[WBS]]&amp;".")-1))</f>
        <v/>
      </c>
      <c r="GJ20" s="43" t="str">
        <f aca="false">IF(AND(Tasks[[#This Row],[Task Name]]&lt;&gt;"",Tasks[[#This Row],[_Level]]=1),Tasks[[#This Row],[_Row]],"")</f>
        <v/>
      </c>
      <c r="GK20" s="43" t="str">
        <f aca="false">IF(AND(Tasks[[#This Row],[_IsLeaf]]=1,N(Tasks[[#This Row],[_Days]])=0),Tasks[[#This Row],[Planned Finish]]+Tasks[[#This Row],[_Row]]/100000,"")</f>
        <v/>
      </c>
      <c r="GL20" s="43" t="str">
        <f aca="false">IF(AND(Tasks[[#This Row],[_IsLeaf]]=1,Tasks[[#This Row],[_LeafProgress]]&lt;1,OR(N(Tasks[[#This Row],[Finish Var]])&gt;0,Tasks[[#This Row],[Status]]="Late Start")),MAX(0,Tasks[[#This Row],[Finish Var]])+1-Tasks[[#This Row],[_Row]]/1000000,"")</f>
        <v/>
      </c>
      <c r="GM20" s="43" t="str">
        <f aca="false">IF(AND(Tasks[[#This Row],[_IsLeaf]]=1,N(Tasks[[#This Row],[Actual Start]])=0,Tasks[[#This Row],[_ShownFcstStart]]&gt;=StatusDate,Tasks[[#This Row],[_ShownFcstStart]]&lt;=LookaheadEnd),Tasks[[#This Row],[_ShownFcstStart]]+Tasks[[#This Row],[_Row]]/100000,"")</f>
        <v/>
      </c>
      <c r="GN20" s="43" t="str">
        <f aca="false">IF(AND(Tasks[[#This Row],[_IsLeaf]]=1,Tasks[[#This Row],[_LeafProgress]]&lt;1,Tasks[[#This Row],[_ShownFcstFinish]]&gt;=StatusDate,Tasks[[#This Row],[_ShownFcstFinish]]&lt;=LookaheadEnd),Tasks[[#This Row],[_ShownFcstFinish]]+Tasks[[#This Row],[_Row]]/100000,"")</f>
        <v/>
      </c>
      <c r="GO20" s="43" t="str">
        <f aca="false">IF(Tasks[[#This Row],[_LeafCritical]],Tasks[[#This Row],[_ShownFcstStart]]+Tasks[[#This Row],[_Row]]/100000,"")</f>
        <v/>
      </c>
      <c r="GP20" s="43" t="n">
        <f aca="false">Tasks[[#This Row],[_LeafWork]]*Tasks[[#This Row],[_LeafProgress]]</f>
        <v>0</v>
      </c>
      <c r="GQ20" s="91" t="str">
        <f aca="false">IF(AND(Tasks[[#This Row],[_IsLeaf]]=1,Tasks[[#This Row],[_LeafProgress]]&gt;=1),IF(N(Tasks[[#This Row],[Actual Finish]])&gt;0,Tasks[[#This Row],[Actual Finish]],Tasks[[#This Row],[_ShownFcstFinish]]),"")</f>
        <v/>
      </c>
      <c r="GR20" s="43" t="n">
        <f aca="false">IF(Tasks[[#This Row],[_IsLeaf]]=1,N(Tasks[[#This Row],[Story Points]]),0)</f>
        <v>0</v>
      </c>
      <c r="GS20" s="43" t="str">
        <f aca="false">""</f>
        <v/>
      </c>
      <c r="GT20" s="90" t="b">
        <f aca="false">IF(Tasks[[#This Row],[Task Name]]="",FALSE(),AND(Tasks[[#This Row],[_IsLeaf]]=1,N(Tasks[[#This Row],[_Days]])=0))</f>
        <v>0</v>
      </c>
      <c r="GU20" s="91" t="n">
        <f aca="false">IF(Tasks[[#This Row],[Task Name]]="",0,IF(AND(Tasks[[#This Row],[_IsLeaf]]=1,NOT(Tasks[[#This Row],[_IsMilestone]]),N(Tasks[[#This Row],[Progress]])&gt;0),Tasks[[#This Row],[Start]],0))</f>
        <v>0</v>
      </c>
      <c r="GV20" s="91" t="n">
        <f aca="false">IF(Tasks[[#This Row],[_DoneFrom]]=0,0,IF(Tasks[[#This Row],[Progress]]&gt;=1,Tasks[[#This Row],[Finish]],MAX(Tasks[[#This Row],[_DoneFrom]],Tasks[[#This Row],[Start]]+ROUND((Tasks[[#This Row],[Finish]]-Tasks[[#This Row],[Start]]+1)*Tasks[[#This Row],[Progress]],0)-1)))</f>
        <v>0</v>
      </c>
      <c r="GW20" s="91" t="n">
        <f aca="false">IF(Tasks[[#This Row],[Task Name]]="",0,IF(OR(NOT(Tasks[[#This Row],[_IsLeaf]]=1),Tasks[[#This Row],[_IsMilestone]],N(Tasks[[#This Row],[Progress]])&gt;=1),0,IF(Tasks[[#This Row],[_DoneTo]]&gt;0,Tasks[[#This Row],[_DoneTo]]+1,Tasks[[#This Row],[Start]])))</f>
        <v>0</v>
      </c>
      <c r="GX20" s="91" t="n">
        <f aca="false">IF(Tasks[[#This Row],[_RemFrom]]=0,0,Tasks[[#This Row],[Finish]])</f>
        <v>0</v>
      </c>
      <c r="GY20" s="90" t="b">
        <f aca="false">IF(Tasks[[#This Row],[Task Name]]="",FALSE(),OR(NOT(BaselineSet),N(Tasks[[#This Row],[Baseline Start]])&gt;0))</f>
        <v>0</v>
      </c>
      <c r="GZ2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 s="92" t="str">
        <f aca="false">IF(Tasks[[#This Row],[_IsLeaf]]=1,Tasks[[#This Row],[_Row]],"")</f>
        <v/>
      </c>
      <c r="HD20" s="92" t="str">
        <f aca="false">IFERROR(INDEX(Tasks[UID],SMALL(Tasks[_PickKey],Tasks[[#This Row],[_Row]]))&amp;" "&amp;INDEX(Tasks[Task Name],SMALL(Tasks[_PickKey],Tasks[[#This Row],[_Row]])),"")</f>
        <v/>
      </c>
      <c r="HE20" s="43" t="str">
        <f aca="false">IF(Tasks[[#This Row],[Task Name]]="","",IF(Tasks[[#This Row],[_IsSummary]],NETWORKDAYS.INTL(Tasks[[#This Row],[Start]],Tasks[[#This Row],[Finish]],WorkWeek,Holidays),N(Tasks[[#This Row],[_Days]])))</f>
        <v/>
      </c>
      <c r="HF20" s="43" t="n">
        <f aca="false">IF(Tasks[[#This Row],[Expected]]="",0,((Tasks[[#This Row],[Pessimistic]]-Tasks[[#This Row],[Optimistic]])/6)^2)</f>
        <v>0</v>
      </c>
      <c r="HG20" s="43" t="n">
        <f aca="false">IF(Tasks[[#This Row],[Expected]]="",0,Tasks[[#This Row],[Expected]]-N(Tasks[[#This Row],[_Days]]))</f>
        <v>0</v>
      </c>
    </row>
    <row r="21" customFormat="false" ht="15" hidden="false" customHeight="false" outlineLevel="0" collapsed="false">
      <c r="A21" s="21" t="str">
        <f aca="false">IF(Tasks[[#This Row],[Task Name]]="","",COUNTA(Tasks[[#Headers],[Task Name]]:Tasks[[#This Row],[Task Name]])-1)</f>
        <v/>
      </c>
      <c r="B21" s="22" t="n">
        <v>29</v>
      </c>
      <c r="C21" s="22"/>
      <c r="D21" s="23"/>
      <c r="E21" s="22"/>
      <c r="F21" s="23"/>
      <c r="G21" s="22"/>
      <c r="H21" s="22"/>
      <c r="I21" s="23"/>
      <c r="J21" s="22"/>
      <c r="K21" s="22"/>
      <c r="L21" s="23"/>
      <c r="M21" s="22"/>
      <c r="N21" s="22"/>
      <c r="O21" s="23"/>
      <c r="P21" s="22"/>
      <c r="Q21" s="22"/>
      <c r="R21" s="23"/>
      <c r="S21" s="23"/>
      <c r="T21" s="84"/>
      <c r="U21" s="23"/>
      <c r="V21" s="84"/>
      <c r="W21" s="23"/>
      <c r="X21" s="84"/>
      <c r="Y21" s="23"/>
      <c r="Z21" s="84"/>
      <c r="AA21" s="23"/>
      <c r="AB21" s="23"/>
      <c r="AC21" s="7"/>
      <c r="AD21" s="7"/>
      <c r="AE21" s="63" t="str">
        <f aca="false">IF(Tasks[[#This Row],[Task Name]]="","",IF(Tasks[[#This Row],[_IsSummary]],MIN(INDEX(Tasks[_ShownFcstStart],Tasks[[#This Row],[_Row]]+1):INDEX(Tasks[_ShownFcstStart],Tasks[[#This Row],[_Row]]+Tasks[[#This Row],[_Descendants]])),Tasks[[#This Row],[_ShownFcstStart]]))</f>
        <v/>
      </c>
      <c r="AF21" s="63" t="str">
        <f aca="false">IF(Tasks[[#This Row],[Task Name]]="","",IF(Tasks[[#This Row],[_IsSummary]],MAX(INDEX(Tasks[_ShownFcstFinish],Tasks[[#This Row],[_Row]]+1):INDEX(Tasks[_ShownFcstFinish],Tasks[[#This Row],[_Row]]+Tasks[[#This Row],[_Descendants]])),Tasks[[#This Row],[_ShownFcstFinish]]))</f>
        <v/>
      </c>
      <c r="AG21" s="21" t="str">
        <f aca="false">""</f>
        <v/>
      </c>
      <c r="AH21" s="23"/>
      <c r="AI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1" s="7"/>
      <c r="AK21" s="22"/>
      <c r="AL21" s="23"/>
      <c r="AM21" s="7"/>
      <c r="AN21" s="47" t="str">
        <f aca="false">IF(Tasks[[#This Row],[Task Name]]="","",IF(Tasks[[#This Row],[Finish]]&gt;=Tasks[[#This Row],[Planned Finish]],NETWORKDAYS.INTL(Tasks[[#This Row],[Planned Finish]],Tasks[[#This Row],[Finish]],WorkWeek,Holidays)-1,1-NETWORKDAYS.INTL(Tasks[[#This Row],[Finish]],Tasks[[#This Row],[Planned Finish]],WorkWeek,Holidays)))</f>
        <v/>
      </c>
      <c r="AO21" s="21" t="str">
        <f aca="false">IF(Tasks[[#This Row],[Task Name]]="","",IF(Tasks[[#This Row],[Progress]]&gt;=1,"Complete",IF(OR(N(Tasks[[#This Row],[Actual Start]])&gt;0,Tasks[[#This Row],[Progress]]&gt;0),IF(Tasks[[#This Row],[Finish Var]]&gt;0,"Behind","In Progress"),IF(Tasks[[#This Row],[Planned Start]]&lt;StatusDate,"Late Start","Not Started"))))</f>
        <v/>
      </c>
      <c r="AP21" s="21" t="str">
        <f aca="false">IF(Tasks[[#This Row],[Task Name]]="","",IF(IF(Tasks[[#This Row],[_IsSummary]],COUNTIF(INDEX(Tasks[_LeafCritical],Tasks[[#This Row],[_Row]]+1):INDEX(Tasks[_LeafCritical],Tasks[[#This Row],[_Row]]+Tasks[[#This Row],[_Descendants]]),TRUE())&gt;0,Tasks[[#This Row],[_LeafCritical]]),"Yes",""))</f>
        <v/>
      </c>
      <c r="AQ21" s="63" t="str">
        <f aca="false">IF(Tasks[[#This Row],[Task Name]]="","",IF(N(Tasks[[#This Row],[Baseline Start]])&gt;0,Tasks[[#This Row],[Baseline Start]],Tasks[[#This Row],[_CalcStart]]))</f>
        <v/>
      </c>
      <c r="AR21" s="63" t="str">
        <f aca="false">IF(Tasks[[#This Row],[Task Name]]="","",IF(N(Tasks[[#This Row],[Baseline Finish]])&gt;0,Tasks[[#This Row],[Baseline Finish]],Tasks[[#This Row],[_CalcFinish]]))</f>
        <v/>
      </c>
      <c r="AS21" s="47" t="str">
        <f aca="false">IF(Tasks[[#This Row],[Task Name]]="","",IF(Tasks[[#This Row],[Start]]&gt;=Tasks[[#This Row],[Planned Start]],NETWORKDAYS.INTL(Tasks[[#This Row],[Planned Start]],Tasks[[#This Row],[Start]],WorkWeek,Holidays)-1,1-NETWORKDAYS.INTL(Tasks[[#This Row],[Start]],Tasks[[#This Row],[Planned Start]],WorkWeek,Holidays)))</f>
        <v/>
      </c>
      <c r="AT21" s="63" t="str">
        <f aca="false">IF(Tasks[[#This Row],[Task Name]]="","",IF(Tasks[[#This Row],[_IsSummary]],MIN(INDEX(Tasks[_LeafLateStart],Tasks[[#This Row],[_Row]]+1):INDEX(Tasks[_LeafLateStart],Tasks[[#This Row],[_Row]]+Tasks[[#This Row],[_Descendants]])),Tasks[[#This Row],[_LeafLateStart]]))</f>
        <v/>
      </c>
      <c r="AU21" s="63" t="str">
        <f aca="false">IF(Tasks[[#This Row],[Task Name]]="","",IF(Tasks[[#This Row],[_IsSummary]],MAX(INDEX(Tasks[_LeafLateFinish],Tasks[[#This Row],[_Row]]+1):INDEX(Tasks[_LeafLateFinish],Tasks[[#This Row],[_Row]]+Tasks[[#This Row],[_Descendants]])),Tasks[[#This Row],[_LeafLateFinish]]))</f>
        <v/>
      </c>
      <c r="AV21" s="47" t="str">
        <f aca="false">IF(Tasks[[#This Row],[Task Name]]="","",IF(Tasks[[#This Row],[_IsSummary]],MIN(INDEX(Tasks[_LeafTotalSlack],Tasks[[#This Row],[_Row]]+1):INDEX(Tasks[_LeafTotalSlack],Tasks[[#This Row],[_Row]]+Tasks[[#This Row],[_Descendants]])),Tasks[[#This Row],[_LeafTotalSlack]]))</f>
        <v/>
      </c>
      <c r="AW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5"/>
      <c r="BA2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1" t="str">
        <f aca="false">IF(Tasks[[#This Row],[Task Name]]="","",IF(Tasks[[#This Row],[_Level]]&lt;=OutlineShowLevel,"Yes","No"))</f>
        <v/>
      </c>
      <c r="BE21" s="86" t="str">
        <f aca="false">IF(Tasks[[#This Row],[Task Name]]="","",IF(Tasks[[#This Row],[_IsSummary]],SUM(INDEX(Tasks[_LeafTotalWork],Tasks[[#This Row],[_Row]]+1):INDEX(Tasks[_LeafTotalWork],Tasks[[#This Row],[_Row]]+Tasks[[#This Row],[_Descendants]])),Tasks[[#This Row],[_LeafTotalWork]]))</f>
        <v/>
      </c>
      <c r="BF21" s="23"/>
      <c r="BG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1" s="21" t="str">
        <f aca="false">""</f>
        <v/>
      </c>
      <c r="BI21" s="87"/>
      <c r="BJ21" s="22"/>
      <c r="BK21" s="47" t="str">
        <f aca="false">IF(OR(Tasks[[#This Row],[Task Name]]="",Tasks[[#This Row],[Baseline Duration]]=""),"",Tasks[[#This Row],[_SpanDays]]-N(Tasks[[#This Row],[Baseline Duration]]))</f>
        <v/>
      </c>
      <c r="BL21" s="86" t="str">
        <f aca="false">IF(OR(Tasks[[#This Row],[Task Name]]="",Tasks[[#This Row],[Baseline Work]]=""),"",Tasks[[#This Row],[Work]]-N(Tasks[[#This Row],[Baseline Work]]))</f>
        <v/>
      </c>
      <c r="BM21" s="63" t="str">
        <f aca="false">IF(Tasks[[#This Row],[Task Name]]="","",IF(OR(TakeBaseline="Yes",N(Tasks[[#This Row],[Baseline Start]])=0),Tasks[[#This Row],[Start]],Tasks[[#This Row],[Baseline Start]]))</f>
        <v/>
      </c>
      <c r="BN21" s="63" t="str">
        <f aca="false">IF(Tasks[[#This Row],[Task Name]]="","",IF(OR(TakeBaseline="Yes",N(Tasks[[#This Row],[Baseline Finish]])=0),Tasks[[#This Row],[Finish]],Tasks[[#This Row],[Baseline Finish]]))</f>
        <v/>
      </c>
      <c r="BO21" s="21" t="str">
        <f aca="false">IF(Tasks[[#This Row],[Task Name]]="","",IF(OR(TakeBaseline="Yes",N(Tasks[[#This Row],[Baseline Duration]])=0),Tasks[[#This Row],[_SpanDays]],Tasks[[#This Row],[Baseline Duration]]))</f>
        <v/>
      </c>
      <c r="BP21" s="86" t="str">
        <f aca="false">IF(Tasks[[#This Row],[Task Name]]="","",IF(OR(TakeBaseline="Yes",N(Tasks[[#This Row],[Baseline Work]])=0),Tasks[[#This Row],[Work]],Tasks[[#This Row],[Baseline Work]]))</f>
        <v/>
      </c>
      <c r="BQ21" s="7"/>
      <c r="BR21" s="7"/>
      <c r="BS21" s="22"/>
      <c r="BT21" s="88"/>
      <c r="BU21" s="23"/>
      <c r="BV21" s="23"/>
      <c r="BW21" s="23"/>
      <c r="BX21" s="89" t="str">
        <f aca="false">IF(AND(Tasks[[#This Row],[_IsLeaf]]=1,ISNUMBER(Tasks[[#This Row],[Optimistic]]),ISNUMBER(Tasks[[#This Row],[Pessimistic]])),ROUND((Tasks[[#This Row],[Optimistic]]+4*N(Tasks[[#This Row],[_Days]])+Tasks[[#This Row],[Pessimistic]])/6,1),"")</f>
        <v/>
      </c>
      <c r="BY21" s="87"/>
      <c r="BZ21" s="87"/>
      <c r="CA21" s="22"/>
      <c r="CB21" s="43" t="str">
        <f aca="false">IF(Tasks[[#This Row],[Task Name]]="","",MAX(1,N(Tasks[[#This Row],[Level]])))</f>
        <v/>
      </c>
      <c r="CC21" s="43" t="n">
        <f aca="false">ROW()-ROW(Tasks[[#Headers],[ID]])</f>
        <v>16</v>
      </c>
      <c r="CD21" s="43" t="n">
        <f aca="false">IF(OR(Tasks[[#This Row],[Task Name]]="",Tasks[[#This Row],[_Level]]&lt;=1),0,IFERROR(LOOKUP(2,1/(Tasks[[#Headers],[_Level]]:Tasks[[#This Row],[_Level]]=Tasks[[#This Row],[_Level]]-1),ROW(Tasks[[#Headers],[_Level]]:Tasks[[#This Row],[_Level]])),0))</f>
        <v>0</v>
      </c>
      <c r="CE21" s="43" t="n">
        <f aca="false">IFERROR(N(INDEX(Tasks[_Level],Tasks[[#This Row],[_Row]]+1)),0)</f>
        <v>0</v>
      </c>
      <c r="CF21" s="90" t="b">
        <f aca="false">AND(Tasks[[#This Row],[Task Name]]&lt;&gt;"",Tasks[[#This Row],[_NextLevel]]&gt;Tasks[[#This Row],[_Level]])</f>
        <v>0</v>
      </c>
      <c r="CG21" s="43" t="n">
        <f aca="false">IF(Tasks[[#This Row],[_IsSummary]],COUNTIF(Tasks[WBS],Tasks[[#This Row],[WBS]]&amp;".*"),0)</f>
        <v>0</v>
      </c>
      <c r="CH21" s="43" t="n">
        <f aca="false">IF(AND(Tasks[[#This Row],[Task Name]]&lt;&gt;"",NOT(Tasks[[#This Row],[_IsSummary]])),1,0)</f>
        <v>0</v>
      </c>
      <c r="CI21" s="43" t="n">
        <f aca="false">IF(N(Tasks[[#This Row],[_Pred1UID]])=0,0,IFERROR(MATCH(Tasks[[#This Row],[_Pred1UID]],Tasks[UID],0),-1))</f>
        <v>0</v>
      </c>
      <c r="CJ21" s="43" t="n">
        <f aca="false">IF(N(Tasks[[#This Row],[_Pred2UID]])=0,0,IFERROR(MATCH(Tasks[[#This Row],[_Pred2UID]],Tasks[UID],0),-1))</f>
        <v>0</v>
      </c>
      <c r="CK21" s="43" t="n">
        <f aca="false">IF(N(Tasks[[#This Row],[_Pred3UID]])=0,0,IFERROR(MATCH(Tasks[[#This Row],[_Pred3UID]],Tasks[UID],0),-1))</f>
        <v>0</v>
      </c>
      <c r="CL21" s="43" t="n">
        <f aca="false">IF(N(Tasks[[#This Row],[_Pred4UID]])=0,0,IFERROR(MATCH(Tasks[[#This Row],[_Pred4UID]],Tasks[UID],0),-1))</f>
        <v>0</v>
      </c>
      <c r="CM2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1" s="91" t="n">
        <f aca="false">IF(OR(Tasks[[#This Row],[_ConstraintCode]]=2,Tasks[[#This Row],[_ConstraintCode]]=3,Tasks[[#This Row],[_ConstraintCode]]=4,Tasks[[#This Row],[_ConstraintCode]]=6),Tasks[[#This Row],[_ConstraintStart]],0)</f>
        <v>0</v>
      </c>
      <c r="CP21" s="91" t="n">
        <f aca="false">IF(OR(Tasks[[#This Row],[_ConstraintCode]]=2,Tasks[[#This Row],[_ConstraintCode]]=3,Tasks[[#This Row],[_ConstraintCode]]=5,Tasks[[#This Row],[_ConstraintCode]]=7),Tasks[[#This Row],[_ConstraintStart]],2958465)</f>
        <v>2958465</v>
      </c>
      <c r="CQ2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1" s="91" t="str">
        <f aca="false">IF(NOT(Tasks[[#This Row],[_IsLeaf]]=1),"",IF(N(Tasks[[#This Row],[_Days]])&lt;=0,Tasks[[#This Row],[_LeafCalcStart]],WORKDAY.INTL(Tasks[[#This Row],[_LeafCalcStart]],Tasks[[#This Row],[_Days]]-1,WorkWeek,Holidays)))</f>
        <v/>
      </c>
      <c r="CS2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1" s="43" t="str">
        <f aca="false">IF(Tasks[[#This Row],[_Predecessors]]="","",TRIM(MID(SUBSTITUTE(SUBSTITUTE(SUBSTITUTE(UPPER(Tasks[[#This Row],[_Predecessors]]),";",",")," ",""),",",REPT(" ",99)),1,99)))</f>
        <v/>
      </c>
      <c r="CV21" s="43" t="str">
        <f aca="false">IF(Tasks[[#This Row],[_Pred1Text]]="","",IFERROR(VALUE(LEFT(Tasks[[#This Row],[_Pred1Text]],MIN(FIND("F",Tasks[[#This Row],[_Pred1Text]]&amp;"F"),FIND("S",Tasks[[#This Row],[_Pred1Text]]&amp;"S"),FIND("+",Tasks[[#This Row],[_Pred1Text]]&amp;"+"),FIND("-",Tasks[[#This Row],[_Pred1Text]]&amp;"-"))-1)),""))</f>
        <v/>
      </c>
      <c r="CW2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1" s="43" t="str">
        <f aca="false">IF(Tasks[[#This Row],[_Pred1Text]]="","",TRIM(MID(SUBSTITUTE(SUBSTITUTE(SUBSTITUTE(UPPER(Tasks[[#This Row],[_Predecessors]]),";",",")," ",""),",",REPT(" ",99)),100,99)))</f>
        <v/>
      </c>
      <c r="CZ21" s="43" t="str">
        <f aca="false">IF(Tasks[[#This Row],[_Pred2Text]]="","",IFERROR(VALUE(LEFT(Tasks[[#This Row],[_Pred2Text]],MIN(FIND("F",Tasks[[#This Row],[_Pred2Text]]&amp;"F"),FIND("S",Tasks[[#This Row],[_Pred2Text]]&amp;"S"),FIND("+",Tasks[[#This Row],[_Pred2Text]]&amp;"+"),FIND("-",Tasks[[#This Row],[_Pred2Text]]&amp;"-"))-1)),""))</f>
        <v/>
      </c>
      <c r="DA2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1" s="43" t="str">
        <f aca="false">IF(Tasks[[#This Row],[_Pred2Text]]="","",TRIM(MID(SUBSTITUTE(SUBSTITUTE(SUBSTITUTE(UPPER(Tasks[[#This Row],[_Predecessors]]),";",",")," ",""),",",REPT(" ",99)),199,99)))</f>
        <v/>
      </c>
      <c r="DD21" s="43" t="str">
        <f aca="false">IF(Tasks[[#This Row],[_Pred3Text]]="","",IFERROR(VALUE(LEFT(Tasks[[#This Row],[_Pred3Text]],MIN(FIND("F",Tasks[[#This Row],[_Pred3Text]]&amp;"F"),FIND("S",Tasks[[#This Row],[_Pred3Text]]&amp;"S"),FIND("+",Tasks[[#This Row],[_Pred3Text]]&amp;"+"),FIND("-",Tasks[[#This Row],[_Pred3Text]]&amp;"-"))-1)),""))</f>
        <v/>
      </c>
      <c r="DE2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1" s="43" t="str">
        <f aca="false">IF(Tasks[[#This Row],[_Pred3Text]]="","",TRIM(MID(SUBSTITUTE(SUBSTITUTE(SUBSTITUTE(UPPER(Tasks[[#This Row],[_Predecessors]]),";",",")," ",""),",",REPT(" ",99)),298,99)))</f>
        <v/>
      </c>
      <c r="DH21" s="43" t="str">
        <f aca="false">IF(Tasks[[#This Row],[_Pred4Text]]="","",IFERROR(VALUE(LEFT(Tasks[[#This Row],[_Pred4Text]],MIN(FIND("F",Tasks[[#This Row],[_Pred4Text]]&amp;"F"),FIND("S",Tasks[[#This Row],[_Pred4Text]]&amp;"S"),FIND("+",Tasks[[#This Row],[_Pred4Text]]&amp;"+"),FIND("-",Tasks[[#This Row],[_Pred4Text]]&amp;"-"))-1)),""))</f>
        <v/>
      </c>
      <c r="DI2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1" s="43" t="str">
        <f aca="false">IF(OR(Tasks[[#This Row],[Task Name]]="",Tasks[[#This Row],[_Resources]]=""),"",TRIM(MID(SUBSTITUTE(Tasks[[#This Row],[_Resources]],",",REPT(" ",99)),1,99)))</f>
        <v/>
      </c>
      <c r="DL21" s="43" t="str">
        <f aca="false">IF(Tasks[[#This Row],[_Res1Text]]="","",TRIM(MID(SUBSTITUTE(Tasks[[#This Row],[_Resources]],",",REPT(" ",99)),100,99)))</f>
        <v/>
      </c>
      <c r="DM21" s="43" t="str">
        <f aca="false">IF(Tasks[[#This Row],[_Res2Text]]="","",TRIM(MID(SUBSTITUTE(Tasks[[#This Row],[_Resources]],",",REPT(" ",99)),199,99)))</f>
        <v/>
      </c>
      <c r="DN21" s="43" t="str">
        <f aca="false">IF(Tasks[[#This Row],[_Res3Text]]="","",TRIM(MID(SUBSTITUTE(Tasks[[#This Row],[_Resources]],",",REPT(" ",99)),298,99)))</f>
        <v/>
      </c>
      <c r="DO21" s="43" t="n">
        <f aca="false">IF(Tasks[[#This Row],[_Res1Text]]="",0,IFERROR(MATCH(TRIM(LEFT(Tasks[[#This Row],[_Res1Text]],FIND("[",Tasks[[#This Row],[_Res1Text]]&amp;"[")-1)),res_Name,0),IFERROR(MATCH(TRIM(LEFT(Tasks[[#This Row],[_Res1Text]],FIND("[",Tasks[[#This Row],[_Res1Text]]&amp;"[")-1)),res_Initials,0),0)))</f>
        <v>0</v>
      </c>
      <c r="DP21" s="43" t="n">
        <f aca="false">IF(Tasks[[#This Row],[_Res2Text]]="",0,IFERROR(MATCH(TRIM(LEFT(Tasks[[#This Row],[_Res2Text]],FIND("[",Tasks[[#This Row],[_Res2Text]]&amp;"[")-1)),res_Name,0),IFERROR(MATCH(TRIM(LEFT(Tasks[[#This Row],[_Res2Text]],FIND("[",Tasks[[#This Row],[_Res2Text]]&amp;"[")-1)),res_Initials,0),0)))</f>
        <v>0</v>
      </c>
      <c r="DQ21" s="43" t="n">
        <f aca="false">IF(Tasks[[#This Row],[_Res3Text]]="",0,IFERROR(MATCH(TRIM(LEFT(Tasks[[#This Row],[_Res3Text]],FIND("[",Tasks[[#This Row],[_Res3Text]]&amp;"[")-1)),res_Name,0),IFERROR(MATCH(TRIM(LEFT(Tasks[[#This Row],[_Res3Text]],FIND("[",Tasks[[#This Row],[_Res3Text]]&amp;"[")-1)),res_Initials,0),0)))</f>
        <v>0</v>
      </c>
      <c r="DR21" s="43" t="n">
        <f aca="false">IF(Tasks[[#This Row],[_Res4Text]]="",0,IFERROR(MATCH(TRIM(LEFT(Tasks[[#This Row],[_Res4Text]],FIND("[",Tasks[[#This Row],[_Res4Text]]&amp;"[")-1)),res_Name,0),IFERROR(MATCH(TRIM(LEFT(Tasks[[#This Row],[_Res4Text]],FIND("[",Tasks[[#This Row],[_Res4Text]]&amp;"[")-1)),res_Initials,0),0)))</f>
        <v>0</v>
      </c>
      <c r="DS21" s="43" t="str">
        <f aca="false">IF(Tasks[[#This Row],[_Res1Text]]="","",IF(Tasks[[#This Row],[_Res1Row]]&gt;0,INDEX(res_Name,Tasks[[#This Row],[_Res1Row]]),TRIM(LEFT(Tasks[[#This Row],[_Res1Text]],FIND("[",Tasks[[#This Row],[_Res1Text]]&amp;"[")-1))))</f>
        <v/>
      </c>
      <c r="DT2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1" s="43" t="n">
        <f aca="false">IF(NOT(Tasks[[#This Row],[_IsLeaf]]=1),0,(Tasks[[#This Row],[_Resource1]]&lt;&gt;"")+(Tasks[[#This Row],[_Res2]]&lt;&gt;"")+(Tasks[[#This Row],[_Res3]]&lt;&gt;"")+(Tasks[[#This Row],[_Res4]]&lt;&gt;""))</f>
        <v>0</v>
      </c>
      <c r="DV21" s="43" t="str">
        <f aca="false">IF(Tasks[[#This Row],[_Res2Text]]="","",IF(Tasks[[#This Row],[_Res2Row]]&gt;0,INDEX(res_Name,Tasks[[#This Row],[_Res2Row]]),TRIM(LEFT(Tasks[[#This Row],[_Res2Text]],FIND("[",Tasks[[#This Row],[_Res2Text]]&amp;"[")-1))))</f>
        <v/>
      </c>
      <c r="DW2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1" s="43" t="n">
        <f aca="false">IF(OR(NOT(Tasks[[#This Row],[_IsLeaf]]=1),Tasks[[#This Row],[_Res2Row]]=0),0,N(Tasks[[#This Row],[_Days]])*HoursPerDay*IF(Tasks[[#This Row],[_Res2Units]]="",DefaultUnits,Tasks[[#This Row],[_Res2Units]]))</f>
        <v>0</v>
      </c>
      <c r="DY21" s="43" t="n">
        <f aca="false">IF(AND(AND(Tasks[[#This Row],[_IsLeaf]]=1,Tasks[[#This Row],[_LeafTotalWork]]&gt;0),Tasks[[#This Row],[_Res2Work]]&gt;0),Tasks[[#This Row],[_Res2Work]]/(Tasks[[#This Row],[_FinishWorkday]]-Tasks[[#This Row],[_StartWorkday]]+1),0)</f>
        <v>0</v>
      </c>
      <c r="DZ21" s="43" t="n">
        <f aca="false">Tasks[[#This Row],[_Res2WorkPerWD]]*MAX(0,Tasks[[#This Row],[_StartWorkday]]-1)</f>
        <v>0</v>
      </c>
      <c r="EA21" s="43" t="n">
        <f aca="false">Tasks[[#This Row],[_Res2Work]]*Tasks[[#This Row],[_LeafProgress]]</f>
        <v>0</v>
      </c>
      <c r="EB21" s="43" t="str">
        <f aca="false">IF(Tasks[[#This Row],[_Res3Text]]="","",IF(Tasks[[#This Row],[_Res3Row]]&gt;0,INDEX(res_Name,Tasks[[#This Row],[_Res3Row]]),TRIM(LEFT(Tasks[[#This Row],[_Res3Text]],FIND("[",Tasks[[#This Row],[_Res3Text]]&amp;"[")-1))))</f>
        <v/>
      </c>
      <c r="EC2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1" s="43" t="n">
        <f aca="false">IF(OR(NOT(Tasks[[#This Row],[_IsLeaf]]=1),Tasks[[#This Row],[_Res3Row]]=0),0,N(Tasks[[#This Row],[_Days]])*HoursPerDay*IF(Tasks[[#This Row],[_Res3Units]]="",DefaultUnits,Tasks[[#This Row],[_Res3Units]]))</f>
        <v>0</v>
      </c>
      <c r="EE21" s="43" t="n">
        <f aca="false">IF(AND(AND(Tasks[[#This Row],[_IsLeaf]]=1,Tasks[[#This Row],[_LeafTotalWork]]&gt;0),Tasks[[#This Row],[_Res3Work]]&gt;0),Tasks[[#This Row],[_Res3Work]]/(Tasks[[#This Row],[_FinishWorkday]]-Tasks[[#This Row],[_StartWorkday]]+1),0)</f>
        <v>0</v>
      </c>
      <c r="EF21" s="43" t="n">
        <f aca="false">Tasks[[#This Row],[_Res3WorkPerWD]]*MAX(0,Tasks[[#This Row],[_StartWorkday]]-1)</f>
        <v>0</v>
      </c>
      <c r="EG21" s="43" t="n">
        <f aca="false">Tasks[[#This Row],[_Res3Work]]*Tasks[[#This Row],[_LeafProgress]]</f>
        <v>0</v>
      </c>
      <c r="EH21" s="43" t="str">
        <f aca="false">IF(Tasks[[#This Row],[_Res4Text]]="","",IF(Tasks[[#This Row],[_Res4Row]]&gt;0,INDEX(res_Name,Tasks[[#This Row],[_Res4Row]]),TRIM(LEFT(Tasks[[#This Row],[_Res4Text]],FIND("[",Tasks[[#This Row],[_Res4Text]]&amp;"[")-1))))</f>
        <v/>
      </c>
      <c r="EI2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1" s="43" t="n">
        <f aca="false">IF(OR(NOT(Tasks[[#This Row],[_IsLeaf]]=1),Tasks[[#This Row],[_Res4Row]]=0),0,N(Tasks[[#This Row],[_Days]])*HoursPerDay*IF(Tasks[[#This Row],[_Res4Units]]="",DefaultUnits,Tasks[[#This Row],[_Res4Units]]))</f>
        <v>0</v>
      </c>
      <c r="EK21" s="43" t="n">
        <f aca="false">IF(AND(AND(Tasks[[#This Row],[_IsLeaf]]=1,Tasks[[#This Row],[_LeafTotalWork]]&gt;0),Tasks[[#This Row],[_Res4Work]]&gt;0),Tasks[[#This Row],[_Res4Work]]/(Tasks[[#This Row],[_FinishWorkday]]-Tasks[[#This Row],[_StartWorkday]]+1),0)</f>
        <v>0</v>
      </c>
      <c r="EL21" s="43" t="n">
        <f aca="false">Tasks[[#This Row],[_Res4WorkPerWD]]*MAX(0,Tasks[[#This Row],[_StartWorkday]]-1)</f>
        <v>0</v>
      </c>
      <c r="EM21" s="43" t="n">
        <f aca="false">Tasks[[#This Row],[_Res4Work]]*Tasks[[#This Row],[_LeafProgress]]</f>
        <v>0</v>
      </c>
      <c r="EN21" s="43" t="n">
        <f aca="false">IF(ISNUMBER(Tasks[[#This Row],[% Complete]]),Tasks[[#This Row],[% Complete]],IF(Tasks[[#This Row],[Stage]]="",0,IFERROR(INDEX(stg_Pct,MATCH(Tasks[[#This Row],[Stage]],stg_Name,0)),0)))</f>
        <v>0</v>
      </c>
      <c r="EO21" s="43" t="n">
        <f aca="false">IF(NOT(Tasks[[#This Row],[_IsLeaf]]=1),0,IF(N(Tasks[[#This Row],[Actual Finish]])&gt;0,1,MIN(1,Tasks[[#This Row],[_Pct]])))</f>
        <v>0</v>
      </c>
      <c r="EP21" s="43" t="n">
        <f aca="false">IF(OR(NOT(Tasks[[#This Row],[_IsLeaf]]=1),Tasks[[#This Row],[_Res1Row]]=0),0,N(Tasks[[#This Row],[_Days]])*HoursPerDay*IF(Tasks[[#This Row],[_Units1]]="",DefaultUnits,Tasks[[#This Row],[_Units1]]))</f>
        <v>0</v>
      </c>
      <c r="EQ21" s="43" t="n">
        <f aca="false">Tasks[[#This Row],[_LeafWork]]+Tasks[[#This Row],[_Res2Work]]+Tasks[[#This Row],[_Res3Work]]+Tasks[[#This Row],[_Res4Work]]</f>
        <v>0</v>
      </c>
      <c r="ER2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1" s="43" t="n">
        <f aca="false">IF(NOT(Tasks[[#This Row],[_IsLeaf]]=1),0,MAX(_xlfn.MAXIFS(Tasks[_Row],Tasks[_Pred1UID],Tasks[[#This Row],[UID]]),_xlfn.MAXIFS(Tasks[_Row],Tasks[_Pred2UID],Tasks[[#This Row],[UID]]),_xlfn.MAXIFS(Tasks[_Row],Tasks[_Pred3UID],Tasks[[#This Row],[UID]]),_xlfn.MAXIFS(Tasks[_Row],Tasks[_Pred4UID],Tasks[[#This Row],[UID]])))</f>
        <v>0</v>
      </c>
      <c r="FA2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1" s="91" t="str">
        <f aca="false">IF(NOT(Tasks[[#This Row],[_IsLeaf]]=1),"",IF(N(Tasks[[#This Row],[_Days]])&lt;=0,Tasks[[#This Row],[_LeafLateFinish]],WORKDAY.INTL(Tasks[[#This Row],[_LeafLateFinish]],-(Tasks[[#This Row],[_Days]]-1),WorkWeek,Holidays)))</f>
        <v/>
      </c>
      <c r="FD2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1" s="90" t="b">
        <f aca="false">AND(Tasks[[#This Row],[_IsLeaf]]=1,Tasks[[#This Row],[_LeafProgress]]&lt;1,N(Tasks[[#This Row],[_LeafTotalSlack]])&lt;=CriticalSlackDays)</f>
        <v>0</v>
      </c>
      <c r="FF21" s="43" t="n">
        <f aca="false">IF(AND(Tasks[[#This Row],[_IsLeaf]]=1,Tasks[[#This Row],[_ConstraintCode]]=1,Tasks[[#This Row],[Mode]]&lt;&gt;"Manual",N(Tasks[[#This Row],[Actual Start]])=0),MAX(0,N(Tasks[[#This Row],[Free Slack]])),0)</f>
        <v>0</v>
      </c>
      <c r="FG21" s="91" t="str">
        <f aca="false">IF(NOT(Tasks[[#This Row],[_IsLeaf]]=1),"",IF(Tasks[[#This Row],[_AlapShift]]=0,Tasks[[#This Row],[_LeafCalcStart]],WORKDAY.INTL(Tasks[[#This Row],[_LeafCalcStart]],Tasks[[#This Row],[_AlapShift]],WorkWeek,Holidays)))</f>
        <v/>
      </c>
      <c r="FH21" s="91" t="str">
        <f aca="false">IF(NOT(Tasks[[#This Row],[_IsLeaf]]=1),"",IF(Tasks[[#This Row],[_AlapShift]]=0,Tasks[[#This Row],[_LeafCalcFinish]],WORKDAY.INTL(Tasks[[#This Row],[_LeafCalcFinish]],Tasks[[#This Row],[_AlapShift]],WorkWeek,Holidays)))</f>
        <v/>
      </c>
      <c r="FI21" s="91" t="str">
        <f aca="false">IF(NOT(Tasks[[#This Row],[_IsLeaf]]=1),"",IF(Tasks[[#This Row],[_AlapShift]]=0,Tasks[[#This Row],[_LeafFcstStart]],WORKDAY.INTL(Tasks[[#This Row],[_LeafFcstStart]],Tasks[[#This Row],[_AlapShift]],WorkWeek,Holidays)))</f>
        <v/>
      </c>
      <c r="FJ21" s="91" t="str">
        <f aca="false">IF(NOT(Tasks[[#This Row],[_IsLeaf]]=1),"",IF(Tasks[[#This Row],[_AlapShift]]=0,Tasks[[#This Row],[_LeafFcstFinish]],WORKDAY.INTL(Tasks[[#This Row],[_LeafFcstFinish]],Tasks[[#This Row],[_AlapShift]],WorkWeek,Holidays)))</f>
        <v/>
      </c>
      <c r="FK21" s="91" t="str">
        <f aca="false">IF(Tasks[[#This Row],[Task Name]]="","",IF(Tasks[[#This Row],[_IsSummary]],MIN(INDEX(Tasks[_ShownCalcStart],Tasks[[#This Row],[_Row]]+1):INDEX(Tasks[_ShownCalcStart],Tasks[[#This Row],[_Row]]+Tasks[[#This Row],[_Descendants]])),Tasks[[#This Row],[_ShownCalcStart]]))</f>
        <v/>
      </c>
      <c r="FL21" s="91" t="str">
        <f aca="false">IF(Tasks[[#This Row],[Task Name]]="","",IF(Tasks[[#This Row],[_IsSummary]],MAX(INDEX(Tasks[_ShownCalcFinish],Tasks[[#This Row],[_Row]]+1):INDEX(Tasks[_ShownCalcFinish],Tasks[[#This Row],[_Row]]+Tasks[[#This Row],[_Descendants]])),Tasks[[#This Row],[_ShownCalcFinish]]))</f>
        <v/>
      </c>
      <c r="FM2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1" s="43" t="n">
        <f aca="false">IF(AND(Tasks[[#This Row],[_IsLeaf]]=1,Tasks[[#This Row],[_LeafTotalWork]]&gt;0),NETWORKDAYS.INTL(ProjectStart,Tasks[[#This Row],[_ShownFcstStart]],WorkWeek,Holidays),0)</f>
        <v>0</v>
      </c>
      <c r="FZ21" s="43" t="n">
        <f aca="false">IF(AND(Tasks[[#This Row],[_IsLeaf]]=1,Tasks[[#This Row],[_LeafTotalWork]]&gt;0),MAX(Tasks[[#This Row],[_StartWorkday]],NETWORKDAYS.INTL(ProjectStart,Tasks[[#This Row],[_ShownFcstFinish]],WorkWeek,Holidays)),0)</f>
        <v>0</v>
      </c>
      <c r="GA21" s="43" t="n">
        <f aca="false">IF(AND(Tasks[[#This Row],[_IsLeaf]]=1,Tasks[[#This Row],[_LeafTotalWork]]&gt;0),Tasks[[#This Row],[_LeafWork]]/(Tasks[[#This Row],[_FinishWorkday]]-Tasks[[#This Row],[_StartWorkday]]+1),0)</f>
        <v>0</v>
      </c>
      <c r="GB21" s="43" t="n">
        <f aca="false">Tasks[[#This Row],[_WorkPerWorkday]]*(Tasks[[#This Row],[_StartWorkday]]-1)</f>
        <v>-0</v>
      </c>
      <c r="GC21" s="43" t="n">
        <f aca="false">IF(Tasks[[#This Row],[_IsLeaf]]=1,MAX(N(Tasks[[#This Row],[_Days]]),0.1),0)</f>
        <v>0</v>
      </c>
      <c r="GD21" s="43" t="n">
        <f aca="false">Tasks[[#This Row],[_WeightDur]]*Tasks[[#This Row],[_LeafProgress]]</f>
        <v>0</v>
      </c>
      <c r="GE21" s="43" t="n">
        <f aca="false">Tasks[[#This Row],[_WeightDur]]*Tasks[[#This Row],[_PlannedPct]]</f>
        <v>0</v>
      </c>
      <c r="GF2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1" s="43" t="str">
        <f aca="false">IF(AND(Tasks[[#This Row],[_IsLeaf]]=1,N(Tasks[[#This Row],[_Days]])=0,Tasks[[#This Row],[_LeafProgress]]&lt;1),Tasks[[#This Row],[_ShownFcstFinish]]+Tasks[[#This Row],[_Row]]/100000,"")</f>
        <v/>
      </c>
      <c r="GH2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1" s="43" t="str">
        <f aca="false">IF(Tasks[[#This Row],[Task Name]]="","",LEFT(Tasks[[#This Row],[WBS]],FIND(".",Tasks[[#This Row],[WBS]]&amp;".")-1))</f>
        <v/>
      </c>
      <c r="GJ21" s="43" t="str">
        <f aca="false">IF(AND(Tasks[[#This Row],[Task Name]]&lt;&gt;"",Tasks[[#This Row],[_Level]]=1),Tasks[[#This Row],[_Row]],"")</f>
        <v/>
      </c>
      <c r="GK21" s="43" t="str">
        <f aca="false">IF(AND(Tasks[[#This Row],[_IsLeaf]]=1,N(Tasks[[#This Row],[_Days]])=0),Tasks[[#This Row],[Planned Finish]]+Tasks[[#This Row],[_Row]]/100000,"")</f>
        <v/>
      </c>
      <c r="GL21" s="43" t="str">
        <f aca="false">IF(AND(Tasks[[#This Row],[_IsLeaf]]=1,Tasks[[#This Row],[_LeafProgress]]&lt;1,OR(N(Tasks[[#This Row],[Finish Var]])&gt;0,Tasks[[#This Row],[Status]]="Late Start")),MAX(0,Tasks[[#This Row],[Finish Var]])+1-Tasks[[#This Row],[_Row]]/1000000,"")</f>
        <v/>
      </c>
      <c r="GM21" s="43" t="str">
        <f aca="false">IF(AND(Tasks[[#This Row],[_IsLeaf]]=1,N(Tasks[[#This Row],[Actual Start]])=0,Tasks[[#This Row],[_ShownFcstStart]]&gt;=StatusDate,Tasks[[#This Row],[_ShownFcstStart]]&lt;=LookaheadEnd),Tasks[[#This Row],[_ShownFcstStart]]+Tasks[[#This Row],[_Row]]/100000,"")</f>
        <v/>
      </c>
      <c r="GN21" s="43" t="str">
        <f aca="false">IF(AND(Tasks[[#This Row],[_IsLeaf]]=1,Tasks[[#This Row],[_LeafProgress]]&lt;1,Tasks[[#This Row],[_ShownFcstFinish]]&gt;=StatusDate,Tasks[[#This Row],[_ShownFcstFinish]]&lt;=LookaheadEnd),Tasks[[#This Row],[_ShownFcstFinish]]+Tasks[[#This Row],[_Row]]/100000,"")</f>
        <v/>
      </c>
      <c r="GO21" s="43" t="str">
        <f aca="false">IF(Tasks[[#This Row],[_LeafCritical]],Tasks[[#This Row],[_ShownFcstStart]]+Tasks[[#This Row],[_Row]]/100000,"")</f>
        <v/>
      </c>
      <c r="GP21" s="43" t="n">
        <f aca="false">Tasks[[#This Row],[_LeafWork]]*Tasks[[#This Row],[_LeafProgress]]</f>
        <v>0</v>
      </c>
      <c r="GQ21" s="91" t="str">
        <f aca="false">IF(AND(Tasks[[#This Row],[_IsLeaf]]=1,Tasks[[#This Row],[_LeafProgress]]&gt;=1),IF(N(Tasks[[#This Row],[Actual Finish]])&gt;0,Tasks[[#This Row],[Actual Finish]],Tasks[[#This Row],[_ShownFcstFinish]]),"")</f>
        <v/>
      </c>
      <c r="GR21" s="43" t="n">
        <f aca="false">IF(Tasks[[#This Row],[_IsLeaf]]=1,N(Tasks[[#This Row],[Story Points]]),0)</f>
        <v>0</v>
      </c>
      <c r="GS21" s="43" t="str">
        <f aca="false">""</f>
        <v/>
      </c>
      <c r="GT21" s="90" t="b">
        <f aca="false">IF(Tasks[[#This Row],[Task Name]]="",FALSE(),AND(Tasks[[#This Row],[_IsLeaf]]=1,N(Tasks[[#This Row],[_Days]])=0))</f>
        <v>0</v>
      </c>
      <c r="GU21" s="91" t="n">
        <f aca="false">IF(Tasks[[#This Row],[Task Name]]="",0,IF(AND(Tasks[[#This Row],[_IsLeaf]]=1,NOT(Tasks[[#This Row],[_IsMilestone]]),N(Tasks[[#This Row],[Progress]])&gt;0),Tasks[[#This Row],[Start]],0))</f>
        <v>0</v>
      </c>
      <c r="GV21" s="91" t="n">
        <f aca="false">IF(Tasks[[#This Row],[_DoneFrom]]=0,0,IF(Tasks[[#This Row],[Progress]]&gt;=1,Tasks[[#This Row],[Finish]],MAX(Tasks[[#This Row],[_DoneFrom]],Tasks[[#This Row],[Start]]+ROUND((Tasks[[#This Row],[Finish]]-Tasks[[#This Row],[Start]]+1)*Tasks[[#This Row],[Progress]],0)-1)))</f>
        <v>0</v>
      </c>
      <c r="GW21" s="91" t="n">
        <f aca="false">IF(Tasks[[#This Row],[Task Name]]="",0,IF(OR(NOT(Tasks[[#This Row],[_IsLeaf]]=1),Tasks[[#This Row],[_IsMilestone]],N(Tasks[[#This Row],[Progress]])&gt;=1),0,IF(Tasks[[#This Row],[_DoneTo]]&gt;0,Tasks[[#This Row],[_DoneTo]]+1,Tasks[[#This Row],[Start]])))</f>
        <v>0</v>
      </c>
      <c r="GX21" s="91" t="n">
        <f aca="false">IF(Tasks[[#This Row],[_RemFrom]]=0,0,Tasks[[#This Row],[Finish]])</f>
        <v>0</v>
      </c>
      <c r="GY21" s="90" t="b">
        <f aca="false">IF(Tasks[[#This Row],[Task Name]]="",FALSE(),OR(NOT(BaselineSet),N(Tasks[[#This Row],[Baseline Start]])&gt;0))</f>
        <v>0</v>
      </c>
      <c r="GZ2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1" s="92" t="str">
        <f aca="false">IF(Tasks[[#This Row],[_IsLeaf]]=1,Tasks[[#This Row],[_Row]],"")</f>
        <v/>
      </c>
      <c r="HD21" s="92" t="str">
        <f aca="false">IFERROR(INDEX(Tasks[UID],SMALL(Tasks[_PickKey],Tasks[[#This Row],[_Row]]))&amp;" "&amp;INDEX(Tasks[Task Name],SMALL(Tasks[_PickKey],Tasks[[#This Row],[_Row]])),"")</f>
        <v/>
      </c>
      <c r="HE21" s="43" t="str">
        <f aca="false">IF(Tasks[[#This Row],[Task Name]]="","",IF(Tasks[[#This Row],[_IsSummary]],NETWORKDAYS.INTL(Tasks[[#This Row],[Start]],Tasks[[#This Row],[Finish]],WorkWeek,Holidays),N(Tasks[[#This Row],[_Days]])))</f>
        <v/>
      </c>
      <c r="HF21" s="43" t="n">
        <f aca="false">IF(Tasks[[#This Row],[Expected]]="",0,((Tasks[[#This Row],[Pessimistic]]-Tasks[[#This Row],[Optimistic]])/6)^2)</f>
        <v>0</v>
      </c>
      <c r="HG21" s="43" t="n">
        <f aca="false">IF(Tasks[[#This Row],[Expected]]="",0,Tasks[[#This Row],[Expected]]-N(Tasks[[#This Row],[_Days]]))</f>
        <v>0</v>
      </c>
    </row>
    <row r="22" customFormat="false" ht="15" hidden="false" customHeight="false" outlineLevel="0" collapsed="false">
      <c r="A22" s="21" t="str">
        <f aca="false">IF(Tasks[[#This Row],[Task Name]]="","",COUNTA(Tasks[[#Headers],[Task Name]]:Tasks[[#This Row],[Task Name]])-1)</f>
        <v/>
      </c>
      <c r="B22" s="22" t="n">
        <v>30</v>
      </c>
      <c r="C22" s="22"/>
      <c r="D22" s="23"/>
      <c r="E22" s="22"/>
      <c r="F22" s="23"/>
      <c r="G22" s="22"/>
      <c r="H22" s="22"/>
      <c r="I22" s="23"/>
      <c r="J22" s="22"/>
      <c r="K22" s="22"/>
      <c r="L22" s="23"/>
      <c r="M22" s="22"/>
      <c r="N22" s="22"/>
      <c r="O22" s="23"/>
      <c r="P22" s="22"/>
      <c r="Q22" s="22"/>
      <c r="R22" s="23"/>
      <c r="S22" s="23"/>
      <c r="T22" s="84"/>
      <c r="U22" s="23"/>
      <c r="V22" s="84"/>
      <c r="W22" s="23"/>
      <c r="X22" s="84"/>
      <c r="Y22" s="23"/>
      <c r="Z22" s="84"/>
      <c r="AA22" s="23"/>
      <c r="AB22" s="23"/>
      <c r="AC22" s="7"/>
      <c r="AD22" s="7"/>
      <c r="AE22" s="63" t="str">
        <f aca="false">IF(Tasks[[#This Row],[Task Name]]="","",IF(Tasks[[#This Row],[_IsSummary]],MIN(INDEX(Tasks[_ShownFcstStart],Tasks[[#This Row],[_Row]]+1):INDEX(Tasks[_ShownFcstStart],Tasks[[#This Row],[_Row]]+Tasks[[#This Row],[_Descendants]])),Tasks[[#This Row],[_ShownFcstStart]]))</f>
        <v/>
      </c>
      <c r="AF22" s="63" t="str">
        <f aca="false">IF(Tasks[[#This Row],[Task Name]]="","",IF(Tasks[[#This Row],[_IsSummary]],MAX(INDEX(Tasks[_ShownFcstFinish],Tasks[[#This Row],[_Row]]+1):INDEX(Tasks[_ShownFcstFinish],Tasks[[#This Row],[_Row]]+Tasks[[#This Row],[_Descendants]])),Tasks[[#This Row],[_ShownFcstFinish]]))</f>
        <v/>
      </c>
      <c r="AG22" s="21" t="str">
        <f aca="false">""</f>
        <v/>
      </c>
      <c r="AH22" s="23"/>
      <c r="AI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2" s="7"/>
      <c r="AK22" s="22"/>
      <c r="AL22" s="23"/>
      <c r="AM22" s="7"/>
      <c r="AN22" s="47" t="str">
        <f aca="false">IF(Tasks[[#This Row],[Task Name]]="","",IF(Tasks[[#This Row],[Finish]]&gt;=Tasks[[#This Row],[Planned Finish]],NETWORKDAYS.INTL(Tasks[[#This Row],[Planned Finish]],Tasks[[#This Row],[Finish]],WorkWeek,Holidays)-1,1-NETWORKDAYS.INTL(Tasks[[#This Row],[Finish]],Tasks[[#This Row],[Planned Finish]],WorkWeek,Holidays)))</f>
        <v/>
      </c>
      <c r="AO22" s="21" t="str">
        <f aca="false">IF(Tasks[[#This Row],[Task Name]]="","",IF(Tasks[[#This Row],[Progress]]&gt;=1,"Complete",IF(OR(N(Tasks[[#This Row],[Actual Start]])&gt;0,Tasks[[#This Row],[Progress]]&gt;0),IF(Tasks[[#This Row],[Finish Var]]&gt;0,"Behind","In Progress"),IF(Tasks[[#This Row],[Planned Start]]&lt;StatusDate,"Late Start","Not Started"))))</f>
        <v/>
      </c>
      <c r="AP22" s="21" t="str">
        <f aca="false">IF(Tasks[[#This Row],[Task Name]]="","",IF(IF(Tasks[[#This Row],[_IsSummary]],COUNTIF(INDEX(Tasks[_LeafCritical],Tasks[[#This Row],[_Row]]+1):INDEX(Tasks[_LeafCritical],Tasks[[#This Row],[_Row]]+Tasks[[#This Row],[_Descendants]]),TRUE())&gt;0,Tasks[[#This Row],[_LeafCritical]]),"Yes",""))</f>
        <v/>
      </c>
      <c r="AQ22" s="63" t="str">
        <f aca="false">IF(Tasks[[#This Row],[Task Name]]="","",IF(N(Tasks[[#This Row],[Baseline Start]])&gt;0,Tasks[[#This Row],[Baseline Start]],Tasks[[#This Row],[_CalcStart]]))</f>
        <v/>
      </c>
      <c r="AR22" s="63" t="str">
        <f aca="false">IF(Tasks[[#This Row],[Task Name]]="","",IF(N(Tasks[[#This Row],[Baseline Finish]])&gt;0,Tasks[[#This Row],[Baseline Finish]],Tasks[[#This Row],[_CalcFinish]]))</f>
        <v/>
      </c>
      <c r="AS22" s="47" t="str">
        <f aca="false">IF(Tasks[[#This Row],[Task Name]]="","",IF(Tasks[[#This Row],[Start]]&gt;=Tasks[[#This Row],[Planned Start]],NETWORKDAYS.INTL(Tasks[[#This Row],[Planned Start]],Tasks[[#This Row],[Start]],WorkWeek,Holidays)-1,1-NETWORKDAYS.INTL(Tasks[[#This Row],[Start]],Tasks[[#This Row],[Planned Start]],WorkWeek,Holidays)))</f>
        <v/>
      </c>
      <c r="AT22" s="63" t="str">
        <f aca="false">IF(Tasks[[#This Row],[Task Name]]="","",IF(Tasks[[#This Row],[_IsSummary]],MIN(INDEX(Tasks[_LeafLateStart],Tasks[[#This Row],[_Row]]+1):INDEX(Tasks[_LeafLateStart],Tasks[[#This Row],[_Row]]+Tasks[[#This Row],[_Descendants]])),Tasks[[#This Row],[_LeafLateStart]]))</f>
        <v/>
      </c>
      <c r="AU22" s="63" t="str">
        <f aca="false">IF(Tasks[[#This Row],[Task Name]]="","",IF(Tasks[[#This Row],[_IsSummary]],MAX(INDEX(Tasks[_LeafLateFinish],Tasks[[#This Row],[_Row]]+1):INDEX(Tasks[_LeafLateFinish],Tasks[[#This Row],[_Row]]+Tasks[[#This Row],[_Descendants]])),Tasks[[#This Row],[_LeafLateFinish]]))</f>
        <v/>
      </c>
      <c r="AV22" s="47" t="str">
        <f aca="false">IF(Tasks[[#This Row],[Task Name]]="","",IF(Tasks[[#This Row],[_IsSummary]],MIN(INDEX(Tasks[_LeafTotalSlack],Tasks[[#This Row],[_Row]]+1):INDEX(Tasks[_LeafTotalSlack],Tasks[[#This Row],[_Row]]+Tasks[[#This Row],[_Descendants]])),Tasks[[#This Row],[_LeafTotalSlack]]))</f>
        <v/>
      </c>
      <c r="AW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5"/>
      <c r="BA2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1" t="str">
        <f aca="false">IF(Tasks[[#This Row],[Task Name]]="","",IF(Tasks[[#This Row],[_Level]]&lt;=OutlineShowLevel,"Yes","No"))</f>
        <v/>
      </c>
      <c r="BE22" s="86" t="str">
        <f aca="false">IF(Tasks[[#This Row],[Task Name]]="","",IF(Tasks[[#This Row],[_IsSummary]],SUM(INDEX(Tasks[_LeafTotalWork],Tasks[[#This Row],[_Row]]+1):INDEX(Tasks[_LeafTotalWork],Tasks[[#This Row],[_Row]]+Tasks[[#This Row],[_Descendants]])),Tasks[[#This Row],[_LeafTotalWork]]))</f>
        <v/>
      </c>
      <c r="BF22" s="23"/>
      <c r="BG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2" s="21" t="str">
        <f aca="false">""</f>
        <v/>
      </c>
      <c r="BI22" s="87"/>
      <c r="BJ22" s="22"/>
      <c r="BK22" s="47" t="str">
        <f aca="false">IF(OR(Tasks[[#This Row],[Task Name]]="",Tasks[[#This Row],[Baseline Duration]]=""),"",Tasks[[#This Row],[_SpanDays]]-N(Tasks[[#This Row],[Baseline Duration]]))</f>
        <v/>
      </c>
      <c r="BL22" s="86" t="str">
        <f aca="false">IF(OR(Tasks[[#This Row],[Task Name]]="",Tasks[[#This Row],[Baseline Work]]=""),"",Tasks[[#This Row],[Work]]-N(Tasks[[#This Row],[Baseline Work]]))</f>
        <v/>
      </c>
      <c r="BM22" s="63" t="str">
        <f aca="false">IF(Tasks[[#This Row],[Task Name]]="","",IF(OR(TakeBaseline="Yes",N(Tasks[[#This Row],[Baseline Start]])=0),Tasks[[#This Row],[Start]],Tasks[[#This Row],[Baseline Start]]))</f>
        <v/>
      </c>
      <c r="BN22" s="63" t="str">
        <f aca="false">IF(Tasks[[#This Row],[Task Name]]="","",IF(OR(TakeBaseline="Yes",N(Tasks[[#This Row],[Baseline Finish]])=0),Tasks[[#This Row],[Finish]],Tasks[[#This Row],[Baseline Finish]]))</f>
        <v/>
      </c>
      <c r="BO22" s="21" t="str">
        <f aca="false">IF(Tasks[[#This Row],[Task Name]]="","",IF(OR(TakeBaseline="Yes",N(Tasks[[#This Row],[Baseline Duration]])=0),Tasks[[#This Row],[_SpanDays]],Tasks[[#This Row],[Baseline Duration]]))</f>
        <v/>
      </c>
      <c r="BP22" s="86" t="str">
        <f aca="false">IF(Tasks[[#This Row],[Task Name]]="","",IF(OR(TakeBaseline="Yes",N(Tasks[[#This Row],[Baseline Work]])=0),Tasks[[#This Row],[Work]],Tasks[[#This Row],[Baseline Work]]))</f>
        <v/>
      </c>
      <c r="BQ22" s="7"/>
      <c r="BR22" s="7"/>
      <c r="BS22" s="22"/>
      <c r="BT22" s="88"/>
      <c r="BU22" s="23"/>
      <c r="BV22" s="23"/>
      <c r="BW22" s="23"/>
      <c r="BX22" s="89" t="str">
        <f aca="false">IF(AND(Tasks[[#This Row],[_IsLeaf]]=1,ISNUMBER(Tasks[[#This Row],[Optimistic]]),ISNUMBER(Tasks[[#This Row],[Pessimistic]])),ROUND((Tasks[[#This Row],[Optimistic]]+4*N(Tasks[[#This Row],[_Days]])+Tasks[[#This Row],[Pessimistic]])/6,1),"")</f>
        <v/>
      </c>
      <c r="BY22" s="87"/>
      <c r="BZ22" s="87"/>
      <c r="CA22" s="22"/>
      <c r="CB22" s="43" t="str">
        <f aca="false">IF(Tasks[[#This Row],[Task Name]]="","",MAX(1,N(Tasks[[#This Row],[Level]])))</f>
        <v/>
      </c>
      <c r="CC22" s="43" t="n">
        <f aca="false">ROW()-ROW(Tasks[[#Headers],[ID]])</f>
        <v>17</v>
      </c>
      <c r="CD22" s="43" t="n">
        <f aca="false">IF(OR(Tasks[[#This Row],[Task Name]]="",Tasks[[#This Row],[_Level]]&lt;=1),0,IFERROR(LOOKUP(2,1/(Tasks[[#Headers],[_Level]]:Tasks[[#This Row],[_Level]]=Tasks[[#This Row],[_Level]]-1),ROW(Tasks[[#Headers],[_Level]]:Tasks[[#This Row],[_Level]])),0))</f>
        <v>0</v>
      </c>
      <c r="CE22" s="43" t="n">
        <f aca="false">IFERROR(N(INDEX(Tasks[_Level],Tasks[[#This Row],[_Row]]+1)),0)</f>
        <v>0</v>
      </c>
      <c r="CF22" s="90" t="b">
        <f aca="false">AND(Tasks[[#This Row],[Task Name]]&lt;&gt;"",Tasks[[#This Row],[_NextLevel]]&gt;Tasks[[#This Row],[_Level]])</f>
        <v>0</v>
      </c>
      <c r="CG22" s="43" t="n">
        <f aca="false">IF(Tasks[[#This Row],[_IsSummary]],COUNTIF(Tasks[WBS],Tasks[[#This Row],[WBS]]&amp;".*"),0)</f>
        <v>0</v>
      </c>
      <c r="CH22" s="43" t="n">
        <f aca="false">IF(AND(Tasks[[#This Row],[Task Name]]&lt;&gt;"",NOT(Tasks[[#This Row],[_IsSummary]])),1,0)</f>
        <v>0</v>
      </c>
      <c r="CI22" s="43" t="n">
        <f aca="false">IF(N(Tasks[[#This Row],[_Pred1UID]])=0,0,IFERROR(MATCH(Tasks[[#This Row],[_Pred1UID]],Tasks[UID],0),-1))</f>
        <v>0</v>
      </c>
      <c r="CJ22" s="43" t="n">
        <f aca="false">IF(N(Tasks[[#This Row],[_Pred2UID]])=0,0,IFERROR(MATCH(Tasks[[#This Row],[_Pred2UID]],Tasks[UID],0),-1))</f>
        <v>0</v>
      </c>
      <c r="CK22" s="43" t="n">
        <f aca="false">IF(N(Tasks[[#This Row],[_Pred3UID]])=0,0,IFERROR(MATCH(Tasks[[#This Row],[_Pred3UID]],Tasks[UID],0),-1))</f>
        <v>0</v>
      </c>
      <c r="CL22" s="43" t="n">
        <f aca="false">IF(N(Tasks[[#This Row],[_Pred4UID]])=0,0,IFERROR(MATCH(Tasks[[#This Row],[_Pred4UID]],Tasks[UID],0),-1))</f>
        <v>0</v>
      </c>
      <c r="CM2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2" s="91" t="n">
        <f aca="false">IF(OR(Tasks[[#This Row],[_ConstraintCode]]=2,Tasks[[#This Row],[_ConstraintCode]]=3,Tasks[[#This Row],[_ConstraintCode]]=4,Tasks[[#This Row],[_ConstraintCode]]=6),Tasks[[#This Row],[_ConstraintStart]],0)</f>
        <v>0</v>
      </c>
      <c r="CP22" s="91" t="n">
        <f aca="false">IF(OR(Tasks[[#This Row],[_ConstraintCode]]=2,Tasks[[#This Row],[_ConstraintCode]]=3,Tasks[[#This Row],[_ConstraintCode]]=5,Tasks[[#This Row],[_ConstraintCode]]=7),Tasks[[#This Row],[_ConstraintStart]],2958465)</f>
        <v>2958465</v>
      </c>
      <c r="CQ2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2" s="91" t="str">
        <f aca="false">IF(NOT(Tasks[[#This Row],[_IsLeaf]]=1),"",IF(N(Tasks[[#This Row],[_Days]])&lt;=0,Tasks[[#This Row],[_LeafCalcStart]],WORKDAY.INTL(Tasks[[#This Row],[_LeafCalcStart]],Tasks[[#This Row],[_Days]]-1,WorkWeek,Holidays)))</f>
        <v/>
      </c>
      <c r="CS2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2" s="43" t="str">
        <f aca="false">IF(Tasks[[#This Row],[_Predecessors]]="","",TRIM(MID(SUBSTITUTE(SUBSTITUTE(SUBSTITUTE(UPPER(Tasks[[#This Row],[_Predecessors]]),";",",")," ",""),",",REPT(" ",99)),1,99)))</f>
        <v/>
      </c>
      <c r="CV22" s="43" t="str">
        <f aca="false">IF(Tasks[[#This Row],[_Pred1Text]]="","",IFERROR(VALUE(LEFT(Tasks[[#This Row],[_Pred1Text]],MIN(FIND("F",Tasks[[#This Row],[_Pred1Text]]&amp;"F"),FIND("S",Tasks[[#This Row],[_Pred1Text]]&amp;"S"),FIND("+",Tasks[[#This Row],[_Pred1Text]]&amp;"+"),FIND("-",Tasks[[#This Row],[_Pred1Text]]&amp;"-"))-1)),""))</f>
        <v/>
      </c>
      <c r="CW2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2" s="43" t="str">
        <f aca="false">IF(Tasks[[#This Row],[_Pred1Text]]="","",TRIM(MID(SUBSTITUTE(SUBSTITUTE(SUBSTITUTE(UPPER(Tasks[[#This Row],[_Predecessors]]),";",",")," ",""),",",REPT(" ",99)),100,99)))</f>
        <v/>
      </c>
      <c r="CZ22" s="43" t="str">
        <f aca="false">IF(Tasks[[#This Row],[_Pred2Text]]="","",IFERROR(VALUE(LEFT(Tasks[[#This Row],[_Pred2Text]],MIN(FIND("F",Tasks[[#This Row],[_Pred2Text]]&amp;"F"),FIND("S",Tasks[[#This Row],[_Pred2Text]]&amp;"S"),FIND("+",Tasks[[#This Row],[_Pred2Text]]&amp;"+"),FIND("-",Tasks[[#This Row],[_Pred2Text]]&amp;"-"))-1)),""))</f>
        <v/>
      </c>
      <c r="DA2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2" s="43" t="str">
        <f aca="false">IF(Tasks[[#This Row],[_Pred2Text]]="","",TRIM(MID(SUBSTITUTE(SUBSTITUTE(SUBSTITUTE(UPPER(Tasks[[#This Row],[_Predecessors]]),";",",")," ",""),",",REPT(" ",99)),199,99)))</f>
        <v/>
      </c>
      <c r="DD22" s="43" t="str">
        <f aca="false">IF(Tasks[[#This Row],[_Pred3Text]]="","",IFERROR(VALUE(LEFT(Tasks[[#This Row],[_Pred3Text]],MIN(FIND("F",Tasks[[#This Row],[_Pred3Text]]&amp;"F"),FIND("S",Tasks[[#This Row],[_Pred3Text]]&amp;"S"),FIND("+",Tasks[[#This Row],[_Pred3Text]]&amp;"+"),FIND("-",Tasks[[#This Row],[_Pred3Text]]&amp;"-"))-1)),""))</f>
        <v/>
      </c>
      <c r="DE2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2" s="43" t="str">
        <f aca="false">IF(Tasks[[#This Row],[_Pred3Text]]="","",TRIM(MID(SUBSTITUTE(SUBSTITUTE(SUBSTITUTE(UPPER(Tasks[[#This Row],[_Predecessors]]),";",",")," ",""),",",REPT(" ",99)),298,99)))</f>
        <v/>
      </c>
      <c r="DH22" s="43" t="str">
        <f aca="false">IF(Tasks[[#This Row],[_Pred4Text]]="","",IFERROR(VALUE(LEFT(Tasks[[#This Row],[_Pred4Text]],MIN(FIND("F",Tasks[[#This Row],[_Pred4Text]]&amp;"F"),FIND("S",Tasks[[#This Row],[_Pred4Text]]&amp;"S"),FIND("+",Tasks[[#This Row],[_Pred4Text]]&amp;"+"),FIND("-",Tasks[[#This Row],[_Pred4Text]]&amp;"-"))-1)),""))</f>
        <v/>
      </c>
      <c r="DI2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2" s="43" t="str">
        <f aca="false">IF(OR(Tasks[[#This Row],[Task Name]]="",Tasks[[#This Row],[_Resources]]=""),"",TRIM(MID(SUBSTITUTE(Tasks[[#This Row],[_Resources]],",",REPT(" ",99)),1,99)))</f>
        <v/>
      </c>
      <c r="DL22" s="43" t="str">
        <f aca="false">IF(Tasks[[#This Row],[_Res1Text]]="","",TRIM(MID(SUBSTITUTE(Tasks[[#This Row],[_Resources]],",",REPT(" ",99)),100,99)))</f>
        <v/>
      </c>
      <c r="DM22" s="43" t="str">
        <f aca="false">IF(Tasks[[#This Row],[_Res2Text]]="","",TRIM(MID(SUBSTITUTE(Tasks[[#This Row],[_Resources]],",",REPT(" ",99)),199,99)))</f>
        <v/>
      </c>
      <c r="DN22" s="43" t="str">
        <f aca="false">IF(Tasks[[#This Row],[_Res3Text]]="","",TRIM(MID(SUBSTITUTE(Tasks[[#This Row],[_Resources]],",",REPT(" ",99)),298,99)))</f>
        <v/>
      </c>
      <c r="DO22" s="43" t="n">
        <f aca="false">IF(Tasks[[#This Row],[_Res1Text]]="",0,IFERROR(MATCH(TRIM(LEFT(Tasks[[#This Row],[_Res1Text]],FIND("[",Tasks[[#This Row],[_Res1Text]]&amp;"[")-1)),res_Name,0),IFERROR(MATCH(TRIM(LEFT(Tasks[[#This Row],[_Res1Text]],FIND("[",Tasks[[#This Row],[_Res1Text]]&amp;"[")-1)),res_Initials,0),0)))</f>
        <v>0</v>
      </c>
      <c r="DP22" s="43" t="n">
        <f aca="false">IF(Tasks[[#This Row],[_Res2Text]]="",0,IFERROR(MATCH(TRIM(LEFT(Tasks[[#This Row],[_Res2Text]],FIND("[",Tasks[[#This Row],[_Res2Text]]&amp;"[")-1)),res_Name,0),IFERROR(MATCH(TRIM(LEFT(Tasks[[#This Row],[_Res2Text]],FIND("[",Tasks[[#This Row],[_Res2Text]]&amp;"[")-1)),res_Initials,0),0)))</f>
        <v>0</v>
      </c>
      <c r="DQ22" s="43" t="n">
        <f aca="false">IF(Tasks[[#This Row],[_Res3Text]]="",0,IFERROR(MATCH(TRIM(LEFT(Tasks[[#This Row],[_Res3Text]],FIND("[",Tasks[[#This Row],[_Res3Text]]&amp;"[")-1)),res_Name,0),IFERROR(MATCH(TRIM(LEFT(Tasks[[#This Row],[_Res3Text]],FIND("[",Tasks[[#This Row],[_Res3Text]]&amp;"[")-1)),res_Initials,0),0)))</f>
        <v>0</v>
      </c>
      <c r="DR22" s="43" t="n">
        <f aca="false">IF(Tasks[[#This Row],[_Res4Text]]="",0,IFERROR(MATCH(TRIM(LEFT(Tasks[[#This Row],[_Res4Text]],FIND("[",Tasks[[#This Row],[_Res4Text]]&amp;"[")-1)),res_Name,0),IFERROR(MATCH(TRIM(LEFT(Tasks[[#This Row],[_Res4Text]],FIND("[",Tasks[[#This Row],[_Res4Text]]&amp;"[")-1)),res_Initials,0),0)))</f>
        <v>0</v>
      </c>
      <c r="DS22" s="43" t="str">
        <f aca="false">IF(Tasks[[#This Row],[_Res1Text]]="","",IF(Tasks[[#This Row],[_Res1Row]]&gt;0,INDEX(res_Name,Tasks[[#This Row],[_Res1Row]]),TRIM(LEFT(Tasks[[#This Row],[_Res1Text]],FIND("[",Tasks[[#This Row],[_Res1Text]]&amp;"[")-1))))</f>
        <v/>
      </c>
      <c r="DT2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2" s="43" t="n">
        <f aca="false">IF(NOT(Tasks[[#This Row],[_IsLeaf]]=1),0,(Tasks[[#This Row],[_Resource1]]&lt;&gt;"")+(Tasks[[#This Row],[_Res2]]&lt;&gt;"")+(Tasks[[#This Row],[_Res3]]&lt;&gt;"")+(Tasks[[#This Row],[_Res4]]&lt;&gt;""))</f>
        <v>0</v>
      </c>
      <c r="DV22" s="43" t="str">
        <f aca="false">IF(Tasks[[#This Row],[_Res2Text]]="","",IF(Tasks[[#This Row],[_Res2Row]]&gt;0,INDEX(res_Name,Tasks[[#This Row],[_Res2Row]]),TRIM(LEFT(Tasks[[#This Row],[_Res2Text]],FIND("[",Tasks[[#This Row],[_Res2Text]]&amp;"[")-1))))</f>
        <v/>
      </c>
      <c r="DW2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2" s="43" t="n">
        <f aca="false">IF(OR(NOT(Tasks[[#This Row],[_IsLeaf]]=1),Tasks[[#This Row],[_Res2Row]]=0),0,N(Tasks[[#This Row],[_Days]])*HoursPerDay*IF(Tasks[[#This Row],[_Res2Units]]="",DefaultUnits,Tasks[[#This Row],[_Res2Units]]))</f>
        <v>0</v>
      </c>
      <c r="DY22" s="43" t="n">
        <f aca="false">IF(AND(AND(Tasks[[#This Row],[_IsLeaf]]=1,Tasks[[#This Row],[_LeafTotalWork]]&gt;0),Tasks[[#This Row],[_Res2Work]]&gt;0),Tasks[[#This Row],[_Res2Work]]/(Tasks[[#This Row],[_FinishWorkday]]-Tasks[[#This Row],[_StartWorkday]]+1),0)</f>
        <v>0</v>
      </c>
      <c r="DZ22" s="43" t="n">
        <f aca="false">Tasks[[#This Row],[_Res2WorkPerWD]]*MAX(0,Tasks[[#This Row],[_StartWorkday]]-1)</f>
        <v>0</v>
      </c>
      <c r="EA22" s="43" t="n">
        <f aca="false">Tasks[[#This Row],[_Res2Work]]*Tasks[[#This Row],[_LeafProgress]]</f>
        <v>0</v>
      </c>
      <c r="EB22" s="43" t="str">
        <f aca="false">IF(Tasks[[#This Row],[_Res3Text]]="","",IF(Tasks[[#This Row],[_Res3Row]]&gt;0,INDEX(res_Name,Tasks[[#This Row],[_Res3Row]]),TRIM(LEFT(Tasks[[#This Row],[_Res3Text]],FIND("[",Tasks[[#This Row],[_Res3Text]]&amp;"[")-1))))</f>
        <v/>
      </c>
      <c r="EC2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2" s="43" t="n">
        <f aca="false">IF(OR(NOT(Tasks[[#This Row],[_IsLeaf]]=1),Tasks[[#This Row],[_Res3Row]]=0),0,N(Tasks[[#This Row],[_Days]])*HoursPerDay*IF(Tasks[[#This Row],[_Res3Units]]="",DefaultUnits,Tasks[[#This Row],[_Res3Units]]))</f>
        <v>0</v>
      </c>
      <c r="EE22" s="43" t="n">
        <f aca="false">IF(AND(AND(Tasks[[#This Row],[_IsLeaf]]=1,Tasks[[#This Row],[_LeafTotalWork]]&gt;0),Tasks[[#This Row],[_Res3Work]]&gt;0),Tasks[[#This Row],[_Res3Work]]/(Tasks[[#This Row],[_FinishWorkday]]-Tasks[[#This Row],[_StartWorkday]]+1),0)</f>
        <v>0</v>
      </c>
      <c r="EF22" s="43" t="n">
        <f aca="false">Tasks[[#This Row],[_Res3WorkPerWD]]*MAX(0,Tasks[[#This Row],[_StartWorkday]]-1)</f>
        <v>0</v>
      </c>
      <c r="EG22" s="43" t="n">
        <f aca="false">Tasks[[#This Row],[_Res3Work]]*Tasks[[#This Row],[_LeafProgress]]</f>
        <v>0</v>
      </c>
      <c r="EH22" s="43" t="str">
        <f aca="false">IF(Tasks[[#This Row],[_Res4Text]]="","",IF(Tasks[[#This Row],[_Res4Row]]&gt;0,INDEX(res_Name,Tasks[[#This Row],[_Res4Row]]),TRIM(LEFT(Tasks[[#This Row],[_Res4Text]],FIND("[",Tasks[[#This Row],[_Res4Text]]&amp;"[")-1))))</f>
        <v/>
      </c>
      <c r="EI2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2" s="43" t="n">
        <f aca="false">IF(OR(NOT(Tasks[[#This Row],[_IsLeaf]]=1),Tasks[[#This Row],[_Res4Row]]=0),0,N(Tasks[[#This Row],[_Days]])*HoursPerDay*IF(Tasks[[#This Row],[_Res4Units]]="",DefaultUnits,Tasks[[#This Row],[_Res4Units]]))</f>
        <v>0</v>
      </c>
      <c r="EK22" s="43" t="n">
        <f aca="false">IF(AND(AND(Tasks[[#This Row],[_IsLeaf]]=1,Tasks[[#This Row],[_LeafTotalWork]]&gt;0),Tasks[[#This Row],[_Res4Work]]&gt;0),Tasks[[#This Row],[_Res4Work]]/(Tasks[[#This Row],[_FinishWorkday]]-Tasks[[#This Row],[_StartWorkday]]+1),0)</f>
        <v>0</v>
      </c>
      <c r="EL22" s="43" t="n">
        <f aca="false">Tasks[[#This Row],[_Res4WorkPerWD]]*MAX(0,Tasks[[#This Row],[_StartWorkday]]-1)</f>
        <v>0</v>
      </c>
      <c r="EM22" s="43" t="n">
        <f aca="false">Tasks[[#This Row],[_Res4Work]]*Tasks[[#This Row],[_LeafProgress]]</f>
        <v>0</v>
      </c>
      <c r="EN22" s="43" t="n">
        <f aca="false">IF(ISNUMBER(Tasks[[#This Row],[% Complete]]),Tasks[[#This Row],[% Complete]],IF(Tasks[[#This Row],[Stage]]="",0,IFERROR(INDEX(stg_Pct,MATCH(Tasks[[#This Row],[Stage]],stg_Name,0)),0)))</f>
        <v>0</v>
      </c>
      <c r="EO22" s="43" t="n">
        <f aca="false">IF(NOT(Tasks[[#This Row],[_IsLeaf]]=1),0,IF(N(Tasks[[#This Row],[Actual Finish]])&gt;0,1,MIN(1,Tasks[[#This Row],[_Pct]])))</f>
        <v>0</v>
      </c>
      <c r="EP22" s="43" t="n">
        <f aca="false">IF(OR(NOT(Tasks[[#This Row],[_IsLeaf]]=1),Tasks[[#This Row],[_Res1Row]]=0),0,N(Tasks[[#This Row],[_Days]])*HoursPerDay*IF(Tasks[[#This Row],[_Units1]]="",DefaultUnits,Tasks[[#This Row],[_Units1]]))</f>
        <v>0</v>
      </c>
      <c r="EQ22" s="43" t="n">
        <f aca="false">Tasks[[#This Row],[_LeafWork]]+Tasks[[#This Row],[_Res2Work]]+Tasks[[#This Row],[_Res3Work]]+Tasks[[#This Row],[_Res4Work]]</f>
        <v>0</v>
      </c>
      <c r="ER2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2" s="43" t="n">
        <f aca="false">IF(NOT(Tasks[[#This Row],[_IsLeaf]]=1),0,MAX(_xlfn.MAXIFS(Tasks[_Row],Tasks[_Pred1UID],Tasks[[#This Row],[UID]]),_xlfn.MAXIFS(Tasks[_Row],Tasks[_Pred2UID],Tasks[[#This Row],[UID]]),_xlfn.MAXIFS(Tasks[_Row],Tasks[_Pred3UID],Tasks[[#This Row],[UID]]),_xlfn.MAXIFS(Tasks[_Row],Tasks[_Pred4UID],Tasks[[#This Row],[UID]])))</f>
        <v>0</v>
      </c>
      <c r="FA2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2" s="91" t="str">
        <f aca="false">IF(NOT(Tasks[[#This Row],[_IsLeaf]]=1),"",IF(N(Tasks[[#This Row],[_Days]])&lt;=0,Tasks[[#This Row],[_LeafLateFinish]],WORKDAY.INTL(Tasks[[#This Row],[_LeafLateFinish]],-(Tasks[[#This Row],[_Days]]-1),WorkWeek,Holidays)))</f>
        <v/>
      </c>
      <c r="FD2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2" s="90" t="b">
        <f aca="false">AND(Tasks[[#This Row],[_IsLeaf]]=1,Tasks[[#This Row],[_LeafProgress]]&lt;1,N(Tasks[[#This Row],[_LeafTotalSlack]])&lt;=CriticalSlackDays)</f>
        <v>0</v>
      </c>
      <c r="FF22" s="43" t="n">
        <f aca="false">IF(AND(Tasks[[#This Row],[_IsLeaf]]=1,Tasks[[#This Row],[_ConstraintCode]]=1,Tasks[[#This Row],[Mode]]&lt;&gt;"Manual",N(Tasks[[#This Row],[Actual Start]])=0),MAX(0,N(Tasks[[#This Row],[Free Slack]])),0)</f>
        <v>0</v>
      </c>
      <c r="FG22" s="91" t="str">
        <f aca="false">IF(NOT(Tasks[[#This Row],[_IsLeaf]]=1),"",IF(Tasks[[#This Row],[_AlapShift]]=0,Tasks[[#This Row],[_LeafCalcStart]],WORKDAY.INTL(Tasks[[#This Row],[_LeafCalcStart]],Tasks[[#This Row],[_AlapShift]],WorkWeek,Holidays)))</f>
        <v/>
      </c>
      <c r="FH22" s="91" t="str">
        <f aca="false">IF(NOT(Tasks[[#This Row],[_IsLeaf]]=1),"",IF(Tasks[[#This Row],[_AlapShift]]=0,Tasks[[#This Row],[_LeafCalcFinish]],WORKDAY.INTL(Tasks[[#This Row],[_LeafCalcFinish]],Tasks[[#This Row],[_AlapShift]],WorkWeek,Holidays)))</f>
        <v/>
      </c>
      <c r="FI22" s="91" t="str">
        <f aca="false">IF(NOT(Tasks[[#This Row],[_IsLeaf]]=1),"",IF(Tasks[[#This Row],[_AlapShift]]=0,Tasks[[#This Row],[_LeafFcstStart]],WORKDAY.INTL(Tasks[[#This Row],[_LeafFcstStart]],Tasks[[#This Row],[_AlapShift]],WorkWeek,Holidays)))</f>
        <v/>
      </c>
      <c r="FJ22" s="91" t="str">
        <f aca="false">IF(NOT(Tasks[[#This Row],[_IsLeaf]]=1),"",IF(Tasks[[#This Row],[_AlapShift]]=0,Tasks[[#This Row],[_LeafFcstFinish]],WORKDAY.INTL(Tasks[[#This Row],[_LeafFcstFinish]],Tasks[[#This Row],[_AlapShift]],WorkWeek,Holidays)))</f>
        <v/>
      </c>
      <c r="FK22" s="91" t="str">
        <f aca="false">IF(Tasks[[#This Row],[Task Name]]="","",IF(Tasks[[#This Row],[_IsSummary]],MIN(INDEX(Tasks[_ShownCalcStart],Tasks[[#This Row],[_Row]]+1):INDEX(Tasks[_ShownCalcStart],Tasks[[#This Row],[_Row]]+Tasks[[#This Row],[_Descendants]])),Tasks[[#This Row],[_ShownCalcStart]]))</f>
        <v/>
      </c>
      <c r="FL22" s="91" t="str">
        <f aca="false">IF(Tasks[[#This Row],[Task Name]]="","",IF(Tasks[[#This Row],[_IsSummary]],MAX(INDEX(Tasks[_ShownCalcFinish],Tasks[[#This Row],[_Row]]+1):INDEX(Tasks[_ShownCalcFinish],Tasks[[#This Row],[_Row]]+Tasks[[#This Row],[_Descendants]])),Tasks[[#This Row],[_ShownCalcFinish]]))</f>
        <v/>
      </c>
      <c r="FM2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2" s="43" t="n">
        <f aca="false">IF(AND(Tasks[[#This Row],[_IsLeaf]]=1,Tasks[[#This Row],[_LeafTotalWork]]&gt;0),NETWORKDAYS.INTL(ProjectStart,Tasks[[#This Row],[_ShownFcstStart]],WorkWeek,Holidays),0)</f>
        <v>0</v>
      </c>
      <c r="FZ22" s="43" t="n">
        <f aca="false">IF(AND(Tasks[[#This Row],[_IsLeaf]]=1,Tasks[[#This Row],[_LeafTotalWork]]&gt;0),MAX(Tasks[[#This Row],[_StartWorkday]],NETWORKDAYS.INTL(ProjectStart,Tasks[[#This Row],[_ShownFcstFinish]],WorkWeek,Holidays)),0)</f>
        <v>0</v>
      </c>
      <c r="GA22" s="43" t="n">
        <f aca="false">IF(AND(Tasks[[#This Row],[_IsLeaf]]=1,Tasks[[#This Row],[_LeafTotalWork]]&gt;0),Tasks[[#This Row],[_LeafWork]]/(Tasks[[#This Row],[_FinishWorkday]]-Tasks[[#This Row],[_StartWorkday]]+1),0)</f>
        <v>0</v>
      </c>
      <c r="GB22" s="43" t="n">
        <f aca="false">Tasks[[#This Row],[_WorkPerWorkday]]*(Tasks[[#This Row],[_StartWorkday]]-1)</f>
        <v>-0</v>
      </c>
      <c r="GC22" s="43" t="n">
        <f aca="false">IF(Tasks[[#This Row],[_IsLeaf]]=1,MAX(N(Tasks[[#This Row],[_Days]]),0.1),0)</f>
        <v>0</v>
      </c>
      <c r="GD22" s="43" t="n">
        <f aca="false">Tasks[[#This Row],[_WeightDur]]*Tasks[[#This Row],[_LeafProgress]]</f>
        <v>0</v>
      </c>
      <c r="GE22" s="43" t="n">
        <f aca="false">Tasks[[#This Row],[_WeightDur]]*Tasks[[#This Row],[_PlannedPct]]</f>
        <v>0</v>
      </c>
      <c r="GF2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2" s="43" t="str">
        <f aca="false">IF(AND(Tasks[[#This Row],[_IsLeaf]]=1,N(Tasks[[#This Row],[_Days]])=0,Tasks[[#This Row],[_LeafProgress]]&lt;1),Tasks[[#This Row],[_ShownFcstFinish]]+Tasks[[#This Row],[_Row]]/100000,"")</f>
        <v/>
      </c>
      <c r="GH2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2" s="43" t="str">
        <f aca="false">IF(Tasks[[#This Row],[Task Name]]="","",LEFT(Tasks[[#This Row],[WBS]],FIND(".",Tasks[[#This Row],[WBS]]&amp;".")-1))</f>
        <v/>
      </c>
      <c r="GJ22" s="43" t="str">
        <f aca="false">IF(AND(Tasks[[#This Row],[Task Name]]&lt;&gt;"",Tasks[[#This Row],[_Level]]=1),Tasks[[#This Row],[_Row]],"")</f>
        <v/>
      </c>
      <c r="GK22" s="43" t="str">
        <f aca="false">IF(AND(Tasks[[#This Row],[_IsLeaf]]=1,N(Tasks[[#This Row],[_Days]])=0),Tasks[[#This Row],[Planned Finish]]+Tasks[[#This Row],[_Row]]/100000,"")</f>
        <v/>
      </c>
      <c r="GL22" s="43" t="str">
        <f aca="false">IF(AND(Tasks[[#This Row],[_IsLeaf]]=1,Tasks[[#This Row],[_LeafProgress]]&lt;1,OR(N(Tasks[[#This Row],[Finish Var]])&gt;0,Tasks[[#This Row],[Status]]="Late Start")),MAX(0,Tasks[[#This Row],[Finish Var]])+1-Tasks[[#This Row],[_Row]]/1000000,"")</f>
        <v/>
      </c>
      <c r="GM22" s="43" t="str">
        <f aca="false">IF(AND(Tasks[[#This Row],[_IsLeaf]]=1,N(Tasks[[#This Row],[Actual Start]])=0,Tasks[[#This Row],[_ShownFcstStart]]&gt;=StatusDate,Tasks[[#This Row],[_ShownFcstStart]]&lt;=LookaheadEnd),Tasks[[#This Row],[_ShownFcstStart]]+Tasks[[#This Row],[_Row]]/100000,"")</f>
        <v/>
      </c>
      <c r="GN22" s="43" t="str">
        <f aca="false">IF(AND(Tasks[[#This Row],[_IsLeaf]]=1,Tasks[[#This Row],[_LeafProgress]]&lt;1,Tasks[[#This Row],[_ShownFcstFinish]]&gt;=StatusDate,Tasks[[#This Row],[_ShownFcstFinish]]&lt;=LookaheadEnd),Tasks[[#This Row],[_ShownFcstFinish]]+Tasks[[#This Row],[_Row]]/100000,"")</f>
        <v/>
      </c>
      <c r="GO22" s="43" t="str">
        <f aca="false">IF(Tasks[[#This Row],[_LeafCritical]],Tasks[[#This Row],[_ShownFcstStart]]+Tasks[[#This Row],[_Row]]/100000,"")</f>
        <v/>
      </c>
      <c r="GP22" s="43" t="n">
        <f aca="false">Tasks[[#This Row],[_LeafWork]]*Tasks[[#This Row],[_LeafProgress]]</f>
        <v>0</v>
      </c>
      <c r="GQ22" s="91" t="str">
        <f aca="false">IF(AND(Tasks[[#This Row],[_IsLeaf]]=1,Tasks[[#This Row],[_LeafProgress]]&gt;=1),IF(N(Tasks[[#This Row],[Actual Finish]])&gt;0,Tasks[[#This Row],[Actual Finish]],Tasks[[#This Row],[_ShownFcstFinish]]),"")</f>
        <v/>
      </c>
      <c r="GR22" s="43" t="n">
        <f aca="false">IF(Tasks[[#This Row],[_IsLeaf]]=1,N(Tasks[[#This Row],[Story Points]]),0)</f>
        <v>0</v>
      </c>
      <c r="GS22" s="43" t="str">
        <f aca="false">""</f>
        <v/>
      </c>
      <c r="GT22" s="90" t="b">
        <f aca="false">IF(Tasks[[#This Row],[Task Name]]="",FALSE(),AND(Tasks[[#This Row],[_IsLeaf]]=1,N(Tasks[[#This Row],[_Days]])=0))</f>
        <v>0</v>
      </c>
      <c r="GU22" s="91" t="n">
        <f aca="false">IF(Tasks[[#This Row],[Task Name]]="",0,IF(AND(Tasks[[#This Row],[_IsLeaf]]=1,NOT(Tasks[[#This Row],[_IsMilestone]]),N(Tasks[[#This Row],[Progress]])&gt;0),Tasks[[#This Row],[Start]],0))</f>
        <v>0</v>
      </c>
      <c r="GV22" s="91" t="n">
        <f aca="false">IF(Tasks[[#This Row],[_DoneFrom]]=0,0,IF(Tasks[[#This Row],[Progress]]&gt;=1,Tasks[[#This Row],[Finish]],MAX(Tasks[[#This Row],[_DoneFrom]],Tasks[[#This Row],[Start]]+ROUND((Tasks[[#This Row],[Finish]]-Tasks[[#This Row],[Start]]+1)*Tasks[[#This Row],[Progress]],0)-1)))</f>
        <v>0</v>
      </c>
      <c r="GW22" s="91" t="n">
        <f aca="false">IF(Tasks[[#This Row],[Task Name]]="",0,IF(OR(NOT(Tasks[[#This Row],[_IsLeaf]]=1),Tasks[[#This Row],[_IsMilestone]],N(Tasks[[#This Row],[Progress]])&gt;=1),0,IF(Tasks[[#This Row],[_DoneTo]]&gt;0,Tasks[[#This Row],[_DoneTo]]+1,Tasks[[#This Row],[Start]])))</f>
        <v>0</v>
      </c>
      <c r="GX22" s="91" t="n">
        <f aca="false">IF(Tasks[[#This Row],[_RemFrom]]=0,0,Tasks[[#This Row],[Finish]])</f>
        <v>0</v>
      </c>
      <c r="GY22" s="90" t="b">
        <f aca="false">IF(Tasks[[#This Row],[Task Name]]="",FALSE(),OR(NOT(BaselineSet),N(Tasks[[#This Row],[Baseline Start]])&gt;0))</f>
        <v>0</v>
      </c>
      <c r="GZ2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2" s="92" t="str">
        <f aca="false">IF(Tasks[[#This Row],[_IsLeaf]]=1,Tasks[[#This Row],[_Row]],"")</f>
        <v/>
      </c>
      <c r="HD22" s="92" t="str">
        <f aca="false">IFERROR(INDEX(Tasks[UID],SMALL(Tasks[_PickKey],Tasks[[#This Row],[_Row]]))&amp;" "&amp;INDEX(Tasks[Task Name],SMALL(Tasks[_PickKey],Tasks[[#This Row],[_Row]])),"")</f>
        <v/>
      </c>
      <c r="HE22" s="43" t="str">
        <f aca="false">IF(Tasks[[#This Row],[Task Name]]="","",IF(Tasks[[#This Row],[_IsSummary]],NETWORKDAYS.INTL(Tasks[[#This Row],[Start]],Tasks[[#This Row],[Finish]],WorkWeek,Holidays),N(Tasks[[#This Row],[_Days]])))</f>
        <v/>
      </c>
      <c r="HF22" s="43" t="n">
        <f aca="false">IF(Tasks[[#This Row],[Expected]]="",0,((Tasks[[#This Row],[Pessimistic]]-Tasks[[#This Row],[Optimistic]])/6)^2)</f>
        <v>0</v>
      </c>
      <c r="HG22" s="43" t="n">
        <f aca="false">IF(Tasks[[#This Row],[Expected]]="",0,Tasks[[#This Row],[Expected]]-N(Tasks[[#This Row],[_Days]]))</f>
        <v>0</v>
      </c>
    </row>
    <row r="23" customFormat="false" ht="15" hidden="false" customHeight="false" outlineLevel="0" collapsed="false">
      <c r="A23" s="21" t="str">
        <f aca="false">IF(Tasks[[#This Row],[Task Name]]="","",COUNTA(Tasks[[#Headers],[Task Name]]:Tasks[[#This Row],[Task Name]])-1)</f>
        <v/>
      </c>
      <c r="B23" s="22" t="n">
        <v>31</v>
      </c>
      <c r="C23" s="22"/>
      <c r="D23" s="23"/>
      <c r="E23" s="22"/>
      <c r="F23" s="23"/>
      <c r="G23" s="22"/>
      <c r="H23" s="22"/>
      <c r="I23" s="23"/>
      <c r="J23" s="22"/>
      <c r="K23" s="22"/>
      <c r="L23" s="23"/>
      <c r="M23" s="22"/>
      <c r="N23" s="22"/>
      <c r="O23" s="23"/>
      <c r="P23" s="22"/>
      <c r="Q23" s="22"/>
      <c r="R23" s="23"/>
      <c r="S23" s="23"/>
      <c r="T23" s="84"/>
      <c r="U23" s="23"/>
      <c r="V23" s="84"/>
      <c r="W23" s="23"/>
      <c r="X23" s="84"/>
      <c r="Y23" s="23"/>
      <c r="Z23" s="84"/>
      <c r="AA23" s="23"/>
      <c r="AB23" s="23"/>
      <c r="AC23" s="7"/>
      <c r="AD23" s="7"/>
      <c r="AE23" s="63" t="str">
        <f aca="false">IF(Tasks[[#This Row],[Task Name]]="","",IF(Tasks[[#This Row],[_IsSummary]],MIN(INDEX(Tasks[_ShownFcstStart],Tasks[[#This Row],[_Row]]+1):INDEX(Tasks[_ShownFcstStart],Tasks[[#This Row],[_Row]]+Tasks[[#This Row],[_Descendants]])),Tasks[[#This Row],[_ShownFcstStart]]))</f>
        <v/>
      </c>
      <c r="AF23" s="63" t="str">
        <f aca="false">IF(Tasks[[#This Row],[Task Name]]="","",IF(Tasks[[#This Row],[_IsSummary]],MAX(INDEX(Tasks[_ShownFcstFinish],Tasks[[#This Row],[_Row]]+1):INDEX(Tasks[_ShownFcstFinish],Tasks[[#This Row],[_Row]]+Tasks[[#This Row],[_Descendants]])),Tasks[[#This Row],[_ShownFcstFinish]]))</f>
        <v/>
      </c>
      <c r="AG23" s="21" t="str">
        <f aca="false">""</f>
        <v/>
      </c>
      <c r="AH23" s="23"/>
      <c r="AI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3" s="7"/>
      <c r="AK23" s="22"/>
      <c r="AL23" s="23"/>
      <c r="AM23" s="7"/>
      <c r="AN23" s="47" t="str">
        <f aca="false">IF(Tasks[[#This Row],[Task Name]]="","",IF(Tasks[[#This Row],[Finish]]&gt;=Tasks[[#This Row],[Planned Finish]],NETWORKDAYS.INTL(Tasks[[#This Row],[Planned Finish]],Tasks[[#This Row],[Finish]],WorkWeek,Holidays)-1,1-NETWORKDAYS.INTL(Tasks[[#This Row],[Finish]],Tasks[[#This Row],[Planned Finish]],WorkWeek,Holidays)))</f>
        <v/>
      </c>
      <c r="AO23" s="21" t="str">
        <f aca="false">IF(Tasks[[#This Row],[Task Name]]="","",IF(Tasks[[#This Row],[Progress]]&gt;=1,"Complete",IF(OR(N(Tasks[[#This Row],[Actual Start]])&gt;0,Tasks[[#This Row],[Progress]]&gt;0),IF(Tasks[[#This Row],[Finish Var]]&gt;0,"Behind","In Progress"),IF(Tasks[[#This Row],[Planned Start]]&lt;StatusDate,"Late Start","Not Started"))))</f>
        <v/>
      </c>
      <c r="AP23" s="21" t="str">
        <f aca="false">IF(Tasks[[#This Row],[Task Name]]="","",IF(IF(Tasks[[#This Row],[_IsSummary]],COUNTIF(INDEX(Tasks[_LeafCritical],Tasks[[#This Row],[_Row]]+1):INDEX(Tasks[_LeafCritical],Tasks[[#This Row],[_Row]]+Tasks[[#This Row],[_Descendants]]),TRUE())&gt;0,Tasks[[#This Row],[_LeafCritical]]),"Yes",""))</f>
        <v/>
      </c>
      <c r="AQ23" s="63" t="str">
        <f aca="false">IF(Tasks[[#This Row],[Task Name]]="","",IF(N(Tasks[[#This Row],[Baseline Start]])&gt;0,Tasks[[#This Row],[Baseline Start]],Tasks[[#This Row],[_CalcStart]]))</f>
        <v/>
      </c>
      <c r="AR23" s="63" t="str">
        <f aca="false">IF(Tasks[[#This Row],[Task Name]]="","",IF(N(Tasks[[#This Row],[Baseline Finish]])&gt;0,Tasks[[#This Row],[Baseline Finish]],Tasks[[#This Row],[_CalcFinish]]))</f>
        <v/>
      </c>
      <c r="AS23" s="47" t="str">
        <f aca="false">IF(Tasks[[#This Row],[Task Name]]="","",IF(Tasks[[#This Row],[Start]]&gt;=Tasks[[#This Row],[Planned Start]],NETWORKDAYS.INTL(Tasks[[#This Row],[Planned Start]],Tasks[[#This Row],[Start]],WorkWeek,Holidays)-1,1-NETWORKDAYS.INTL(Tasks[[#This Row],[Start]],Tasks[[#This Row],[Planned Start]],WorkWeek,Holidays)))</f>
        <v/>
      </c>
      <c r="AT23" s="63" t="str">
        <f aca="false">IF(Tasks[[#This Row],[Task Name]]="","",IF(Tasks[[#This Row],[_IsSummary]],MIN(INDEX(Tasks[_LeafLateStart],Tasks[[#This Row],[_Row]]+1):INDEX(Tasks[_LeafLateStart],Tasks[[#This Row],[_Row]]+Tasks[[#This Row],[_Descendants]])),Tasks[[#This Row],[_LeafLateStart]]))</f>
        <v/>
      </c>
      <c r="AU23" s="63" t="str">
        <f aca="false">IF(Tasks[[#This Row],[Task Name]]="","",IF(Tasks[[#This Row],[_IsSummary]],MAX(INDEX(Tasks[_LeafLateFinish],Tasks[[#This Row],[_Row]]+1):INDEX(Tasks[_LeafLateFinish],Tasks[[#This Row],[_Row]]+Tasks[[#This Row],[_Descendants]])),Tasks[[#This Row],[_LeafLateFinish]]))</f>
        <v/>
      </c>
      <c r="AV23" s="47" t="str">
        <f aca="false">IF(Tasks[[#This Row],[Task Name]]="","",IF(Tasks[[#This Row],[_IsSummary]],MIN(INDEX(Tasks[_LeafTotalSlack],Tasks[[#This Row],[_Row]]+1):INDEX(Tasks[_LeafTotalSlack],Tasks[[#This Row],[_Row]]+Tasks[[#This Row],[_Descendants]])),Tasks[[#This Row],[_LeafTotalSlack]]))</f>
        <v/>
      </c>
      <c r="AW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5"/>
      <c r="BA2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1" t="str">
        <f aca="false">IF(Tasks[[#This Row],[Task Name]]="","",IF(Tasks[[#This Row],[_Level]]&lt;=OutlineShowLevel,"Yes","No"))</f>
        <v/>
      </c>
      <c r="BE23" s="86" t="str">
        <f aca="false">IF(Tasks[[#This Row],[Task Name]]="","",IF(Tasks[[#This Row],[_IsSummary]],SUM(INDEX(Tasks[_LeafTotalWork],Tasks[[#This Row],[_Row]]+1):INDEX(Tasks[_LeafTotalWork],Tasks[[#This Row],[_Row]]+Tasks[[#This Row],[_Descendants]])),Tasks[[#This Row],[_LeafTotalWork]]))</f>
        <v/>
      </c>
      <c r="BF23" s="23"/>
      <c r="BG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3" s="21" t="str">
        <f aca="false">""</f>
        <v/>
      </c>
      <c r="BI23" s="87"/>
      <c r="BJ23" s="22"/>
      <c r="BK23" s="47" t="str">
        <f aca="false">IF(OR(Tasks[[#This Row],[Task Name]]="",Tasks[[#This Row],[Baseline Duration]]=""),"",Tasks[[#This Row],[_SpanDays]]-N(Tasks[[#This Row],[Baseline Duration]]))</f>
        <v/>
      </c>
      <c r="BL23" s="86" t="str">
        <f aca="false">IF(OR(Tasks[[#This Row],[Task Name]]="",Tasks[[#This Row],[Baseline Work]]=""),"",Tasks[[#This Row],[Work]]-N(Tasks[[#This Row],[Baseline Work]]))</f>
        <v/>
      </c>
      <c r="BM23" s="63" t="str">
        <f aca="false">IF(Tasks[[#This Row],[Task Name]]="","",IF(OR(TakeBaseline="Yes",N(Tasks[[#This Row],[Baseline Start]])=0),Tasks[[#This Row],[Start]],Tasks[[#This Row],[Baseline Start]]))</f>
        <v/>
      </c>
      <c r="BN23" s="63" t="str">
        <f aca="false">IF(Tasks[[#This Row],[Task Name]]="","",IF(OR(TakeBaseline="Yes",N(Tasks[[#This Row],[Baseline Finish]])=0),Tasks[[#This Row],[Finish]],Tasks[[#This Row],[Baseline Finish]]))</f>
        <v/>
      </c>
      <c r="BO23" s="21" t="str">
        <f aca="false">IF(Tasks[[#This Row],[Task Name]]="","",IF(OR(TakeBaseline="Yes",N(Tasks[[#This Row],[Baseline Duration]])=0),Tasks[[#This Row],[_SpanDays]],Tasks[[#This Row],[Baseline Duration]]))</f>
        <v/>
      </c>
      <c r="BP23" s="86" t="str">
        <f aca="false">IF(Tasks[[#This Row],[Task Name]]="","",IF(OR(TakeBaseline="Yes",N(Tasks[[#This Row],[Baseline Work]])=0),Tasks[[#This Row],[Work]],Tasks[[#This Row],[Baseline Work]]))</f>
        <v/>
      </c>
      <c r="BQ23" s="7"/>
      <c r="BR23" s="7"/>
      <c r="BS23" s="22"/>
      <c r="BT23" s="88"/>
      <c r="BU23" s="23"/>
      <c r="BV23" s="23"/>
      <c r="BW23" s="23"/>
      <c r="BX23" s="89" t="str">
        <f aca="false">IF(AND(Tasks[[#This Row],[_IsLeaf]]=1,ISNUMBER(Tasks[[#This Row],[Optimistic]]),ISNUMBER(Tasks[[#This Row],[Pessimistic]])),ROUND((Tasks[[#This Row],[Optimistic]]+4*N(Tasks[[#This Row],[_Days]])+Tasks[[#This Row],[Pessimistic]])/6,1),"")</f>
        <v/>
      </c>
      <c r="BY23" s="87"/>
      <c r="BZ23" s="87"/>
      <c r="CA23" s="22"/>
      <c r="CB23" s="43" t="str">
        <f aca="false">IF(Tasks[[#This Row],[Task Name]]="","",MAX(1,N(Tasks[[#This Row],[Level]])))</f>
        <v/>
      </c>
      <c r="CC23" s="43" t="n">
        <f aca="false">ROW()-ROW(Tasks[[#Headers],[ID]])</f>
        <v>18</v>
      </c>
      <c r="CD23" s="43" t="n">
        <f aca="false">IF(OR(Tasks[[#This Row],[Task Name]]="",Tasks[[#This Row],[_Level]]&lt;=1),0,IFERROR(LOOKUP(2,1/(Tasks[[#Headers],[_Level]]:Tasks[[#This Row],[_Level]]=Tasks[[#This Row],[_Level]]-1),ROW(Tasks[[#Headers],[_Level]]:Tasks[[#This Row],[_Level]])),0))</f>
        <v>0</v>
      </c>
      <c r="CE23" s="43" t="n">
        <f aca="false">IFERROR(N(INDEX(Tasks[_Level],Tasks[[#This Row],[_Row]]+1)),0)</f>
        <v>0</v>
      </c>
      <c r="CF23" s="90" t="b">
        <f aca="false">AND(Tasks[[#This Row],[Task Name]]&lt;&gt;"",Tasks[[#This Row],[_NextLevel]]&gt;Tasks[[#This Row],[_Level]])</f>
        <v>0</v>
      </c>
      <c r="CG23" s="43" t="n">
        <f aca="false">IF(Tasks[[#This Row],[_IsSummary]],COUNTIF(Tasks[WBS],Tasks[[#This Row],[WBS]]&amp;".*"),0)</f>
        <v>0</v>
      </c>
      <c r="CH23" s="43" t="n">
        <f aca="false">IF(AND(Tasks[[#This Row],[Task Name]]&lt;&gt;"",NOT(Tasks[[#This Row],[_IsSummary]])),1,0)</f>
        <v>0</v>
      </c>
      <c r="CI23" s="43" t="n">
        <f aca="false">IF(N(Tasks[[#This Row],[_Pred1UID]])=0,0,IFERROR(MATCH(Tasks[[#This Row],[_Pred1UID]],Tasks[UID],0),-1))</f>
        <v>0</v>
      </c>
      <c r="CJ23" s="43" t="n">
        <f aca="false">IF(N(Tasks[[#This Row],[_Pred2UID]])=0,0,IFERROR(MATCH(Tasks[[#This Row],[_Pred2UID]],Tasks[UID],0),-1))</f>
        <v>0</v>
      </c>
      <c r="CK23" s="43" t="n">
        <f aca="false">IF(N(Tasks[[#This Row],[_Pred3UID]])=0,0,IFERROR(MATCH(Tasks[[#This Row],[_Pred3UID]],Tasks[UID],0),-1))</f>
        <v>0</v>
      </c>
      <c r="CL23" s="43" t="n">
        <f aca="false">IF(N(Tasks[[#This Row],[_Pred4UID]])=0,0,IFERROR(MATCH(Tasks[[#This Row],[_Pred4UID]],Tasks[UID],0),-1))</f>
        <v>0</v>
      </c>
      <c r="CM2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3" s="91" t="n">
        <f aca="false">IF(OR(Tasks[[#This Row],[_ConstraintCode]]=2,Tasks[[#This Row],[_ConstraintCode]]=3,Tasks[[#This Row],[_ConstraintCode]]=4,Tasks[[#This Row],[_ConstraintCode]]=6),Tasks[[#This Row],[_ConstraintStart]],0)</f>
        <v>0</v>
      </c>
      <c r="CP23" s="91" t="n">
        <f aca="false">IF(OR(Tasks[[#This Row],[_ConstraintCode]]=2,Tasks[[#This Row],[_ConstraintCode]]=3,Tasks[[#This Row],[_ConstraintCode]]=5,Tasks[[#This Row],[_ConstraintCode]]=7),Tasks[[#This Row],[_ConstraintStart]],2958465)</f>
        <v>2958465</v>
      </c>
      <c r="CQ2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3" s="91" t="str">
        <f aca="false">IF(NOT(Tasks[[#This Row],[_IsLeaf]]=1),"",IF(N(Tasks[[#This Row],[_Days]])&lt;=0,Tasks[[#This Row],[_LeafCalcStart]],WORKDAY.INTL(Tasks[[#This Row],[_LeafCalcStart]],Tasks[[#This Row],[_Days]]-1,WorkWeek,Holidays)))</f>
        <v/>
      </c>
      <c r="CS2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3" s="43" t="str">
        <f aca="false">IF(Tasks[[#This Row],[_Predecessors]]="","",TRIM(MID(SUBSTITUTE(SUBSTITUTE(SUBSTITUTE(UPPER(Tasks[[#This Row],[_Predecessors]]),";",",")," ",""),",",REPT(" ",99)),1,99)))</f>
        <v/>
      </c>
      <c r="CV23" s="43" t="str">
        <f aca="false">IF(Tasks[[#This Row],[_Pred1Text]]="","",IFERROR(VALUE(LEFT(Tasks[[#This Row],[_Pred1Text]],MIN(FIND("F",Tasks[[#This Row],[_Pred1Text]]&amp;"F"),FIND("S",Tasks[[#This Row],[_Pred1Text]]&amp;"S"),FIND("+",Tasks[[#This Row],[_Pred1Text]]&amp;"+"),FIND("-",Tasks[[#This Row],[_Pred1Text]]&amp;"-"))-1)),""))</f>
        <v/>
      </c>
      <c r="CW2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3" s="43" t="str">
        <f aca="false">IF(Tasks[[#This Row],[_Pred1Text]]="","",TRIM(MID(SUBSTITUTE(SUBSTITUTE(SUBSTITUTE(UPPER(Tasks[[#This Row],[_Predecessors]]),";",",")," ",""),",",REPT(" ",99)),100,99)))</f>
        <v/>
      </c>
      <c r="CZ23" s="43" t="str">
        <f aca="false">IF(Tasks[[#This Row],[_Pred2Text]]="","",IFERROR(VALUE(LEFT(Tasks[[#This Row],[_Pred2Text]],MIN(FIND("F",Tasks[[#This Row],[_Pred2Text]]&amp;"F"),FIND("S",Tasks[[#This Row],[_Pred2Text]]&amp;"S"),FIND("+",Tasks[[#This Row],[_Pred2Text]]&amp;"+"),FIND("-",Tasks[[#This Row],[_Pred2Text]]&amp;"-"))-1)),""))</f>
        <v/>
      </c>
      <c r="DA2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3" s="43" t="str">
        <f aca="false">IF(Tasks[[#This Row],[_Pred2Text]]="","",TRIM(MID(SUBSTITUTE(SUBSTITUTE(SUBSTITUTE(UPPER(Tasks[[#This Row],[_Predecessors]]),";",",")," ",""),",",REPT(" ",99)),199,99)))</f>
        <v/>
      </c>
      <c r="DD23" s="43" t="str">
        <f aca="false">IF(Tasks[[#This Row],[_Pred3Text]]="","",IFERROR(VALUE(LEFT(Tasks[[#This Row],[_Pred3Text]],MIN(FIND("F",Tasks[[#This Row],[_Pred3Text]]&amp;"F"),FIND("S",Tasks[[#This Row],[_Pred3Text]]&amp;"S"),FIND("+",Tasks[[#This Row],[_Pred3Text]]&amp;"+"),FIND("-",Tasks[[#This Row],[_Pred3Text]]&amp;"-"))-1)),""))</f>
        <v/>
      </c>
      <c r="DE2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3" s="43" t="str">
        <f aca="false">IF(Tasks[[#This Row],[_Pred3Text]]="","",TRIM(MID(SUBSTITUTE(SUBSTITUTE(SUBSTITUTE(UPPER(Tasks[[#This Row],[_Predecessors]]),";",",")," ",""),",",REPT(" ",99)),298,99)))</f>
        <v/>
      </c>
      <c r="DH23" s="43" t="str">
        <f aca="false">IF(Tasks[[#This Row],[_Pred4Text]]="","",IFERROR(VALUE(LEFT(Tasks[[#This Row],[_Pred4Text]],MIN(FIND("F",Tasks[[#This Row],[_Pred4Text]]&amp;"F"),FIND("S",Tasks[[#This Row],[_Pred4Text]]&amp;"S"),FIND("+",Tasks[[#This Row],[_Pred4Text]]&amp;"+"),FIND("-",Tasks[[#This Row],[_Pred4Text]]&amp;"-"))-1)),""))</f>
        <v/>
      </c>
      <c r="DI2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3" s="43" t="str">
        <f aca="false">IF(OR(Tasks[[#This Row],[Task Name]]="",Tasks[[#This Row],[_Resources]]=""),"",TRIM(MID(SUBSTITUTE(Tasks[[#This Row],[_Resources]],",",REPT(" ",99)),1,99)))</f>
        <v/>
      </c>
      <c r="DL23" s="43" t="str">
        <f aca="false">IF(Tasks[[#This Row],[_Res1Text]]="","",TRIM(MID(SUBSTITUTE(Tasks[[#This Row],[_Resources]],",",REPT(" ",99)),100,99)))</f>
        <v/>
      </c>
      <c r="DM23" s="43" t="str">
        <f aca="false">IF(Tasks[[#This Row],[_Res2Text]]="","",TRIM(MID(SUBSTITUTE(Tasks[[#This Row],[_Resources]],",",REPT(" ",99)),199,99)))</f>
        <v/>
      </c>
      <c r="DN23" s="43" t="str">
        <f aca="false">IF(Tasks[[#This Row],[_Res3Text]]="","",TRIM(MID(SUBSTITUTE(Tasks[[#This Row],[_Resources]],",",REPT(" ",99)),298,99)))</f>
        <v/>
      </c>
      <c r="DO23" s="43" t="n">
        <f aca="false">IF(Tasks[[#This Row],[_Res1Text]]="",0,IFERROR(MATCH(TRIM(LEFT(Tasks[[#This Row],[_Res1Text]],FIND("[",Tasks[[#This Row],[_Res1Text]]&amp;"[")-1)),res_Name,0),IFERROR(MATCH(TRIM(LEFT(Tasks[[#This Row],[_Res1Text]],FIND("[",Tasks[[#This Row],[_Res1Text]]&amp;"[")-1)),res_Initials,0),0)))</f>
        <v>0</v>
      </c>
      <c r="DP23" s="43" t="n">
        <f aca="false">IF(Tasks[[#This Row],[_Res2Text]]="",0,IFERROR(MATCH(TRIM(LEFT(Tasks[[#This Row],[_Res2Text]],FIND("[",Tasks[[#This Row],[_Res2Text]]&amp;"[")-1)),res_Name,0),IFERROR(MATCH(TRIM(LEFT(Tasks[[#This Row],[_Res2Text]],FIND("[",Tasks[[#This Row],[_Res2Text]]&amp;"[")-1)),res_Initials,0),0)))</f>
        <v>0</v>
      </c>
      <c r="DQ23" s="43" t="n">
        <f aca="false">IF(Tasks[[#This Row],[_Res3Text]]="",0,IFERROR(MATCH(TRIM(LEFT(Tasks[[#This Row],[_Res3Text]],FIND("[",Tasks[[#This Row],[_Res3Text]]&amp;"[")-1)),res_Name,0),IFERROR(MATCH(TRIM(LEFT(Tasks[[#This Row],[_Res3Text]],FIND("[",Tasks[[#This Row],[_Res3Text]]&amp;"[")-1)),res_Initials,0),0)))</f>
        <v>0</v>
      </c>
      <c r="DR23" s="43" t="n">
        <f aca="false">IF(Tasks[[#This Row],[_Res4Text]]="",0,IFERROR(MATCH(TRIM(LEFT(Tasks[[#This Row],[_Res4Text]],FIND("[",Tasks[[#This Row],[_Res4Text]]&amp;"[")-1)),res_Name,0),IFERROR(MATCH(TRIM(LEFT(Tasks[[#This Row],[_Res4Text]],FIND("[",Tasks[[#This Row],[_Res4Text]]&amp;"[")-1)),res_Initials,0),0)))</f>
        <v>0</v>
      </c>
      <c r="DS23" s="43" t="str">
        <f aca="false">IF(Tasks[[#This Row],[_Res1Text]]="","",IF(Tasks[[#This Row],[_Res1Row]]&gt;0,INDEX(res_Name,Tasks[[#This Row],[_Res1Row]]),TRIM(LEFT(Tasks[[#This Row],[_Res1Text]],FIND("[",Tasks[[#This Row],[_Res1Text]]&amp;"[")-1))))</f>
        <v/>
      </c>
      <c r="DT2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3" s="43" t="n">
        <f aca="false">IF(NOT(Tasks[[#This Row],[_IsLeaf]]=1),0,(Tasks[[#This Row],[_Resource1]]&lt;&gt;"")+(Tasks[[#This Row],[_Res2]]&lt;&gt;"")+(Tasks[[#This Row],[_Res3]]&lt;&gt;"")+(Tasks[[#This Row],[_Res4]]&lt;&gt;""))</f>
        <v>0</v>
      </c>
      <c r="DV23" s="43" t="str">
        <f aca="false">IF(Tasks[[#This Row],[_Res2Text]]="","",IF(Tasks[[#This Row],[_Res2Row]]&gt;0,INDEX(res_Name,Tasks[[#This Row],[_Res2Row]]),TRIM(LEFT(Tasks[[#This Row],[_Res2Text]],FIND("[",Tasks[[#This Row],[_Res2Text]]&amp;"[")-1))))</f>
        <v/>
      </c>
      <c r="DW2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3" s="43" t="n">
        <f aca="false">IF(OR(NOT(Tasks[[#This Row],[_IsLeaf]]=1),Tasks[[#This Row],[_Res2Row]]=0),0,N(Tasks[[#This Row],[_Days]])*HoursPerDay*IF(Tasks[[#This Row],[_Res2Units]]="",DefaultUnits,Tasks[[#This Row],[_Res2Units]]))</f>
        <v>0</v>
      </c>
      <c r="DY23" s="43" t="n">
        <f aca="false">IF(AND(AND(Tasks[[#This Row],[_IsLeaf]]=1,Tasks[[#This Row],[_LeafTotalWork]]&gt;0),Tasks[[#This Row],[_Res2Work]]&gt;0),Tasks[[#This Row],[_Res2Work]]/(Tasks[[#This Row],[_FinishWorkday]]-Tasks[[#This Row],[_StartWorkday]]+1),0)</f>
        <v>0</v>
      </c>
      <c r="DZ23" s="43" t="n">
        <f aca="false">Tasks[[#This Row],[_Res2WorkPerWD]]*MAX(0,Tasks[[#This Row],[_StartWorkday]]-1)</f>
        <v>0</v>
      </c>
      <c r="EA23" s="43" t="n">
        <f aca="false">Tasks[[#This Row],[_Res2Work]]*Tasks[[#This Row],[_LeafProgress]]</f>
        <v>0</v>
      </c>
      <c r="EB23" s="43" t="str">
        <f aca="false">IF(Tasks[[#This Row],[_Res3Text]]="","",IF(Tasks[[#This Row],[_Res3Row]]&gt;0,INDEX(res_Name,Tasks[[#This Row],[_Res3Row]]),TRIM(LEFT(Tasks[[#This Row],[_Res3Text]],FIND("[",Tasks[[#This Row],[_Res3Text]]&amp;"[")-1))))</f>
        <v/>
      </c>
      <c r="EC2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3" s="43" t="n">
        <f aca="false">IF(OR(NOT(Tasks[[#This Row],[_IsLeaf]]=1),Tasks[[#This Row],[_Res3Row]]=0),0,N(Tasks[[#This Row],[_Days]])*HoursPerDay*IF(Tasks[[#This Row],[_Res3Units]]="",DefaultUnits,Tasks[[#This Row],[_Res3Units]]))</f>
        <v>0</v>
      </c>
      <c r="EE23" s="43" t="n">
        <f aca="false">IF(AND(AND(Tasks[[#This Row],[_IsLeaf]]=1,Tasks[[#This Row],[_LeafTotalWork]]&gt;0),Tasks[[#This Row],[_Res3Work]]&gt;0),Tasks[[#This Row],[_Res3Work]]/(Tasks[[#This Row],[_FinishWorkday]]-Tasks[[#This Row],[_StartWorkday]]+1),0)</f>
        <v>0</v>
      </c>
      <c r="EF23" s="43" t="n">
        <f aca="false">Tasks[[#This Row],[_Res3WorkPerWD]]*MAX(0,Tasks[[#This Row],[_StartWorkday]]-1)</f>
        <v>0</v>
      </c>
      <c r="EG23" s="43" t="n">
        <f aca="false">Tasks[[#This Row],[_Res3Work]]*Tasks[[#This Row],[_LeafProgress]]</f>
        <v>0</v>
      </c>
      <c r="EH23" s="43" t="str">
        <f aca="false">IF(Tasks[[#This Row],[_Res4Text]]="","",IF(Tasks[[#This Row],[_Res4Row]]&gt;0,INDEX(res_Name,Tasks[[#This Row],[_Res4Row]]),TRIM(LEFT(Tasks[[#This Row],[_Res4Text]],FIND("[",Tasks[[#This Row],[_Res4Text]]&amp;"[")-1))))</f>
        <v/>
      </c>
      <c r="EI2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3" s="43" t="n">
        <f aca="false">IF(OR(NOT(Tasks[[#This Row],[_IsLeaf]]=1),Tasks[[#This Row],[_Res4Row]]=0),0,N(Tasks[[#This Row],[_Days]])*HoursPerDay*IF(Tasks[[#This Row],[_Res4Units]]="",DefaultUnits,Tasks[[#This Row],[_Res4Units]]))</f>
        <v>0</v>
      </c>
      <c r="EK23" s="43" t="n">
        <f aca="false">IF(AND(AND(Tasks[[#This Row],[_IsLeaf]]=1,Tasks[[#This Row],[_LeafTotalWork]]&gt;0),Tasks[[#This Row],[_Res4Work]]&gt;0),Tasks[[#This Row],[_Res4Work]]/(Tasks[[#This Row],[_FinishWorkday]]-Tasks[[#This Row],[_StartWorkday]]+1),0)</f>
        <v>0</v>
      </c>
      <c r="EL23" s="43" t="n">
        <f aca="false">Tasks[[#This Row],[_Res4WorkPerWD]]*MAX(0,Tasks[[#This Row],[_StartWorkday]]-1)</f>
        <v>0</v>
      </c>
      <c r="EM23" s="43" t="n">
        <f aca="false">Tasks[[#This Row],[_Res4Work]]*Tasks[[#This Row],[_LeafProgress]]</f>
        <v>0</v>
      </c>
      <c r="EN23" s="43" t="n">
        <f aca="false">IF(ISNUMBER(Tasks[[#This Row],[% Complete]]),Tasks[[#This Row],[% Complete]],IF(Tasks[[#This Row],[Stage]]="",0,IFERROR(INDEX(stg_Pct,MATCH(Tasks[[#This Row],[Stage]],stg_Name,0)),0)))</f>
        <v>0</v>
      </c>
      <c r="EO23" s="43" t="n">
        <f aca="false">IF(NOT(Tasks[[#This Row],[_IsLeaf]]=1),0,IF(N(Tasks[[#This Row],[Actual Finish]])&gt;0,1,MIN(1,Tasks[[#This Row],[_Pct]])))</f>
        <v>0</v>
      </c>
      <c r="EP23" s="43" t="n">
        <f aca="false">IF(OR(NOT(Tasks[[#This Row],[_IsLeaf]]=1),Tasks[[#This Row],[_Res1Row]]=0),0,N(Tasks[[#This Row],[_Days]])*HoursPerDay*IF(Tasks[[#This Row],[_Units1]]="",DefaultUnits,Tasks[[#This Row],[_Units1]]))</f>
        <v>0</v>
      </c>
      <c r="EQ23" s="43" t="n">
        <f aca="false">Tasks[[#This Row],[_LeafWork]]+Tasks[[#This Row],[_Res2Work]]+Tasks[[#This Row],[_Res3Work]]+Tasks[[#This Row],[_Res4Work]]</f>
        <v>0</v>
      </c>
      <c r="ER2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3" s="43" t="n">
        <f aca="false">IF(NOT(Tasks[[#This Row],[_IsLeaf]]=1),0,MAX(_xlfn.MAXIFS(Tasks[_Row],Tasks[_Pred1UID],Tasks[[#This Row],[UID]]),_xlfn.MAXIFS(Tasks[_Row],Tasks[_Pred2UID],Tasks[[#This Row],[UID]]),_xlfn.MAXIFS(Tasks[_Row],Tasks[_Pred3UID],Tasks[[#This Row],[UID]]),_xlfn.MAXIFS(Tasks[_Row],Tasks[_Pred4UID],Tasks[[#This Row],[UID]])))</f>
        <v>0</v>
      </c>
      <c r="FA2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3" s="91" t="str">
        <f aca="false">IF(NOT(Tasks[[#This Row],[_IsLeaf]]=1),"",IF(N(Tasks[[#This Row],[_Days]])&lt;=0,Tasks[[#This Row],[_LeafLateFinish]],WORKDAY.INTL(Tasks[[#This Row],[_LeafLateFinish]],-(Tasks[[#This Row],[_Days]]-1),WorkWeek,Holidays)))</f>
        <v/>
      </c>
      <c r="FD2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3" s="90" t="b">
        <f aca="false">AND(Tasks[[#This Row],[_IsLeaf]]=1,Tasks[[#This Row],[_LeafProgress]]&lt;1,N(Tasks[[#This Row],[_LeafTotalSlack]])&lt;=CriticalSlackDays)</f>
        <v>0</v>
      </c>
      <c r="FF23" s="43" t="n">
        <f aca="false">IF(AND(Tasks[[#This Row],[_IsLeaf]]=1,Tasks[[#This Row],[_ConstraintCode]]=1,Tasks[[#This Row],[Mode]]&lt;&gt;"Manual",N(Tasks[[#This Row],[Actual Start]])=0),MAX(0,N(Tasks[[#This Row],[Free Slack]])),0)</f>
        <v>0</v>
      </c>
      <c r="FG23" s="91" t="str">
        <f aca="false">IF(NOT(Tasks[[#This Row],[_IsLeaf]]=1),"",IF(Tasks[[#This Row],[_AlapShift]]=0,Tasks[[#This Row],[_LeafCalcStart]],WORKDAY.INTL(Tasks[[#This Row],[_LeafCalcStart]],Tasks[[#This Row],[_AlapShift]],WorkWeek,Holidays)))</f>
        <v/>
      </c>
      <c r="FH23" s="91" t="str">
        <f aca="false">IF(NOT(Tasks[[#This Row],[_IsLeaf]]=1),"",IF(Tasks[[#This Row],[_AlapShift]]=0,Tasks[[#This Row],[_LeafCalcFinish]],WORKDAY.INTL(Tasks[[#This Row],[_LeafCalcFinish]],Tasks[[#This Row],[_AlapShift]],WorkWeek,Holidays)))</f>
        <v/>
      </c>
      <c r="FI23" s="91" t="str">
        <f aca="false">IF(NOT(Tasks[[#This Row],[_IsLeaf]]=1),"",IF(Tasks[[#This Row],[_AlapShift]]=0,Tasks[[#This Row],[_LeafFcstStart]],WORKDAY.INTL(Tasks[[#This Row],[_LeafFcstStart]],Tasks[[#This Row],[_AlapShift]],WorkWeek,Holidays)))</f>
        <v/>
      </c>
      <c r="FJ23" s="91" t="str">
        <f aca="false">IF(NOT(Tasks[[#This Row],[_IsLeaf]]=1),"",IF(Tasks[[#This Row],[_AlapShift]]=0,Tasks[[#This Row],[_LeafFcstFinish]],WORKDAY.INTL(Tasks[[#This Row],[_LeafFcstFinish]],Tasks[[#This Row],[_AlapShift]],WorkWeek,Holidays)))</f>
        <v/>
      </c>
      <c r="FK23" s="91" t="str">
        <f aca="false">IF(Tasks[[#This Row],[Task Name]]="","",IF(Tasks[[#This Row],[_IsSummary]],MIN(INDEX(Tasks[_ShownCalcStart],Tasks[[#This Row],[_Row]]+1):INDEX(Tasks[_ShownCalcStart],Tasks[[#This Row],[_Row]]+Tasks[[#This Row],[_Descendants]])),Tasks[[#This Row],[_ShownCalcStart]]))</f>
        <v/>
      </c>
      <c r="FL23" s="91" t="str">
        <f aca="false">IF(Tasks[[#This Row],[Task Name]]="","",IF(Tasks[[#This Row],[_IsSummary]],MAX(INDEX(Tasks[_ShownCalcFinish],Tasks[[#This Row],[_Row]]+1):INDEX(Tasks[_ShownCalcFinish],Tasks[[#This Row],[_Row]]+Tasks[[#This Row],[_Descendants]])),Tasks[[#This Row],[_ShownCalcFinish]]))</f>
        <v/>
      </c>
      <c r="FM2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3" s="43" t="n">
        <f aca="false">IF(AND(Tasks[[#This Row],[_IsLeaf]]=1,Tasks[[#This Row],[_LeafTotalWork]]&gt;0),NETWORKDAYS.INTL(ProjectStart,Tasks[[#This Row],[_ShownFcstStart]],WorkWeek,Holidays),0)</f>
        <v>0</v>
      </c>
      <c r="FZ23" s="43" t="n">
        <f aca="false">IF(AND(Tasks[[#This Row],[_IsLeaf]]=1,Tasks[[#This Row],[_LeafTotalWork]]&gt;0),MAX(Tasks[[#This Row],[_StartWorkday]],NETWORKDAYS.INTL(ProjectStart,Tasks[[#This Row],[_ShownFcstFinish]],WorkWeek,Holidays)),0)</f>
        <v>0</v>
      </c>
      <c r="GA23" s="43" t="n">
        <f aca="false">IF(AND(Tasks[[#This Row],[_IsLeaf]]=1,Tasks[[#This Row],[_LeafTotalWork]]&gt;0),Tasks[[#This Row],[_LeafWork]]/(Tasks[[#This Row],[_FinishWorkday]]-Tasks[[#This Row],[_StartWorkday]]+1),0)</f>
        <v>0</v>
      </c>
      <c r="GB23" s="43" t="n">
        <f aca="false">Tasks[[#This Row],[_WorkPerWorkday]]*(Tasks[[#This Row],[_StartWorkday]]-1)</f>
        <v>-0</v>
      </c>
      <c r="GC23" s="43" t="n">
        <f aca="false">IF(Tasks[[#This Row],[_IsLeaf]]=1,MAX(N(Tasks[[#This Row],[_Days]]),0.1),0)</f>
        <v>0</v>
      </c>
      <c r="GD23" s="43" t="n">
        <f aca="false">Tasks[[#This Row],[_WeightDur]]*Tasks[[#This Row],[_LeafProgress]]</f>
        <v>0</v>
      </c>
      <c r="GE23" s="43" t="n">
        <f aca="false">Tasks[[#This Row],[_WeightDur]]*Tasks[[#This Row],[_PlannedPct]]</f>
        <v>0</v>
      </c>
      <c r="GF2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3" s="43" t="str">
        <f aca="false">IF(AND(Tasks[[#This Row],[_IsLeaf]]=1,N(Tasks[[#This Row],[_Days]])=0,Tasks[[#This Row],[_LeafProgress]]&lt;1),Tasks[[#This Row],[_ShownFcstFinish]]+Tasks[[#This Row],[_Row]]/100000,"")</f>
        <v/>
      </c>
      <c r="GH2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3" s="43" t="str">
        <f aca="false">IF(Tasks[[#This Row],[Task Name]]="","",LEFT(Tasks[[#This Row],[WBS]],FIND(".",Tasks[[#This Row],[WBS]]&amp;".")-1))</f>
        <v/>
      </c>
      <c r="GJ23" s="43" t="str">
        <f aca="false">IF(AND(Tasks[[#This Row],[Task Name]]&lt;&gt;"",Tasks[[#This Row],[_Level]]=1),Tasks[[#This Row],[_Row]],"")</f>
        <v/>
      </c>
      <c r="GK23" s="43" t="str">
        <f aca="false">IF(AND(Tasks[[#This Row],[_IsLeaf]]=1,N(Tasks[[#This Row],[_Days]])=0),Tasks[[#This Row],[Planned Finish]]+Tasks[[#This Row],[_Row]]/100000,"")</f>
        <v/>
      </c>
      <c r="GL23" s="43" t="str">
        <f aca="false">IF(AND(Tasks[[#This Row],[_IsLeaf]]=1,Tasks[[#This Row],[_LeafProgress]]&lt;1,OR(N(Tasks[[#This Row],[Finish Var]])&gt;0,Tasks[[#This Row],[Status]]="Late Start")),MAX(0,Tasks[[#This Row],[Finish Var]])+1-Tasks[[#This Row],[_Row]]/1000000,"")</f>
        <v/>
      </c>
      <c r="GM23" s="43" t="str">
        <f aca="false">IF(AND(Tasks[[#This Row],[_IsLeaf]]=1,N(Tasks[[#This Row],[Actual Start]])=0,Tasks[[#This Row],[_ShownFcstStart]]&gt;=StatusDate,Tasks[[#This Row],[_ShownFcstStart]]&lt;=LookaheadEnd),Tasks[[#This Row],[_ShownFcstStart]]+Tasks[[#This Row],[_Row]]/100000,"")</f>
        <v/>
      </c>
      <c r="GN23" s="43" t="str">
        <f aca="false">IF(AND(Tasks[[#This Row],[_IsLeaf]]=1,Tasks[[#This Row],[_LeafProgress]]&lt;1,Tasks[[#This Row],[_ShownFcstFinish]]&gt;=StatusDate,Tasks[[#This Row],[_ShownFcstFinish]]&lt;=LookaheadEnd),Tasks[[#This Row],[_ShownFcstFinish]]+Tasks[[#This Row],[_Row]]/100000,"")</f>
        <v/>
      </c>
      <c r="GO23" s="43" t="str">
        <f aca="false">IF(Tasks[[#This Row],[_LeafCritical]],Tasks[[#This Row],[_ShownFcstStart]]+Tasks[[#This Row],[_Row]]/100000,"")</f>
        <v/>
      </c>
      <c r="GP23" s="43" t="n">
        <f aca="false">Tasks[[#This Row],[_LeafWork]]*Tasks[[#This Row],[_LeafProgress]]</f>
        <v>0</v>
      </c>
      <c r="GQ23" s="91" t="str">
        <f aca="false">IF(AND(Tasks[[#This Row],[_IsLeaf]]=1,Tasks[[#This Row],[_LeafProgress]]&gt;=1),IF(N(Tasks[[#This Row],[Actual Finish]])&gt;0,Tasks[[#This Row],[Actual Finish]],Tasks[[#This Row],[_ShownFcstFinish]]),"")</f>
        <v/>
      </c>
      <c r="GR23" s="43" t="n">
        <f aca="false">IF(Tasks[[#This Row],[_IsLeaf]]=1,N(Tasks[[#This Row],[Story Points]]),0)</f>
        <v>0</v>
      </c>
      <c r="GS23" s="43" t="str">
        <f aca="false">""</f>
        <v/>
      </c>
      <c r="GT23" s="90" t="b">
        <f aca="false">IF(Tasks[[#This Row],[Task Name]]="",FALSE(),AND(Tasks[[#This Row],[_IsLeaf]]=1,N(Tasks[[#This Row],[_Days]])=0))</f>
        <v>0</v>
      </c>
      <c r="GU23" s="91" t="n">
        <f aca="false">IF(Tasks[[#This Row],[Task Name]]="",0,IF(AND(Tasks[[#This Row],[_IsLeaf]]=1,NOT(Tasks[[#This Row],[_IsMilestone]]),N(Tasks[[#This Row],[Progress]])&gt;0),Tasks[[#This Row],[Start]],0))</f>
        <v>0</v>
      </c>
      <c r="GV23" s="91" t="n">
        <f aca="false">IF(Tasks[[#This Row],[_DoneFrom]]=0,0,IF(Tasks[[#This Row],[Progress]]&gt;=1,Tasks[[#This Row],[Finish]],MAX(Tasks[[#This Row],[_DoneFrom]],Tasks[[#This Row],[Start]]+ROUND((Tasks[[#This Row],[Finish]]-Tasks[[#This Row],[Start]]+1)*Tasks[[#This Row],[Progress]],0)-1)))</f>
        <v>0</v>
      </c>
      <c r="GW23" s="91" t="n">
        <f aca="false">IF(Tasks[[#This Row],[Task Name]]="",0,IF(OR(NOT(Tasks[[#This Row],[_IsLeaf]]=1),Tasks[[#This Row],[_IsMilestone]],N(Tasks[[#This Row],[Progress]])&gt;=1),0,IF(Tasks[[#This Row],[_DoneTo]]&gt;0,Tasks[[#This Row],[_DoneTo]]+1,Tasks[[#This Row],[Start]])))</f>
        <v>0</v>
      </c>
      <c r="GX23" s="91" t="n">
        <f aca="false">IF(Tasks[[#This Row],[_RemFrom]]=0,0,Tasks[[#This Row],[Finish]])</f>
        <v>0</v>
      </c>
      <c r="GY23" s="90" t="b">
        <f aca="false">IF(Tasks[[#This Row],[Task Name]]="",FALSE(),OR(NOT(BaselineSet),N(Tasks[[#This Row],[Baseline Start]])&gt;0))</f>
        <v>0</v>
      </c>
      <c r="GZ2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3" s="92" t="str">
        <f aca="false">IF(Tasks[[#This Row],[_IsLeaf]]=1,Tasks[[#This Row],[_Row]],"")</f>
        <v/>
      </c>
      <c r="HD23" s="92" t="str">
        <f aca="false">IFERROR(INDEX(Tasks[UID],SMALL(Tasks[_PickKey],Tasks[[#This Row],[_Row]]))&amp;" "&amp;INDEX(Tasks[Task Name],SMALL(Tasks[_PickKey],Tasks[[#This Row],[_Row]])),"")</f>
        <v/>
      </c>
      <c r="HE23" s="43" t="str">
        <f aca="false">IF(Tasks[[#This Row],[Task Name]]="","",IF(Tasks[[#This Row],[_IsSummary]],NETWORKDAYS.INTL(Tasks[[#This Row],[Start]],Tasks[[#This Row],[Finish]],WorkWeek,Holidays),N(Tasks[[#This Row],[_Days]])))</f>
        <v/>
      </c>
      <c r="HF23" s="43" t="n">
        <f aca="false">IF(Tasks[[#This Row],[Expected]]="",0,((Tasks[[#This Row],[Pessimistic]]-Tasks[[#This Row],[Optimistic]])/6)^2)</f>
        <v>0</v>
      </c>
      <c r="HG23" s="43" t="n">
        <f aca="false">IF(Tasks[[#This Row],[Expected]]="",0,Tasks[[#This Row],[Expected]]-N(Tasks[[#This Row],[_Days]]))</f>
        <v>0</v>
      </c>
    </row>
    <row r="24" customFormat="false" ht="15" hidden="false" customHeight="false" outlineLevel="0" collapsed="false">
      <c r="A24" s="21" t="str">
        <f aca="false">IF(Tasks[[#This Row],[Task Name]]="","",COUNTA(Tasks[[#Headers],[Task Name]]:Tasks[[#This Row],[Task Name]])-1)</f>
        <v/>
      </c>
      <c r="B24" s="22" t="n">
        <v>32</v>
      </c>
      <c r="C24" s="22"/>
      <c r="D24" s="23"/>
      <c r="E24" s="22"/>
      <c r="F24" s="23"/>
      <c r="G24" s="22"/>
      <c r="H24" s="22"/>
      <c r="I24" s="23"/>
      <c r="J24" s="22"/>
      <c r="K24" s="22"/>
      <c r="L24" s="23"/>
      <c r="M24" s="22"/>
      <c r="N24" s="22"/>
      <c r="O24" s="23"/>
      <c r="P24" s="22"/>
      <c r="Q24" s="22"/>
      <c r="R24" s="23"/>
      <c r="S24" s="23"/>
      <c r="T24" s="84"/>
      <c r="U24" s="23"/>
      <c r="V24" s="84"/>
      <c r="W24" s="23"/>
      <c r="X24" s="84"/>
      <c r="Y24" s="23"/>
      <c r="Z24" s="84"/>
      <c r="AA24" s="23"/>
      <c r="AB24" s="23"/>
      <c r="AC24" s="7"/>
      <c r="AD24" s="7"/>
      <c r="AE24" s="63" t="str">
        <f aca="false">IF(Tasks[[#This Row],[Task Name]]="","",IF(Tasks[[#This Row],[_IsSummary]],MIN(INDEX(Tasks[_ShownFcstStart],Tasks[[#This Row],[_Row]]+1):INDEX(Tasks[_ShownFcstStart],Tasks[[#This Row],[_Row]]+Tasks[[#This Row],[_Descendants]])),Tasks[[#This Row],[_ShownFcstStart]]))</f>
        <v/>
      </c>
      <c r="AF24" s="63" t="str">
        <f aca="false">IF(Tasks[[#This Row],[Task Name]]="","",IF(Tasks[[#This Row],[_IsSummary]],MAX(INDEX(Tasks[_ShownFcstFinish],Tasks[[#This Row],[_Row]]+1):INDEX(Tasks[_ShownFcstFinish],Tasks[[#This Row],[_Row]]+Tasks[[#This Row],[_Descendants]])),Tasks[[#This Row],[_ShownFcstFinish]]))</f>
        <v/>
      </c>
      <c r="AG24" s="21" t="str">
        <f aca="false">""</f>
        <v/>
      </c>
      <c r="AH24" s="23"/>
      <c r="AI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4" s="7"/>
      <c r="AK24" s="22"/>
      <c r="AL24" s="23"/>
      <c r="AM24" s="7"/>
      <c r="AN24" s="47" t="str">
        <f aca="false">IF(Tasks[[#This Row],[Task Name]]="","",IF(Tasks[[#This Row],[Finish]]&gt;=Tasks[[#This Row],[Planned Finish]],NETWORKDAYS.INTL(Tasks[[#This Row],[Planned Finish]],Tasks[[#This Row],[Finish]],WorkWeek,Holidays)-1,1-NETWORKDAYS.INTL(Tasks[[#This Row],[Finish]],Tasks[[#This Row],[Planned Finish]],WorkWeek,Holidays)))</f>
        <v/>
      </c>
      <c r="AO24" s="21" t="str">
        <f aca="false">IF(Tasks[[#This Row],[Task Name]]="","",IF(Tasks[[#This Row],[Progress]]&gt;=1,"Complete",IF(OR(N(Tasks[[#This Row],[Actual Start]])&gt;0,Tasks[[#This Row],[Progress]]&gt;0),IF(Tasks[[#This Row],[Finish Var]]&gt;0,"Behind","In Progress"),IF(Tasks[[#This Row],[Planned Start]]&lt;StatusDate,"Late Start","Not Started"))))</f>
        <v/>
      </c>
      <c r="AP24" s="21" t="str">
        <f aca="false">IF(Tasks[[#This Row],[Task Name]]="","",IF(IF(Tasks[[#This Row],[_IsSummary]],COUNTIF(INDEX(Tasks[_LeafCritical],Tasks[[#This Row],[_Row]]+1):INDEX(Tasks[_LeafCritical],Tasks[[#This Row],[_Row]]+Tasks[[#This Row],[_Descendants]]),TRUE())&gt;0,Tasks[[#This Row],[_LeafCritical]]),"Yes",""))</f>
        <v/>
      </c>
      <c r="AQ24" s="63" t="str">
        <f aca="false">IF(Tasks[[#This Row],[Task Name]]="","",IF(N(Tasks[[#This Row],[Baseline Start]])&gt;0,Tasks[[#This Row],[Baseline Start]],Tasks[[#This Row],[_CalcStart]]))</f>
        <v/>
      </c>
      <c r="AR24" s="63" t="str">
        <f aca="false">IF(Tasks[[#This Row],[Task Name]]="","",IF(N(Tasks[[#This Row],[Baseline Finish]])&gt;0,Tasks[[#This Row],[Baseline Finish]],Tasks[[#This Row],[_CalcFinish]]))</f>
        <v/>
      </c>
      <c r="AS24" s="47" t="str">
        <f aca="false">IF(Tasks[[#This Row],[Task Name]]="","",IF(Tasks[[#This Row],[Start]]&gt;=Tasks[[#This Row],[Planned Start]],NETWORKDAYS.INTL(Tasks[[#This Row],[Planned Start]],Tasks[[#This Row],[Start]],WorkWeek,Holidays)-1,1-NETWORKDAYS.INTL(Tasks[[#This Row],[Start]],Tasks[[#This Row],[Planned Start]],WorkWeek,Holidays)))</f>
        <v/>
      </c>
      <c r="AT24" s="63" t="str">
        <f aca="false">IF(Tasks[[#This Row],[Task Name]]="","",IF(Tasks[[#This Row],[_IsSummary]],MIN(INDEX(Tasks[_LeafLateStart],Tasks[[#This Row],[_Row]]+1):INDEX(Tasks[_LeafLateStart],Tasks[[#This Row],[_Row]]+Tasks[[#This Row],[_Descendants]])),Tasks[[#This Row],[_LeafLateStart]]))</f>
        <v/>
      </c>
      <c r="AU24" s="63" t="str">
        <f aca="false">IF(Tasks[[#This Row],[Task Name]]="","",IF(Tasks[[#This Row],[_IsSummary]],MAX(INDEX(Tasks[_LeafLateFinish],Tasks[[#This Row],[_Row]]+1):INDEX(Tasks[_LeafLateFinish],Tasks[[#This Row],[_Row]]+Tasks[[#This Row],[_Descendants]])),Tasks[[#This Row],[_LeafLateFinish]]))</f>
        <v/>
      </c>
      <c r="AV24" s="47" t="str">
        <f aca="false">IF(Tasks[[#This Row],[Task Name]]="","",IF(Tasks[[#This Row],[_IsSummary]],MIN(INDEX(Tasks[_LeafTotalSlack],Tasks[[#This Row],[_Row]]+1):INDEX(Tasks[_LeafTotalSlack],Tasks[[#This Row],[_Row]]+Tasks[[#This Row],[_Descendants]])),Tasks[[#This Row],[_LeafTotalSlack]]))</f>
        <v/>
      </c>
      <c r="AW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5"/>
      <c r="BA2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1" t="str">
        <f aca="false">IF(Tasks[[#This Row],[Task Name]]="","",IF(Tasks[[#This Row],[_Level]]&lt;=OutlineShowLevel,"Yes","No"))</f>
        <v/>
      </c>
      <c r="BE24" s="86" t="str">
        <f aca="false">IF(Tasks[[#This Row],[Task Name]]="","",IF(Tasks[[#This Row],[_IsSummary]],SUM(INDEX(Tasks[_LeafTotalWork],Tasks[[#This Row],[_Row]]+1):INDEX(Tasks[_LeafTotalWork],Tasks[[#This Row],[_Row]]+Tasks[[#This Row],[_Descendants]])),Tasks[[#This Row],[_LeafTotalWork]]))</f>
        <v/>
      </c>
      <c r="BF24" s="23"/>
      <c r="BG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4" s="21" t="str">
        <f aca="false">""</f>
        <v/>
      </c>
      <c r="BI24" s="87"/>
      <c r="BJ24" s="22"/>
      <c r="BK24" s="47" t="str">
        <f aca="false">IF(OR(Tasks[[#This Row],[Task Name]]="",Tasks[[#This Row],[Baseline Duration]]=""),"",Tasks[[#This Row],[_SpanDays]]-N(Tasks[[#This Row],[Baseline Duration]]))</f>
        <v/>
      </c>
      <c r="BL24" s="86" t="str">
        <f aca="false">IF(OR(Tasks[[#This Row],[Task Name]]="",Tasks[[#This Row],[Baseline Work]]=""),"",Tasks[[#This Row],[Work]]-N(Tasks[[#This Row],[Baseline Work]]))</f>
        <v/>
      </c>
      <c r="BM24" s="63" t="str">
        <f aca="false">IF(Tasks[[#This Row],[Task Name]]="","",IF(OR(TakeBaseline="Yes",N(Tasks[[#This Row],[Baseline Start]])=0),Tasks[[#This Row],[Start]],Tasks[[#This Row],[Baseline Start]]))</f>
        <v/>
      </c>
      <c r="BN24" s="63" t="str">
        <f aca="false">IF(Tasks[[#This Row],[Task Name]]="","",IF(OR(TakeBaseline="Yes",N(Tasks[[#This Row],[Baseline Finish]])=0),Tasks[[#This Row],[Finish]],Tasks[[#This Row],[Baseline Finish]]))</f>
        <v/>
      </c>
      <c r="BO24" s="21" t="str">
        <f aca="false">IF(Tasks[[#This Row],[Task Name]]="","",IF(OR(TakeBaseline="Yes",N(Tasks[[#This Row],[Baseline Duration]])=0),Tasks[[#This Row],[_SpanDays]],Tasks[[#This Row],[Baseline Duration]]))</f>
        <v/>
      </c>
      <c r="BP24" s="86" t="str">
        <f aca="false">IF(Tasks[[#This Row],[Task Name]]="","",IF(OR(TakeBaseline="Yes",N(Tasks[[#This Row],[Baseline Work]])=0),Tasks[[#This Row],[Work]],Tasks[[#This Row],[Baseline Work]]))</f>
        <v/>
      </c>
      <c r="BQ24" s="7"/>
      <c r="BR24" s="7"/>
      <c r="BS24" s="22"/>
      <c r="BT24" s="88"/>
      <c r="BU24" s="23"/>
      <c r="BV24" s="23"/>
      <c r="BW24" s="23"/>
      <c r="BX24" s="89" t="str">
        <f aca="false">IF(AND(Tasks[[#This Row],[_IsLeaf]]=1,ISNUMBER(Tasks[[#This Row],[Optimistic]]),ISNUMBER(Tasks[[#This Row],[Pessimistic]])),ROUND((Tasks[[#This Row],[Optimistic]]+4*N(Tasks[[#This Row],[_Days]])+Tasks[[#This Row],[Pessimistic]])/6,1),"")</f>
        <v/>
      </c>
      <c r="BY24" s="87"/>
      <c r="BZ24" s="87"/>
      <c r="CA24" s="22"/>
      <c r="CB24" s="43" t="str">
        <f aca="false">IF(Tasks[[#This Row],[Task Name]]="","",MAX(1,N(Tasks[[#This Row],[Level]])))</f>
        <v/>
      </c>
      <c r="CC24" s="43" t="n">
        <f aca="false">ROW()-ROW(Tasks[[#Headers],[ID]])</f>
        <v>19</v>
      </c>
      <c r="CD24" s="43" t="n">
        <f aca="false">IF(OR(Tasks[[#This Row],[Task Name]]="",Tasks[[#This Row],[_Level]]&lt;=1),0,IFERROR(LOOKUP(2,1/(Tasks[[#Headers],[_Level]]:Tasks[[#This Row],[_Level]]=Tasks[[#This Row],[_Level]]-1),ROW(Tasks[[#Headers],[_Level]]:Tasks[[#This Row],[_Level]])),0))</f>
        <v>0</v>
      </c>
      <c r="CE24" s="43" t="n">
        <f aca="false">IFERROR(N(INDEX(Tasks[_Level],Tasks[[#This Row],[_Row]]+1)),0)</f>
        <v>0</v>
      </c>
      <c r="CF24" s="90" t="b">
        <f aca="false">AND(Tasks[[#This Row],[Task Name]]&lt;&gt;"",Tasks[[#This Row],[_NextLevel]]&gt;Tasks[[#This Row],[_Level]])</f>
        <v>0</v>
      </c>
      <c r="CG24" s="43" t="n">
        <f aca="false">IF(Tasks[[#This Row],[_IsSummary]],COUNTIF(Tasks[WBS],Tasks[[#This Row],[WBS]]&amp;".*"),0)</f>
        <v>0</v>
      </c>
      <c r="CH24" s="43" t="n">
        <f aca="false">IF(AND(Tasks[[#This Row],[Task Name]]&lt;&gt;"",NOT(Tasks[[#This Row],[_IsSummary]])),1,0)</f>
        <v>0</v>
      </c>
      <c r="CI24" s="43" t="n">
        <f aca="false">IF(N(Tasks[[#This Row],[_Pred1UID]])=0,0,IFERROR(MATCH(Tasks[[#This Row],[_Pred1UID]],Tasks[UID],0),-1))</f>
        <v>0</v>
      </c>
      <c r="CJ24" s="43" t="n">
        <f aca="false">IF(N(Tasks[[#This Row],[_Pred2UID]])=0,0,IFERROR(MATCH(Tasks[[#This Row],[_Pred2UID]],Tasks[UID],0),-1))</f>
        <v>0</v>
      </c>
      <c r="CK24" s="43" t="n">
        <f aca="false">IF(N(Tasks[[#This Row],[_Pred3UID]])=0,0,IFERROR(MATCH(Tasks[[#This Row],[_Pred3UID]],Tasks[UID],0),-1))</f>
        <v>0</v>
      </c>
      <c r="CL24" s="43" t="n">
        <f aca="false">IF(N(Tasks[[#This Row],[_Pred4UID]])=0,0,IFERROR(MATCH(Tasks[[#This Row],[_Pred4UID]],Tasks[UID],0),-1))</f>
        <v>0</v>
      </c>
      <c r="CM2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4" s="91" t="n">
        <f aca="false">IF(OR(Tasks[[#This Row],[_ConstraintCode]]=2,Tasks[[#This Row],[_ConstraintCode]]=3,Tasks[[#This Row],[_ConstraintCode]]=4,Tasks[[#This Row],[_ConstraintCode]]=6),Tasks[[#This Row],[_ConstraintStart]],0)</f>
        <v>0</v>
      </c>
      <c r="CP24" s="91" t="n">
        <f aca="false">IF(OR(Tasks[[#This Row],[_ConstraintCode]]=2,Tasks[[#This Row],[_ConstraintCode]]=3,Tasks[[#This Row],[_ConstraintCode]]=5,Tasks[[#This Row],[_ConstraintCode]]=7),Tasks[[#This Row],[_ConstraintStart]],2958465)</f>
        <v>2958465</v>
      </c>
      <c r="CQ2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4" s="91" t="str">
        <f aca="false">IF(NOT(Tasks[[#This Row],[_IsLeaf]]=1),"",IF(N(Tasks[[#This Row],[_Days]])&lt;=0,Tasks[[#This Row],[_LeafCalcStart]],WORKDAY.INTL(Tasks[[#This Row],[_LeafCalcStart]],Tasks[[#This Row],[_Days]]-1,WorkWeek,Holidays)))</f>
        <v/>
      </c>
      <c r="CS2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4" s="43" t="str">
        <f aca="false">IF(Tasks[[#This Row],[_Predecessors]]="","",TRIM(MID(SUBSTITUTE(SUBSTITUTE(SUBSTITUTE(UPPER(Tasks[[#This Row],[_Predecessors]]),";",",")," ",""),",",REPT(" ",99)),1,99)))</f>
        <v/>
      </c>
      <c r="CV24" s="43" t="str">
        <f aca="false">IF(Tasks[[#This Row],[_Pred1Text]]="","",IFERROR(VALUE(LEFT(Tasks[[#This Row],[_Pred1Text]],MIN(FIND("F",Tasks[[#This Row],[_Pred1Text]]&amp;"F"),FIND("S",Tasks[[#This Row],[_Pred1Text]]&amp;"S"),FIND("+",Tasks[[#This Row],[_Pred1Text]]&amp;"+"),FIND("-",Tasks[[#This Row],[_Pred1Text]]&amp;"-"))-1)),""))</f>
        <v/>
      </c>
      <c r="CW2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4" s="43" t="str">
        <f aca="false">IF(Tasks[[#This Row],[_Pred1Text]]="","",TRIM(MID(SUBSTITUTE(SUBSTITUTE(SUBSTITUTE(UPPER(Tasks[[#This Row],[_Predecessors]]),";",",")," ",""),",",REPT(" ",99)),100,99)))</f>
        <v/>
      </c>
      <c r="CZ24" s="43" t="str">
        <f aca="false">IF(Tasks[[#This Row],[_Pred2Text]]="","",IFERROR(VALUE(LEFT(Tasks[[#This Row],[_Pred2Text]],MIN(FIND("F",Tasks[[#This Row],[_Pred2Text]]&amp;"F"),FIND("S",Tasks[[#This Row],[_Pred2Text]]&amp;"S"),FIND("+",Tasks[[#This Row],[_Pred2Text]]&amp;"+"),FIND("-",Tasks[[#This Row],[_Pred2Text]]&amp;"-"))-1)),""))</f>
        <v/>
      </c>
      <c r="DA2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4" s="43" t="str">
        <f aca="false">IF(Tasks[[#This Row],[_Pred2Text]]="","",TRIM(MID(SUBSTITUTE(SUBSTITUTE(SUBSTITUTE(UPPER(Tasks[[#This Row],[_Predecessors]]),";",",")," ",""),",",REPT(" ",99)),199,99)))</f>
        <v/>
      </c>
      <c r="DD24" s="43" t="str">
        <f aca="false">IF(Tasks[[#This Row],[_Pred3Text]]="","",IFERROR(VALUE(LEFT(Tasks[[#This Row],[_Pred3Text]],MIN(FIND("F",Tasks[[#This Row],[_Pred3Text]]&amp;"F"),FIND("S",Tasks[[#This Row],[_Pred3Text]]&amp;"S"),FIND("+",Tasks[[#This Row],[_Pred3Text]]&amp;"+"),FIND("-",Tasks[[#This Row],[_Pred3Text]]&amp;"-"))-1)),""))</f>
        <v/>
      </c>
      <c r="DE2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4" s="43" t="str">
        <f aca="false">IF(Tasks[[#This Row],[_Pred3Text]]="","",TRIM(MID(SUBSTITUTE(SUBSTITUTE(SUBSTITUTE(UPPER(Tasks[[#This Row],[_Predecessors]]),";",",")," ",""),",",REPT(" ",99)),298,99)))</f>
        <v/>
      </c>
      <c r="DH24" s="43" t="str">
        <f aca="false">IF(Tasks[[#This Row],[_Pred4Text]]="","",IFERROR(VALUE(LEFT(Tasks[[#This Row],[_Pred4Text]],MIN(FIND("F",Tasks[[#This Row],[_Pred4Text]]&amp;"F"),FIND("S",Tasks[[#This Row],[_Pred4Text]]&amp;"S"),FIND("+",Tasks[[#This Row],[_Pred4Text]]&amp;"+"),FIND("-",Tasks[[#This Row],[_Pred4Text]]&amp;"-"))-1)),""))</f>
        <v/>
      </c>
      <c r="DI2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4" s="43" t="str">
        <f aca="false">IF(OR(Tasks[[#This Row],[Task Name]]="",Tasks[[#This Row],[_Resources]]=""),"",TRIM(MID(SUBSTITUTE(Tasks[[#This Row],[_Resources]],",",REPT(" ",99)),1,99)))</f>
        <v/>
      </c>
      <c r="DL24" s="43" t="str">
        <f aca="false">IF(Tasks[[#This Row],[_Res1Text]]="","",TRIM(MID(SUBSTITUTE(Tasks[[#This Row],[_Resources]],",",REPT(" ",99)),100,99)))</f>
        <v/>
      </c>
      <c r="DM24" s="43" t="str">
        <f aca="false">IF(Tasks[[#This Row],[_Res2Text]]="","",TRIM(MID(SUBSTITUTE(Tasks[[#This Row],[_Resources]],",",REPT(" ",99)),199,99)))</f>
        <v/>
      </c>
      <c r="DN24" s="43" t="str">
        <f aca="false">IF(Tasks[[#This Row],[_Res3Text]]="","",TRIM(MID(SUBSTITUTE(Tasks[[#This Row],[_Resources]],",",REPT(" ",99)),298,99)))</f>
        <v/>
      </c>
      <c r="DO24" s="43" t="n">
        <f aca="false">IF(Tasks[[#This Row],[_Res1Text]]="",0,IFERROR(MATCH(TRIM(LEFT(Tasks[[#This Row],[_Res1Text]],FIND("[",Tasks[[#This Row],[_Res1Text]]&amp;"[")-1)),res_Name,0),IFERROR(MATCH(TRIM(LEFT(Tasks[[#This Row],[_Res1Text]],FIND("[",Tasks[[#This Row],[_Res1Text]]&amp;"[")-1)),res_Initials,0),0)))</f>
        <v>0</v>
      </c>
      <c r="DP24" s="43" t="n">
        <f aca="false">IF(Tasks[[#This Row],[_Res2Text]]="",0,IFERROR(MATCH(TRIM(LEFT(Tasks[[#This Row],[_Res2Text]],FIND("[",Tasks[[#This Row],[_Res2Text]]&amp;"[")-1)),res_Name,0),IFERROR(MATCH(TRIM(LEFT(Tasks[[#This Row],[_Res2Text]],FIND("[",Tasks[[#This Row],[_Res2Text]]&amp;"[")-1)),res_Initials,0),0)))</f>
        <v>0</v>
      </c>
      <c r="DQ24" s="43" t="n">
        <f aca="false">IF(Tasks[[#This Row],[_Res3Text]]="",0,IFERROR(MATCH(TRIM(LEFT(Tasks[[#This Row],[_Res3Text]],FIND("[",Tasks[[#This Row],[_Res3Text]]&amp;"[")-1)),res_Name,0),IFERROR(MATCH(TRIM(LEFT(Tasks[[#This Row],[_Res3Text]],FIND("[",Tasks[[#This Row],[_Res3Text]]&amp;"[")-1)),res_Initials,0),0)))</f>
        <v>0</v>
      </c>
      <c r="DR24" s="43" t="n">
        <f aca="false">IF(Tasks[[#This Row],[_Res4Text]]="",0,IFERROR(MATCH(TRIM(LEFT(Tasks[[#This Row],[_Res4Text]],FIND("[",Tasks[[#This Row],[_Res4Text]]&amp;"[")-1)),res_Name,0),IFERROR(MATCH(TRIM(LEFT(Tasks[[#This Row],[_Res4Text]],FIND("[",Tasks[[#This Row],[_Res4Text]]&amp;"[")-1)),res_Initials,0),0)))</f>
        <v>0</v>
      </c>
      <c r="DS24" s="43" t="str">
        <f aca="false">IF(Tasks[[#This Row],[_Res1Text]]="","",IF(Tasks[[#This Row],[_Res1Row]]&gt;0,INDEX(res_Name,Tasks[[#This Row],[_Res1Row]]),TRIM(LEFT(Tasks[[#This Row],[_Res1Text]],FIND("[",Tasks[[#This Row],[_Res1Text]]&amp;"[")-1))))</f>
        <v/>
      </c>
      <c r="DT2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4" s="43" t="n">
        <f aca="false">IF(NOT(Tasks[[#This Row],[_IsLeaf]]=1),0,(Tasks[[#This Row],[_Resource1]]&lt;&gt;"")+(Tasks[[#This Row],[_Res2]]&lt;&gt;"")+(Tasks[[#This Row],[_Res3]]&lt;&gt;"")+(Tasks[[#This Row],[_Res4]]&lt;&gt;""))</f>
        <v>0</v>
      </c>
      <c r="DV24" s="43" t="str">
        <f aca="false">IF(Tasks[[#This Row],[_Res2Text]]="","",IF(Tasks[[#This Row],[_Res2Row]]&gt;0,INDEX(res_Name,Tasks[[#This Row],[_Res2Row]]),TRIM(LEFT(Tasks[[#This Row],[_Res2Text]],FIND("[",Tasks[[#This Row],[_Res2Text]]&amp;"[")-1))))</f>
        <v/>
      </c>
      <c r="DW2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4" s="43" t="n">
        <f aca="false">IF(OR(NOT(Tasks[[#This Row],[_IsLeaf]]=1),Tasks[[#This Row],[_Res2Row]]=0),0,N(Tasks[[#This Row],[_Days]])*HoursPerDay*IF(Tasks[[#This Row],[_Res2Units]]="",DefaultUnits,Tasks[[#This Row],[_Res2Units]]))</f>
        <v>0</v>
      </c>
      <c r="DY24" s="43" t="n">
        <f aca="false">IF(AND(AND(Tasks[[#This Row],[_IsLeaf]]=1,Tasks[[#This Row],[_LeafTotalWork]]&gt;0),Tasks[[#This Row],[_Res2Work]]&gt;0),Tasks[[#This Row],[_Res2Work]]/(Tasks[[#This Row],[_FinishWorkday]]-Tasks[[#This Row],[_StartWorkday]]+1),0)</f>
        <v>0</v>
      </c>
      <c r="DZ24" s="43" t="n">
        <f aca="false">Tasks[[#This Row],[_Res2WorkPerWD]]*MAX(0,Tasks[[#This Row],[_StartWorkday]]-1)</f>
        <v>0</v>
      </c>
      <c r="EA24" s="43" t="n">
        <f aca="false">Tasks[[#This Row],[_Res2Work]]*Tasks[[#This Row],[_LeafProgress]]</f>
        <v>0</v>
      </c>
      <c r="EB24" s="43" t="str">
        <f aca="false">IF(Tasks[[#This Row],[_Res3Text]]="","",IF(Tasks[[#This Row],[_Res3Row]]&gt;0,INDEX(res_Name,Tasks[[#This Row],[_Res3Row]]),TRIM(LEFT(Tasks[[#This Row],[_Res3Text]],FIND("[",Tasks[[#This Row],[_Res3Text]]&amp;"[")-1))))</f>
        <v/>
      </c>
      <c r="EC2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4" s="43" t="n">
        <f aca="false">IF(OR(NOT(Tasks[[#This Row],[_IsLeaf]]=1),Tasks[[#This Row],[_Res3Row]]=0),0,N(Tasks[[#This Row],[_Days]])*HoursPerDay*IF(Tasks[[#This Row],[_Res3Units]]="",DefaultUnits,Tasks[[#This Row],[_Res3Units]]))</f>
        <v>0</v>
      </c>
      <c r="EE24" s="43" t="n">
        <f aca="false">IF(AND(AND(Tasks[[#This Row],[_IsLeaf]]=1,Tasks[[#This Row],[_LeafTotalWork]]&gt;0),Tasks[[#This Row],[_Res3Work]]&gt;0),Tasks[[#This Row],[_Res3Work]]/(Tasks[[#This Row],[_FinishWorkday]]-Tasks[[#This Row],[_StartWorkday]]+1),0)</f>
        <v>0</v>
      </c>
      <c r="EF24" s="43" t="n">
        <f aca="false">Tasks[[#This Row],[_Res3WorkPerWD]]*MAX(0,Tasks[[#This Row],[_StartWorkday]]-1)</f>
        <v>0</v>
      </c>
      <c r="EG24" s="43" t="n">
        <f aca="false">Tasks[[#This Row],[_Res3Work]]*Tasks[[#This Row],[_LeafProgress]]</f>
        <v>0</v>
      </c>
      <c r="EH24" s="43" t="str">
        <f aca="false">IF(Tasks[[#This Row],[_Res4Text]]="","",IF(Tasks[[#This Row],[_Res4Row]]&gt;0,INDEX(res_Name,Tasks[[#This Row],[_Res4Row]]),TRIM(LEFT(Tasks[[#This Row],[_Res4Text]],FIND("[",Tasks[[#This Row],[_Res4Text]]&amp;"[")-1))))</f>
        <v/>
      </c>
      <c r="EI2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4" s="43" t="n">
        <f aca="false">IF(OR(NOT(Tasks[[#This Row],[_IsLeaf]]=1),Tasks[[#This Row],[_Res4Row]]=0),0,N(Tasks[[#This Row],[_Days]])*HoursPerDay*IF(Tasks[[#This Row],[_Res4Units]]="",DefaultUnits,Tasks[[#This Row],[_Res4Units]]))</f>
        <v>0</v>
      </c>
      <c r="EK24" s="43" t="n">
        <f aca="false">IF(AND(AND(Tasks[[#This Row],[_IsLeaf]]=1,Tasks[[#This Row],[_LeafTotalWork]]&gt;0),Tasks[[#This Row],[_Res4Work]]&gt;0),Tasks[[#This Row],[_Res4Work]]/(Tasks[[#This Row],[_FinishWorkday]]-Tasks[[#This Row],[_StartWorkday]]+1),0)</f>
        <v>0</v>
      </c>
      <c r="EL24" s="43" t="n">
        <f aca="false">Tasks[[#This Row],[_Res4WorkPerWD]]*MAX(0,Tasks[[#This Row],[_StartWorkday]]-1)</f>
        <v>0</v>
      </c>
      <c r="EM24" s="43" t="n">
        <f aca="false">Tasks[[#This Row],[_Res4Work]]*Tasks[[#This Row],[_LeafProgress]]</f>
        <v>0</v>
      </c>
      <c r="EN24" s="43" t="n">
        <f aca="false">IF(ISNUMBER(Tasks[[#This Row],[% Complete]]),Tasks[[#This Row],[% Complete]],IF(Tasks[[#This Row],[Stage]]="",0,IFERROR(INDEX(stg_Pct,MATCH(Tasks[[#This Row],[Stage]],stg_Name,0)),0)))</f>
        <v>0</v>
      </c>
      <c r="EO24" s="43" t="n">
        <f aca="false">IF(NOT(Tasks[[#This Row],[_IsLeaf]]=1),0,IF(N(Tasks[[#This Row],[Actual Finish]])&gt;0,1,MIN(1,Tasks[[#This Row],[_Pct]])))</f>
        <v>0</v>
      </c>
      <c r="EP24" s="43" t="n">
        <f aca="false">IF(OR(NOT(Tasks[[#This Row],[_IsLeaf]]=1),Tasks[[#This Row],[_Res1Row]]=0),0,N(Tasks[[#This Row],[_Days]])*HoursPerDay*IF(Tasks[[#This Row],[_Units1]]="",DefaultUnits,Tasks[[#This Row],[_Units1]]))</f>
        <v>0</v>
      </c>
      <c r="EQ24" s="43" t="n">
        <f aca="false">Tasks[[#This Row],[_LeafWork]]+Tasks[[#This Row],[_Res2Work]]+Tasks[[#This Row],[_Res3Work]]+Tasks[[#This Row],[_Res4Work]]</f>
        <v>0</v>
      </c>
      <c r="ER2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4" s="43" t="n">
        <f aca="false">IF(NOT(Tasks[[#This Row],[_IsLeaf]]=1),0,MAX(_xlfn.MAXIFS(Tasks[_Row],Tasks[_Pred1UID],Tasks[[#This Row],[UID]]),_xlfn.MAXIFS(Tasks[_Row],Tasks[_Pred2UID],Tasks[[#This Row],[UID]]),_xlfn.MAXIFS(Tasks[_Row],Tasks[_Pred3UID],Tasks[[#This Row],[UID]]),_xlfn.MAXIFS(Tasks[_Row],Tasks[_Pred4UID],Tasks[[#This Row],[UID]])))</f>
        <v>0</v>
      </c>
      <c r="FA2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4" s="91" t="str">
        <f aca="false">IF(NOT(Tasks[[#This Row],[_IsLeaf]]=1),"",IF(N(Tasks[[#This Row],[_Days]])&lt;=0,Tasks[[#This Row],[_LeafLateFinish]],WORKDAY.INTL(Tasks[[#This Row],[_LeafLateFinish]],-(Tasks[[#This Row],[_Days]]-1),WorkWeek,Holidays)))</f>
        <v/>
      </c>
      <c r="FD2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4" s="90" t="b">
        <f aca="false">AND(Tasks[[#This Row],[_IsLeaf]]=1,Tasks[[#This Row],[_LeafProgress]]&lt;1,N(Tasks[[#This Row],[_LeafTotalSlack]])&lt;=CriticalSlackDays)</f>
        <v>0</v>
      </c>
      <c r="FF24" s="43" t="n">
        <f aca="false">IF(AND(Tasks[[#This Row],[_IsLeaf]]=1,Tasks[[#This Row],[_ConstraintCode]]=1,Tasks[[#This Row],[Mode]]&lt;&gt;"Manual",N(Tasks[[#This Row],[Actual Start]])=0),MAX(0,N(Tasks[[#This Row],[Free Slack]])),0)</f>
        <v>0</v>
      </c>
      <c r="FG24" s="91" t="str">
        <f aca="false">IF(NOT(Tasks[[#This Row],[_IsLeaf]]=1),"",IF(Tasks[[#This Row],[_AlapShift]]=0,Tasks[[#This Row],[_LeafCalcStart]],WORKDAY.INTL(Tasks[[#This Row],[_LeafCalcStart]],Tasks[[#This Row],[_AlapShift]],WorkWeek,Holidays)))</f>
        <v/>
      </c>
      <c r="FH24" s="91" t="str">
        <f aca="false">IF(NOT(Tasks[[#This Row],[_IsLeaf]]=1),"",IF(Tasks[[#This Row],[_AlapShift]]=0,Tasks[[#This Row],[_LeafCalcFinish]],WORKDAY.INTL(Tasks[[#This Row],[_LeafCalcFinish]],Tasks[[#This Row],[_AlapShift]],WorkWeek,Holidays)))</f>
        <v/>
      </c>
      <c r="FI24" s="91" t="str">
        <f aca="false">IF(NOT(Tasks[[#This Row],[_IsLeaf]]=1),"",IF(Tasks[[#This Row],[_AlapShift]]=0,Tasks[[#This Row],[_LeafFcstStart]],WORKDAY.INTL(Tasks[[#This Row],[_LeafFcstStart]],Tasks[[#This Row],[_AlapShift]],WorkWeek,Holidays)))</f>
        <v/>
      </c>
      <c r="FJ24" s="91" t="str">
        <f aca="false">IF(NOT(Tasks[[#This Row],[_IsLeaf]]=1),"",IF(Tasks[[#This Row],[_AlapShift]]=0,Tasks[[#This Row],[_LeafFcstFinish]],WORKDAY.INTL(Tasks[[#This Row],[_LeafFcstFinish]],Tasks[[#This Row],[_AlapShift]],WorkWeek,Holidays)))</f>
        <v/>
      </c>
      <c r="FK24" s="91" t="str">
        <f aca="false">IF(Tasks[[#This Row],[Task Name]]="","",IF(Tasks[[#This Row],[_IsSummary]],MIN(INDEX(Tasks[_ShownCalcStart],Tasks[[#This Row],[_Row]]+1):INDEX(Tasks[_ShownCalcStart],Tasks[[#This Row],[_Row]]+Tasks[[#This Row],[_Descendants]])),Tasks[[#This Row],[_ShownCalcStart]]))</f>
        <v/>
      </c>
      <c r="FL24" s="91" t="str">
        <f aca="false">IF(Tasks[[#This Row],[Task Name]]="","",IF(Tasks[[#This Row],[_IsSummary]],MAX(INDEX(Tasks[_ShownCalcFinish],Tasks[[#This Row],[_Row]]+1):INDEX(Tasks[_ShownCalcFinish],Tasks[[#This Row],[_Row]]+Tasks[[#This Row],[_Descendants]])),Tasks[[#This Row],[_ShownCalcFinish]]))</f>
        <v/>
      </c>
      <c r="FM2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4" s="43" t="n">
        <f aca="false">IF(AND(Tasks[[#This Row],[_IsLeaf]]=1,Tasks[[#This Row],[_LeafTotalWork]]&gt;0),NETWORKDAYS.INTL(ProjectStart,Tasks[[#This Row],[_ShownFcstStart]],WorkWeek,Holidays),0)</f>
        <v>0</v>
      </c>
      <c r="FZ24" s="43" t="n">
        <f aca="false">IF(AND(Tasks[[#This Row],[_IsLeaf]]=1,Tasks[[#This Row],[_LeafTotalWork]]&gt;0),MAX(Tasks[[#This Row],[_StartWorkday]],NETWORKDAYS.INTL(ProjectStart,Tasks[[#This Row],[_ShownFcstFinish]],WorkWeek,Holidays)),0)</f>
        <v>0</v>
      </c>
      <c r="GA24" s="43" t="n">
        <f aca="false">IF(AND(Tasks[[#This Row],[_IsLeaf]]=1,Tasks[[#This Row],[_LeafTotalWork]]&gt;0),Tasks[[#This Row],[_LeafWork]]/(Tasks[[#This Row],[_FinishWorkday]]-Tasks[[#This Row],[_StartWorkday]]+1),0)</f>
        <v>0</v>
      </c>
      <c r="GB24" s="43" t="n">
        <f aca="false">Tasks[[#This Row],[_WorkPerWorkday]]*(Tasks[[#This Row],[_StartWorkday]]-1)</f>
        <v>-0</v>
      </c>
      <c r="GC24" s="43" t="n">
        <f aca="false">IF(Tasks[[#This Row],[_IsLeaf]]=1,MAX(N(Tasks[[#This Row],[_Days]]),0.1),0)</f>
        <v>0</v>
      </c>
      <c r="GD24" s="43" t="n">
        <f aca="false">Tasks[[#This Row],[_WeightDur]]*Tasks[[#This Row],[_LeafProgress]]</f>
        <v>0</v>
      </c>
      <c r="GE24" s="43" t="n">
        <f aca="false">Tasks[[#This Row],[_WeightDur]]*Tasks[[#This Row],[_PlannedPct]]</f>
        <v>0</v>
      </c>
      <c r="GF2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4" s="43" t="str">
        <f aca="false">IF(AND(Tasks[[#This Row],[_IsLeaf]]=1,N(Tasks[[#This Row],[_Days]])=0,Tasks[[#This Row],[_LeafProgress]]&lt;1),Tasks[[#This Row],[_ShownFcstFinish]]+Tasks[[#This Row],[_Row]]/100000,"")</f>
        <v/>
      </c>
      <c r="GH2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4" s="43" t="str">
        <f aca="false">IF(Tasks[[#This Row],[Task Name]]="","",LEFT(Tasks[[#This Row],[WBS]],FIND(".",Tasks[[#This Row],[WBS]]&amp;".")-1))</f>
        <v/>
      </c>
      <c r="GJ24" s="43" t="str">
        <f aca="false">IF(AND(Tasks[[#This Row],[Task Name]]&lt;&gt;"",Tasks[[#This Row],[_Level]]=1),Tasks[[#This Row],[_Row]],"")</f>
        <v/>
      </c>
      <c r="GK24" s="43" t="str">
        <f aca="false">IF(AND(Tasks[[#This Row],[_IsLeaf]]=1,N(Tasks[[#This Row],[_Days]])=0),Tasks[[#This Row],[Planned Finish]]+Tasks[[#This Row],[_Row]]/100000,"")</f>
        <v/>
      </c>
      <c r="GL24" s="43" t="str">
        <f aca="false">IF(AND(Tasks[[#This Row],[_IsLeaf]]=1,Tasks[[#This Row],[_LeafProgress]]&lt;1,OR(N(Tasks[[#This Row],[Finish Var]])&gt;0,Tasks[[#This Row],[Status]]="Late Start")),MAX(0,Tasks[[#This Row],[Finish Var]])+1-Tasks[[#This Row],[_Row]]/1000000,"")</f>
        <v/>
      </c>
      <c r="GM24" s="43" t="str">
        <f aca="false">IF(AND(Tasks[[#This Row],[_IsLeaf]]=1,N(Tasks[[#This Row],[Actual Start]])=0,Tasks[[#This Row],[_ShownFcstStart]]&gt;=StatusDate,Tasks[[#This Row],[_ShownFcstStart]]&lt;=LookaheadEnd),Tasks[[#This Row],[_ShownFcstStart]]+Tasks[[#This Row],[_Row]]/100000,"")</f>
        <v/>
      </c>
      <c r="GN24" s="43" t="str">
        <f aca="false">IF(AND(Tasks[[#This Row],[_IsLeaf]]=1,Tasks[[#This Row],[_LeafProgress]]&lt;1,Tasks[[#This Row],[_ShownFcstFinish]]&gt;=StatusDate,Tasks[[#This Row],[_ShownFcstFinish]]&lt;=LookaheadEnd),Tasks[[#This Row],[_ShownFcstFinish]]+Tasks[[#This Row],[_Row]]/100000,"")</f>
        <v/>
      </c>
      <c r="GO24" s="43" t="str">
        <f aca="false">IF(Tasks[[#This Row],[_LeafCritical]],Tasks[[#This Row],[_ShownFcstStart]]+Tasks[[#This Row],[_Row]]/100000,"")</f>
        <v/>
      </c>
      <c r="GP24" s="43" t="n">
        <f aca="false">Tasks[[#This Row],[_LeafWork]]*Tasks[[#This Row],[_LeafProgress]]</f>
        <v>0</v>
      </c>
      <c r="GQ24" s="91" t="str">
        <f aca="false">IF(AND(Tasks[[#This Row],[_IsLeaf]]=1,Tasks[[#This Row],[_LeafProgress]]&gt;=1),IF(N(Tasks[[#This Row],[Actual Finish]])&gt;0,Tasks[[#This Row],[Actual Finish]],Tasks[[#This Row],[_ShownFcstFinish]]),"")</f>
        <v/>
      </c>
      <c r="GR24" s="43" t="n">
        <f aca="false">IF(Tasks[[#This Row],[_IsLeaf]]=1,N(Tasks[[#This Row],[Story Points]]),0)</f>
        <v>0</v>
      </c>
      <c r="GS24" s="43" t="str">
        <f aca="false">""</f>
        <v/>
      </c>
      <c r="GT24" s="90" t="b">
        <f aca="false">IF(Tasks[[#This Row],[Task Name]]="",FALSE(),AND(Tasks[[#This Row],[_IsLeaf]]=1,N(Tasks[[#This Row],[_Days]])=0))</f>
        <v>0</v>
      </c>
      <c r="GU24" s="91" t="n">
        <f aca="false">IF(Tasks[[#This Row],[Task Name]]="",0,IF(AND(Tasks[[#This Row],[_IsLeaf]]=1,NOT(Tasks[[#This Row],[_IsMilestone]]),N(Tasks[[#This Row],[Progress]])&gt;0),Tasks[[#This Row],[Start]],0))</f>
        <v>0</v>
      </c>
      <c r="GV24" s="91" t="n">
        <f aca="false">IF(Tasks[[#This Row],[_DoneFrom]]=0,0,IF(Tasks[[#This Row],[Progress]]&gt;=1,Tasks[[#This Row],[Finish]],MAX(Tasks[[#This Row],[_DoneFrom]],Tasks[[#This Row],[Start]]+ROUND((Tasks[[#This Row],[Finish]]-Tasks[[#This Row],[Start]]+1)*Tasks[[#This Row],[Progress]],0)-1)))</f>
        <v>0</v>
      </c>
      <c r="GW24" s="91" t="n">
        <f aca="false">IF(Tasks[[#This Row],[Task Name]]="",0,IF(OR(NOT(Tasks[[#This Row],[_IsLeaf]]=1),Tasks[[#This Row],[_IsMilestone]],N(Tasks[[#This Row],[Progress]])&gt;=1),0,IF(Tasks[[#This Row],[_DoneTo]]&gt;0,Tasks[[#This Row],[_DoneTo]]+1,Tasks[[#This Row],[Start]])))</f>
        <v>0</v>
      </c>
      <c r="GX24" s="91" t="n">
        <f aca="false">IF(Tasks[[#This Row],[_RemFrom]]=0,0,Tasks[[#This Row],[Finish]])</f>
        <v>0</v>
      </c>
      <c r="GY24" s="90" t="b">
        <f aca="false">IF(Tasks[[#This Row],[Task Name]]="",FALSE(),OR(NOT(BaselineSet),N(Tasks[[#This Row],[Baseline Start]])&gt;0))</f>
        <v>0</v>
      </c>
      <c r="GZ2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4" s="92" t="str">
        <f aca="false">IF(Tasks[[#This Row],[_IsLeaf]]=1,Tasks[[#This Row],[_Row]],"")</f>
        <v/>
      </c>
      <c r="HD24" s="92" t="str">
        <f aca="false">IFERROR(INDEX(Tasks[UID],SMALL(Tasks[_PickKey],Tasks[[#This Row],[_Row]]))&amp;" "&amp;INDEX(Tasks[Task Name],SMALL(Tasks[_PickKey],Tasks[[#This Row],[_Row]])),"")</f>
        <v/>
      </c>
      <c r="HE24" s="43" t="str">
        <f aca="false">IF(Tasks[[#This Row],[Task Name]]="","",IF(Tasks[[#This Row],[_IsSummary]],NETWORKDAYS.INTL(Tasks[[#This Row],[Start]],Tasks[[#This Row],[Finish]],WorkWeek,Holidays),N(Tasks[[#This Row],[_Days]])))</f>
        <v/>
      </c>
      <c r="HF24" s="43" t="n">
        <f aca="false">IF(Tasks[[#This Row],[Expected]]="",0,((Tasks[[#This Row],[Pessimistic]]-Tasks[[#This Row],[Optimistic]])/6)^2)</f>
        <v>0</v>
      </c>
      <c r="HG24" s="43" t="n">
        <f aca="false">IF(Tasks[[#This Row],[Expected]]="",0,Tasks[[#This Row],[Expected]]-N(Tasks[[#This Row],[_Days]]))</f>
        <v>0</v>
      </c>
    </row>
    <row r="25" customFormat="false" ht="15" hidden="false" customHeight="false" outlineLevel="0" collapsed="false">
      <c r="A25" s="21" t="str">
        <f aca="false">IF(Tasks[[#This Row],[Task Name]]="","",COUNTA(Tasks[[#Headers],[Task Name]]:Tasks[[#This Row],[Task Name]])-1)</f>
        <v/>
      </c>
      <c r="B25" s="22" t="n">
        <v>33</v>
      </c>
      <c r="C25" s="22"/>
      <c r="D25" s="23"/>
      <c r="E25" s="22"/>
      <c r="F25" s="23"/>
      <c r="G25" s="22"/>
      <c r="H25" s="22"/>
      <c r="I25" s="23"/>
      <c r="J25" s="22"/>
      <c r="K25" s="22"/>
      <c r="L25" s="23"/>
      <c r="M25" s="22"/>
      <c r="N25" s="22"/>
      <c r="O25" s="23"/>
      <c r="P25" s="22"/>
      <c r="Q25" s="22"/>
      <c r="R25" s="23"/>
      <c r="S25" s="23"/>
      <c r="T25" s="84"/>
      <c r="U25" s="23"/>
      <c r="V25" s="84"/>
      <c r="W25" s="23"/>
      <c r="X25" s="84"/>
      <c r="Y25" s="23"/>
      <c r="Z25" s="84"/>
      <c r="AA25" s="23"/>
      <c r="AB25" s="23"/>
      <c r="AC25" s="7"/>
      <c r="AD25" s="7"/>
      <c r="AE25" s="63" t="str">
        <f aca="false">IF(Tasks[[#This Row],[Task Name]]="","",IF(Tasks[[#This Row],[_IsSummary]],MIN(INDEX(Tasks[_ShownFcstStart],Tasks[[#This Row],[_Row]]+1):INDEX(Tasks[_ShownFcstStart],Tasks[[#This Row],[_Row]]+Tasks[[#This Row],[_Descendants]])),Tasks[[#This Row],[_ShownFcstStart]]))</f>
        <v/>
      </c>
      <c r="AF25" s="63" t="str">
        <f aca="false">IF(Tasks[[#This Row],[Task Name]]="","",IF(Tasks[[#This Row],[_IsSummary]],MAX(INDEX(Tasks[_ShownFcstFinish],Tasks[[#This Row],[_Row]]+1):INDEX(Tasks[_ShownFcstFinish],Tasks[[#This Row],[_Row]]+Tasks[[#This Row],[_Descendants]])),Tasks[[#This Row],[_ShownFcstFinish]]))</f>
        <v/>
      </c>
      <c r="AG25" s="21" t="str">
        <f aca="false">""</f>
        <v/>
      </c>
      <c r="AH25" s="23"/>
      <c r="AI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5" s="7"/>
      <c r="AK25" s="22"/>
      <c r="AL25" s="23"/>
      <c r="AM25" s="7"/>
      <c r="AN25" s="47" t="str">
        <f aca="false">IF(Tasks[[#This Row],[Task Name]]="","",IF(Tasks[[#This Row],[Finish]]&gt;=Tasks[[#This Row],[Planned Finish]],NETWORKDAYS.INTL(Tasks[[#This Row],[Planned Finish]],Tasks[[#This Row],[Finish]],WorkWeek,Holidays)-1,1-NETWORKDAYS.INTL(Tasks[[#This Row],[Finish]],Tasks[[#This Row],[Planned Finish]],WorkWeek,Holidays)))</f>
        <v/>
      </c>
      <c r="AO25" s="21" t="str">
        <f aca="false">IF(Tasks[[#This Row],[Task Name]]="","",IF(Tasks[[#This Row],[Progress]]&gt;=1,"Complete",IF(OR(N(Tasks[[#This Row],[Actual Start]])&gt;0,Tasks[[#This Row],[Progress]]&gt;0),IF(Tasks[[#This Row],[Finish Var]]&gt;0,"Behind","In Progress"),IF(Tasks[[#This Row],[Planned Start]]&lt;StatusDate,"Late Start","Not Started"))))</f>
        <v/>
      </c>
      <c r="AP25" s="21" t="str">
        <f aca="false">IF(Tasks[[#This Row],[Task Name]]="","",IF(IF(Tasks[[#This Row],[_IsSummary]],COUNTIF(INDEX(Tasks[_LeafCritical],Tasks[[#This Row],[_Row]]+1):INDEX(Tasks[_LeafCritical],Tasks[[#This Row],[_Row]]+Tasks[[#This Row],[_Descendants]]),TRUE())&gt;0,Tasks[[#This Row],[_LeafCritical]]),"Yes",""))</f>
        <v/>
      </c>
      <c r="AQ25" s="63" t="str">
        <f aca="false">IF(Tasks[[#This Row],[Task Name]]="","",IF(N(Tasks[[#This Row],[Baseline Start]])&gt;0,Tasks[[#This Row],[Baseline Start]],Tasks[[#This Row],[_CalcStart]]))</f>
        <v/>
      </c>
      <c r="AR25" s="63" t="str">
        <f aca="false">IF(Tasks[[#This Row],[Task Name]]="","",IF(N(Tasks[[#This Row],[Baseline Finish]])&gt;0,Tasks[[#This Row],[Baseline Finish]],Tasks[[#This Row],[_CalcFinish]]))</f>
        <v/>
      </c>
      <c r="AS25" s="47" t="str">
        <f aca="false">IF(Tasks[[#This Row],[Task Name]]="","",IF(Tasks[[#This Row],[Start]]&gt;=Tasks[[#This Row],[Planned Start]],NETWORKDAYS.INTL(Tasks[[#This Row],[Planned Start]],Tasks[[#This Row],[Start]],WorkWeek,Holidays)-1,1-NETWORKDAYS.INTL(Tasks[[#This Row],[Start]],Tasks[[#This Row],[Planned Start]],WorkWeek,Holidays)))</f>
        <v/>
      </c>
      <c r="AT25" s="63" t="str">
        <f aca="false">IF(Tasks[[#This Row],[Task Name]]="","",IF(Tasks[[#This Row],[_IsSummary]],MIN(INDEX(Tasks[_LeafLateStart],Tasks[[#This Row],[_Row]]+1):INDEX(Tasks[_LeafLateStart],Tasks[[#This Row],[_Row]]+Tasks[[#This Row],[_Descendants]])),Tasks[[#This Row],[_LeafLateStart]]))</f>
        <v/>
      </c>
      <c r="AU25" s="63" t="str">
        <f aca="false">IF(Tasks[[#This Row],[Task Name]]="","",IF(Tasks[[#This Row],[_IsSummary]],MAX(INDEX(Tasks[_LeafLateFinish],Tasks[[#This Row],[_Row]]+1):INDEX(Tasks[_LeafLateFinish],Tasks[[#This Row],[_Row]]+Tasks[[#This Row],[_Descendants]])),Tasks[[#This Row],[_LeafLateFinish]]))</f>
        <v/>
      </c>
      <c r="AV25" s="47" t="str">
        <f aca="false">IF(Tasks[[#This Row],[Task Name]]="","",IF(Tasks[[#This Row],[_IsSummary]],MIN(INDEX(Tasks[_LeafTotalSlack],Tasks[[#This Row],[_Row]]+1):INDEX(Tasks[_LeafTotalSlack],Tasks[[#This Row],[_Row]]+Tasks[[#This Row],[_Descendants]])),Tasks[[#This Row],[_LeafTotalSlack]]))</f>
        <v/>
      </c>
      <c r="AW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5"/>
      <c r="BA2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1" t="str">
        <f aca="false">IF(Tasks[[#This Row],[Task Name]]="","",IF(Tasks[[#This Row],[_Level]]&lt;=OutlineShowLevel,"Yes","No"))</f>
        <v/>
      </c>
      <c r="BE25" s="86" t="str">
        <f aca="false">IF(Tasks[[#This Row],[Task Name]]="","",IF(Tasks[[#This Row],[_IsSummary]],SUM(INDEX(Tasks[_LeafTotalWork],Tasks[[#This Row],[_Row]]+1):INDEX(Tasks[_LeafTotalWork],Tasks[[#This Row],[_Row]]+Tasks[[#This Row],[_Descendants]])),Tasks[[#This Row],[_LeafTotalWork]]))</f>
        <v/>
      </c>
      <c r="BF25" s="23"/>
      <c r="BG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5" s="21" t="str">
        <f aca="false">""</f>
        <v/>
      </c>
      <c r="BI25" s="87"/>
      <c r="BJ25" s="22"/>
      <c r="BK25" s="47" t="str">
        <f aca="false">IF(OR(Tasks[[#This Row],[Task Name]]="",Tasks[[#This Row],[Baseline Duration]]=""),"",Tasks[[#This Row],[_SpanDays]]-N(Tasks[[#This Row],[Baseline Duration]]))</f>
        <v/>
      </c>
      <c r="BL25" s="86" t="str">
        <f aca="false">IF(OR(Tasks[[#This Row],[Task Name]]="",Tasks[[#This Row],[Baseline Work]]=""),"",Tasks[[#This Row],[Work]]-N(Tasks[[#This Row],[Baseline Work]]))</f>
        <v/>
      </c>
      <c r="BM25" s="63" t="str">
        <f aca="false">IF(Tasks[[#This Row],[Task Name]]="","",IF(OR(TakeBaseline="Yes",N(Tasks[[#This Row],[Baseline Start]])=0),Tasks[[#This Row],[Start]],Tasks[[#This Row],[Baseline Start]]))</f>
        <v/>
      </c>
      <c r="BN25" s="63" t="str">
        <f aca="false">IF(Tasks[[#This Row],[Task Name]]="","",IF(OR(TakeBaseline="Yes",N(Tasks[[#This Row],[Baseline Finish]])=0),Tasks[[#This Row],[Finish]],Tasks[[#This Row],[Baseline Finish]]))</f>
        <v/>
      </c>
      <c r="BO25" s="21" t="str">
        <f aca="false">IF(Tasks[[#This Row],[Task Name]]="","",IF(OR(TakeBaseline="Yes",N(Tasks[[#This Row],[Baseline Duration]])=0),Tasks[[#This Row],[_SpanDays]],Tasks[[#This Row],[Baseline Duration]]))</f>
        <v/>
      </c>
      <c r="BP25" s="86" t="str">
        <f aca="false">IF(Tasks[[#This Row],[Task Name]]="","",IF(OR(TakeBaseline="Yes",N(Tasks[[#This Row],[Baseline Work]])=0),Tasks[[#This Row],[Work]],Tasks[[#This Row],[Baseline Work]]))</f>
        <v/>
      </c>
      <c r="BQ25" s="7"/>
      <c r="BR25" s="7"/>
      <c r="BS25" s="22"/>
      <c r="BT25" s="88"/>
      <c r="BU25" s="23"/>
      <c r="BV25" s="23"/>
      <c r="BW25" s="23"/>
      <c r="BX25" s="89" t="str">
        <f aca="false">IF(AND(Tasks[[#This Row],[_IsLeaf]]=1,ISNUMBER(Tasks[[#This Row],[Optimistic]]),ISNUMBER(Tasks[[#This Row],[Pessimistic]])),ROUND((Tasks[[#This Row],[Optimistic]]+4*N(Tasks[[#This Row],[_Days]])+Tasks[[#This Row],[Pessimistic]])/6,1),"")</f>
        <v/>
      </c>
      <c r="BY25" s="87"/>
      <c r="BZ25" s="87"/>
      <c r="CA25" s="22"/>
      <c r="CB25" s="43" t="str">
        <f aca="false">IF(Tasks[[#This Row],[Task Name]]="","",MAX(1,N(Tasks[[#This Row],[Level]])))</f>
        <v/>
      </c>
      <c r="CC25" s="43" t="n">
        <f aca="false">ROW()-ROW(Tasks[[#Headers],[ID]])</f>
        <v>20</v>
      </c>
      <c r="CD25" s="43" t="n">
        <f aca="false">IF(OR(Tasks[[#This Row],[Task Name]]="",Tasks[[#This Row],[_Level]]&lt;=1),0,IFERROR(LOOKUP(2,1/(Tasks[[#Headers],[_Level]]:Tasks[[#This Row],[_Level]]=Tasks[[#This Row],[_Level]]-1),ROW(Tasks[[#Headers],[_Level]]:Tasks[[#This Row],[_Level]])),0))</f>
        <v>0</v>
      </c>
      <c r="CE25" s="43" t="n">
        <f aca="false">IFERROR(N(INDEX(Tasks[_Level],Tasks[[#This Row],[_Row]]+1)),0)</f>
        <v>0</v>
      </c>
      <c r="CF25" s="90" t="b">
        <f aca="false">AND(Tasks[[#This Row],[Task Name]]&lt;&gt;"",Tasks[[#This Row],[_NextLevel]]&gt;Tasks[[#This Row],[_Level]])</f>
        <v>0</v>
      </c>
      <c r="CG25" s="43" t="n">
        <f aca="false">IF(Tasks[[#This Row],[_IsSummary]],COUNTIF(Tasks[WBS],Tasks[[#This Row],[WBS]]&amp;".*"),0)</f>
        <v>0</v>
      </c>
      <c r="CH25" s="43" t="n">
        <f aca="false">IF(AND(Tasks[[#This Row],[Task Name]]&lt;&gt;"",NOT(Tasks[[#This Row],[_IsSummary]])),1,0)</f>
        <v>0</v>
      </c>
      <c r="CI25" s="43" t="n">
        <f aca="false">IF(N(Tasks[[#This Row],[_Pred1UID]])=0,0,IFERROR(MATCH(Tasks[[#This Row],[_Pred1UID]],Tasks[UID],0),-1))</f>
        <v>0</v>
      </c>
      <c r="CJ25" s="43" t="n">
        <f aca="false">IF(N(Tasks[[#This Row],[_Pred2UID]])=0,0,IFERROR(MATCH(Tasks[[#This Row],[_Pred2UID]],Tasks[UID],0),-1))</f>
        <v>0</v>
      </c>
      <c r="CK25" s="43" t="n">
        <f aca="false">IF(N(Tasks[[#This Row],[_Pred3UID]])=0,0,IFERROR(MATCH(Tasks[[#This Row],[_Pred3UID]],Tasks[UID],0),-1))</f>
        <v>0</v>
      </c>
      <c r="CL25" s="43" t="n">
        <f aca="false">IF(N(Tasks[[#This Row],[_Pred4UID]])=0,0,IFERROR(MATCH(Tasks[[#This Row],[_Pred4UID]],Tasks[UID],0),-1))</f>
        <v>0</v>
      </c>
      <c r="CM2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5" s="91" t="n">
        <f aca="false">IF(OR(Tasks[[#This Row],[_ConstraintCode]]=2,Tasks[[#This Row],[_ConstraintCode]]=3,Tasks[[#This Row],[_ConstraintCode]]=4,Tasks[[#This Row],[_ConstraintCode]]=6),Tasks[[#This Row],[_ConstraintStart]],0)</f>
        <v>0</v>
      </c>
      <c r="CP25" s="91" t="n">
        <f aca="false">IF(OR(Tasks[[#This Row],[_ConstraintCode]]=2,Tasks[[#This Row],[_ConstraintCode]]=3,Tasks[[#This Row],[_ConstraintCode]]=5,Tasks[[#This Row],[_ConstraintCode]]=7),Tasks[[#This Row],[_ConstraintStart]],2958465)</f>
        <v>2958465</v>
      </c>
      <c r="CQ2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5" s="91" t="str">
        <f aca="false">IF(NOT(Tasks[[#This Row],[_IsLeaf]]=1),"",IF(N(Tasks[[#This Row],[_Days]])&lt;=0,Tasks[[#This Row],[_LeafCalcStart]],WORKDAY.INTL(Tasks[[#This Row],[_LeafCalcStart]],Tasks[[#This Row],[_Days]]-1,WorkWeek,Holidays)))</f>
        <v/>
      </c>
      <c r="CS2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5" s="43" t="str">
        <f aca="false">IF(Tasks[[#This Row],[_Predecessors]]="","",TRIM(MID(SUBSTITUTE(SUBSTITUTE(SUBSTITUTE(UPPER(Tasks[[#This Row],[_Predecessors]]),";",",")," ",""),",",REPT(" ",99)),1,99)))</f>
        <v/>
      </c>
      <c r="CV25" s="43" t="str">
        <f aca="false">IF(Tasks[[#This Row],[_Pred1Text]]="","",IFERROR(VALUE(LEFT(Tasks[[#This Row],[_Pred1Text]],MIN(FIND("F",Tasks[[#This Row],[_Pred1Text]]&amp;"F"),FIND("S",Tasks[[#This Row],[_Pred1Text]]&amp;"S"),FIND("+",Tasks[[#This Row],[_Pred1Text]]&amp;"+"),FIND("-",Tasks[[#This Row],[_Pred1Text]]&amp;"-"))-1)),""))</f>
        <v/>
      </c>
      <c r="CW2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5" s="43" t="str">
        <f aca="false">IF(Tasks[[#This Row],[_Pred1Text]]="","",TRIM(MID(SUBSTITUTE(SUBSTITUTE(SUBSTITUTE(UPPER(Tasks[[#This Row],[_Predecessors]]),";",",")," ",""),",",REPT(" ",99)),100,99)))</f>
        <v/>
      </c>
      <c r="CZ25" s="43" t="str">
        <f aca="false">IF(Tasks[[#This Row],[_Pred2Text]]="","",IFERROR(VALUE(LEFT(Tasks[[#This Row],[_Pred2Text]],MIN(FIND("F",Tasks[[#This Row],[_Pred2Text]]&amp;"F"),FIND("S",Tasks[[#This Row],[_Pred2Text]]&amp;"S"),FIND("+",Tasks[[#This Row],[_Pred2Text]]&amp;"+"),FIND("-",Tasks[[#This Row],[_Pred2Text]]&amp;"-"))-1)),""))</f>
        <v/>
      </c>
      <c r="DA2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5" s="43" t="str">
        <f aca="false">IF(Tasks[[#This Row],[_Pred2Text]]="","",TRIM(MID(SUBSTITUTE(SUBSTITUTE(SUBSTITUTE(UPPER(Tasks[[#This Row],[_Predecessors]]),";",",")," ",""),",",REPT(" ",99)),199,99)))</f>
        <v/>
      </c>
      <c r="DD25" s="43" t="str">
        <f aca="false">IF(Tasks[[#This Row],[_Pred3Text]]="","",IFERROR(VALUE(LEFT(Tasks[[#This Row],[_Pred3Text]],MIN(FIND("F",Tasks[[#This Row],[_Pred3Text]]&amp;"F"),FIND("S",Tasks[[#This Row],[_Pred3Text]]&amp;"S"),FIND("+",Tasks[[#This Row],[_Pred3Text]]&amp;"+"),FIND("-",Tasks[[#This Row],[_Pred3Text]]&amp;"-"))-1)),""))</f>
        <v/>
      </c>
      <c r="DE2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5" s="43" t="str">
        <f aca="false">IF(Tasks[[#This Row],[_Pred3Text]]="","",TRIM(MID(SUBSTITUTE(SUBSTITUTE(SUBSTITUTE(UPPER(Tasks[[#This Row],[_Predecessors]]),";",",")," ",""),",",REPT(" ",99)),298,99)))</f>
        <v/>
      </c>
      <c r="DH25" s="43" t="str">
        <f aca="false">IF(Tasks[[#This Row],[_Pred4Text]]="","",IFERROR(VALUE(LEFT(Tasks[[#This Row],[_Pred4Text]],MIN(FIND("F",Tasks[[#This Row],[_Pred4Text]]&amp;"F"),FIND("S",Tasks[[#This Row],[_Pred4Text]]&amp;"S"),FIND("+",Tasks[[#This Row],[_Pred4Text]]&amp;"+"),FIND("-",Tasks[[#This Row],[_Pred4Text]]&amp;"-"))-1)),""))</f>
        <v/>
      </c>
      <c r="DI2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5" s="43" t="str">
        <f aca="false">IF(OR(Tasks[[#This Row],[Task Name]]="",Tasks[[#This Row],[_Resources]]=""),"",TRIM(MID(SUBSTITUTE(Tasks[[#This Row],[_Resources]],",",REPT(" ",99)),1,99)))</f>
        <v/>
      </c>
      <c r="DL25" s="43" t="str">
        <f aca="false">IF(Tasks[[#This Row],[_Res1Text]]="","",TRIM(MID(SUBSTITUTE(Tasks[[#This Row],[_Resources]],",",REPT(" ",99)),100,99)))</f>
        <v/>
      </c>
      <c r="DM25" s="43" t="str">
        <f aca="false">IF(Tasks[[#This Row],[_Res2Text]]="","",TRIM(MID(SUBSTITUTE(Tasks[[#This Row],[_Resources]],",",REPT(" ",99)),199,99)))</f>
        <v/>
      </c>
      <c r="DN25" s="43" t="str">
        <f aca="false">IF(Tasks[[#This Row],[_Res3Text]]="","",TRIM(MID(SUBSTITUTE(Tasks[[#This Row],[_Resources]],",",REPT(" ",99)),298,99)))</f>
        <v/>
      </c>
      <c r="DO25" s="43" t="n">
        <f aca="false">IF(Tasks[[#This Row],[_Res1Text]]="",0,IFERROR(MATCH(TRIM(LEFT(Tasks[[#This Row],[_Res1Text]],FIND("[",Tasks[[#This Row],[_Res1Text]]&amp;"[")-1)),res_Name,0),IFERROR(MATCH(TRIM(LEFT(Tasks[[#This Row],[_Res1Text]],FIND("[",Tasks[[#This Row],[_Res1Text]]&amp;"[")-1)),res_Initials,0),0)))</f>
        <v>0</v>
      </c>
      <c r="DP25" s="43" t="n">
        <f aca="false">IF(Tasks[[#This Row],[_Res2Text]]="",0,IFERROR(MATCH(TRIM(LEFT(Tasks[[#This Row],[_Res2Text]],FIND("[",Tasks[[#This Row],[_Res2Text]]&amp;"[")-1)),res_Name,0),IFERROR(MATCH(TRIM(LEFT(Tasks[[#This Row],[_Res2Text]],FIND("[",Tasks[[#This Row],[_Res2Text]]&amp;"[")-1)),res_Initials,0),0)))</f>
        <v>0</v>
      </c>
      <c r="DQ25" s="43" t="n">
        <f aca="false">IF(Tasks[[#This Row],[_Res3Text]]="",0,IFERROR(MATCH(TRIM(LEFT(Tasks[[#This Row],[_Res3Text]],FIND("[",Tasks[[#This Row],[_Res3Text]]&amp;"[")-1)),res_Name,0),IFERROR(MATCH(TRIM(LEFT(Tasks[[#This Row],[_Res3Text]],FIND("[",Tasks[[#This Row],[_Res3Text]]&amp;"[")-1)),res_Initials,0),0)))</f>
        <v>0</v>
      </c>
      <c r="DR25" s="43" t="n">
        <f aca="false">IF(Tasks[[#This Row],[_Res4Text]]="",0,IFERROR(MATCH(TRIM(LEFT(Tasks[[#This Row],[_Res4Text]],FIND("[",Tasks[[#This Row],[_Res4Text]]&amp;"[")-1)),res_Name,0),IFERROR(MATCH(TRIM(LEFT(Tasks[[#This Row],[_Res4Text]],FIND("[",Tasks[[#This Row],[_Res4Text]]&amp;"[")-1)),res_Initials,0),0)))</f>
        <v>0</v>
      </c>
      <c r="DS25" s="43" t="str">
        <f aca="false">IF(Tasks[[#This Row],[_Res1Text]]="","",IF(Tasks[[#This Row],[_Res1Row]]&gt;0,INDEX(res_Name,Tasks[[#This Row],[_Res1Row]]),TRIM(LEFT(Tasks[[#This Row],[_Res1Text]],FIND("[",Tasks[[#This Row],[_Res1Text]]&amp;"[")-1))))</f>
        <v/>
      </c>
      <c r="DT2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5" s="43" t="n">
        <f aca="false">IF(NOT(Tasks[[#This Row],[_IsLeaf]]=1),0,(Tasks[[#This Row],[_Resource1]]&lt;&gt;"")+(Tasks[[#This Row],[_Res2]]&lt;&gt;"")+(Tasks[[#This Row],[_Res3]]&lt;&gt;"")+(Tasks[[#This Row],[_Res4]]&lt;&gt;""))</f>
        <v>0</v>
      </c>
      <c r="DV25" s="43" t="str">
        <f aca="false">IF(Tasks[[#This Row],[_Res2Text]]="","",IF(Tasks[[#This Row],[_Res2Row]]&gt;0,INDEX(res_Name,Tasks[[#This Row],[_Res2Row]]),TRIM(LEFT(Tasks[[#This Row],[_Res2Text]],FIND("[",Tasks[[#This Row],[_Res2Text]]&amp;"[")-1))))</f>
        <v/>
      </c>
      <c r="DW2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5" s="43" t="n">
        <f aca="false">IF(OR(NOT(Tasks[[#This Row],[_IsLeaf]]=1),Tasks[[#This Row],[_Res2Row]]=0),0,N(Tasks[[#This Row],[_Days]])*HoursPerDay*IF(Tasks[[#This Row],[_Res2Units]]="",DefaultUnits,Tasks[[#This Row],[_Res2Units]]))</f>
        <v>0</v>
      </c>
      <c r="DY25" s="43" t="n">
        <f aca="false">IF(AND(AND(Tasks[[#This Row],[_IsLeaf]]=1,Tasks[[#This Row],[_LeafTotalWork]]&gt;0),Tasks[[#This Row],[_Res2Work]]&gt;0),Tasks[[#This Row],[_Res2Work]]/(Tasks[[#This Row],[_FinishWorkday]]-Tasks[[#This Row],[_StartWorkday]]+1),0)</f>
        <v>0</v>
      </c>
      <c r="DZ25" s="43" t="n">
        <f aca="false">Tasks[[#This Row],[_Res2WorkPerWD]]*MAX(0,Tasks[[#This Row],[_StartWorkday]]-1)</f>
        <v>0</v>
      </c>
      <c r="EA25" s="43" t="n">
        <f aca="false">Tasks[[#This Row],[_Res2Work]]*Tasks[[#This Row],[_LeafProgress]]</f>
        <v>0</v>
      </c>
      <c r="EB25" s="43" t="str">
        <f aca="false">IF(Tasks[[#This Row],[_Res3Text]]="","",IF(Tasks[[#This Row],[_Res3Row]]&gt;0,INDEX(res_Name,Tasks[[#This Row],[_Res3Row]]),TRIM(LEFT(Tasks[[#This Row],[_Res3Text]],FIND("[",Tasks[[#This Row],[_Res3Text]]&amp;"[")-1))))</f>
        <v/>
      </c>
      <c r="EC2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5" s="43" t="n">
        <f aca="false">IF(OR(NOT(Tasks[[#This Row],[_IsLeaf]]=1),Tasks[[#This Row],[_Res3Row]]=0),0,N(Tasks[[#This Row],[_Days]])*HoursPerDay*IF(Tasks[[#This Row],[_Res3Units]]="",DefaultUnits,Tasks[[#This Row],[_Res3Units]]))</f>
        <v>0</v>
      </c>
      <c r="EE25" s="43" t="n">
        <f aca="false">IF(AND(AND(Tasks[[#This Row],[_IsLeaf]]=1,Tasks[[#This Row],[_LeafTotalWork]]&gt;0),Tasks[[#This Row],[_Res3Work]]&gt;0),Tasks[[#This Row],[_Res3Work]]/(Tasks[[#This Row],[_FinishWorkday]]-Tasks[[#This Row],[_StartWorkday]]+1),0)</f>
        <v>0</v>
      </c>
      <c r="EF25" s="43" t="n">
        <f aca="false">Tasks[[#This Row],[_Res3WorkPerWD]]*MAX(0,Tasks[[#This Row],[_StartWorkday]]-1)</f>
        <v>0</v>
      </c>
      <c r="EG25" s="43" t="n">
        <f aca="false">Tasks[[#This Row],[_Res3Work]]*Tasks[[#This Row],[_LeafProgress]]</f>
        <v>0</v>
      </c>
      <c r="EH25" s="43" t="str">
        <f aca="false">IF(Tasks[[#This Row],[_Res4Text]]="","",IF(Tasks[[#This Row],[_Res4Row]]&gt;0,INDEX(res_Name,Tasks[[#This Row],[_Res4Row]]),TRIM(LEFT(Tasks[[#This Row],[_Res4Text]],FIND("[",Tasks[[#This Row],[_Res4Text]]&amp;"[")-1))))</f>
        <v/>
      </c>
      <c r="EI2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5" s="43" t="n">
        <f aca="false">IF(OR(NOT(Tasks[[#This Row],[_IsLeaf]]=1),Tasks[[#This Row],[_Res4Row]]=0),0,N(Tasks[[#This Row],[_Days]])*HoursPerDay*IF(Tasks[[#This Row],[_Res4Units]]="",DefaultUnits,Tasks[[#This Row],[_Res4Units]]))</f>
        <v>0</v>
      </c>
      <c r="EK25" s="43" t="n">
        <f aca="false">IF(AND(AND(Tasks[[#This Row],[_IsLeaf]]=1,Tasks[[#This Row],[_LeafTotalWork]]&gt;0),Tasks[[#This Row],[_Res4Work]]&gt;0),Tasks[[#This Row],[_Res4Work]]/(Tasks[[#This Row],[_FinishWorkday]]-Tasks[[#This Row],[_StartWorkday]]+1),0)</f>
        <v>0</v>
      </c>
      <c r="EL25" s="43" t="n">
        <f aca="false">Tasks[[#This Row],[_Res4WorkPerWD]]*MAX(0,Tasks[[#This Row],[_StartWorkday]]-1)</f>
        <v>0</v>
      </c>
      <c r="EM25" s="43" t="n">
        <f aca="false">Tasks[[#This Row],[_Res4Work]]*Tasks[[#This Row],[_LeafProgress]]</f>
        <v>0</v>
      </c>
      <c r="EN25" s="43" t="n">
        <f aca="false">IF(ISNUMBER(Tasks[[#This Row],[% Complete]]),Tasks[[#This Row],[% Complete]],IF(Tasks[[#This Row],[Stage]]="",0,IFERROR(INDEX(stg_Pct,MATCH(Tasks[[#This Row],[Stage]],stg_Name,0)),0)))</f>
        <v>0</v>
      </c>
      <c r="EO25" s="43" t="n">
        <f aca="false">IF(NOT(Tasks[[#This Row],[_IsLeaf]]=1),0,IF(N(Tasks[[#This Row],[Actual Finish]])&gt;0,1,MIN(1,Tasks[[#This Row],[_Pct]])))</f>
        <v>0</v>
      </c>
      <c r="EP25" s="43" t="n">
        <f aca="false">IF(OR(NOT(Tasks[[#This Row],[_IsLeaf]]=1),Tasks[[#This Row],[_Res1Row]]=0),0,N(Tasks[[#This Row],[_Days]])*HoursPerDay*IF(Tasks[[#This Row],[_Units1]]="",DefaultUnits,Tasks[[#This Row],[_Units1]]))</f>
        <v>0</v>
      </c>
      <c r="EQ25" s="43" t="n">
        <f aca="false">Tasks[[#This Row],[_LeafWork]]+Tasks[[#This Row],[_Res2Work]]+Tasks[[#This Row],[_Res3Work]]+Tasks[[#This Row],[_Res4Work]]</f>
        <v>0</v>
      </c>
      <c r="ER2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5" s="43" t="n">
        <f aca="false">IF(NOT(Tasks[[#This Row],[_IsLeaf]]=1),0,MAX(_xlfn.MAXIFS(Tasks[_Row],Tasks[_Pred1UID],Tasks[[#This Row],[UID]]),_xlfn.MAXIFS(Tasks[_Row],Tasks[_Pred2UID],Tasks[[#This Row],[UID]]),_xlfn.MAXIFS(Tasks[_Row],Tasks[_Pred3UID],Tasks[[#This Row],[UID]]),_xlfn.MAXIFS(Tasks[_Row],Tasks[_Pred4UID],Tasks[[#This Row],[UID]])))</f>
        <v>0</v>
      </c>
      <c r="FA2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5" s="91" t="str">
        <f aca="false">IF(NOT(Tasks[[#This Row],[_IsLeaf]]=1),"",IF(N(Tasks[[#This Row],[_Days]])&lt;=0,Tasks[[#This Row],[_LeafLateFinish]],WORKDAY.INTL(Tasks[[#This Row],[_LeafLateFinish]],-(Tasks[[#This Row],[_Days]]-1),WorkWeek,Holidays)))</f>
        <v/>
      </c>
      <c r="FD2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5" s="90" t="b">
        <f aca="false">AND(Tasks[[#This Row],[_IsLeaf]]=1,Tasks[[#This Row],[_LeafProgress]]&lt;1,N(Tasks[[#This Row],[_LeafTotalSlack]])&lt;=CriticalSlackDays)</f>
        <v>0</v>
      </c>
      <c r="FF25" s="43" t="n">
        <f aca="false">IF(AND(Tasks[[#This Row],[_IsLeaf]]=1,Tasks[[#This Row],[_ConstraintCode]]=1,Tasks[[#This Row],[Mode]]&lt;&gt;"Manual",N(Tasks[[#This Row],[Actual Start]])=0),MAX(0,N(Tasks[[#This Row],[Free Slack]])),0)</f>
        <v>0</v>
      </c>
      <c r="FG25" s="91" t="str">
        <f aca="false">IF(NOT(Tasks[[#This Row],[_IsLeaf]]=1),"",IF(Tasks[[#This Row],[_AlapShift]]=0,Tasks[[#This Row],[_LeafCalcStart]],WORKDAY.INTL(Tasks[[#This Row],[_LeafCalcStart]],Tasks[[#This Row],[_AlapShift]],WorkWeek,Holidays)))</f>
        <v/>
      </c>
      <c r="FH25" s="91" t="str">
        <f aca="false">IF(NOT(Tasks[[#This Row],[_IsLeaf]]=1),"",IF(Tasks[[#This Row],[_AlapShift]]=0,Tasks[[#This Row],[_LeafCalcFinish]],WORKDAY.INTL(Tasks[[#This Row],[_LeafCalcFinish]],Tasks[[#This Row],[_AlapShift]],WorkWeek,Holidays)))</f>
        <v/>
      </c>
      <c r="FI25" s="91" t="str">
        <f aca="false">IF(NOT(Tasks[[#This Row],[_IsLeaf]]=1),"",IF(Tasks[[#This Row],[_AlapShift]]=0,Tasks[[#This Row],[_LeafFcstStart]],WORKDAY.INTL(Tasks[[#This Row],[_LeafFcstStart]],Tasks[[#This Row],[_AlapShift]],WorkWeek,Holidays)))</f>
        <v/>
      </c>
      <c r="FJ25" s="91" t="str">
        <f aca="false">IF(NOT(Tasks[[#This Row],[_IsLeaf]]=1),"",IF(Tasks[[#This Row],[_AlapShift]]=0,Tasks[[#This Row],[_LeafFcstFinish]],WORKDAY.INTL(Tasks[[#This Row],[_LeafFcstFinish]],Tasks[[#This Row],[_AlapShift]],WorkWeek,Holidays)))</f>
        <v/>
      </c>
      <c r="FK25" s="91" t="str">
        <f aca="false">IF(Tasks[[#This Row],[Task Name]]="","",IF(Tasks[[#This Row],[_IsSummary]],MIN(INDEX(Tasks[_ShownCalcStart],Tasks[[#This Row],[_Row]]+1):INDEX(Tasks[_ShownCalcStart],Tasks[[#This Row],[_Row]]+Tasks[[#This Row],[_Descendants]])),Tasks[[#This Row],[_ShownCalcStart]]))</f>
        <v/>
      </c>
      <c r="FL25" s="91" t="str">
        <f aca="false">IF(Tasks[[#This Row],[Task Name]]="","",IF(Tasks[[#This Row],[_IsSummary]],MAX(INDEX(Tasks[_ShownCalcFinish],Tasks[[#This Row],[_Row]]+1):INDEX(Tasks[_ShownCalcFinish],Tasks[[#This Row],[_Row]]+Tasks[[#This Row],[_Descendants]])),Tasks[[#This Row],[_ShownCalcFinish]]))</f>
        <v/>
      </c>
      <c r="FM2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5" s="43" t="n">
        <f aca="false">IF(AND(Tasks[[#This Row],[_IsLeaf]]=1,Tasks[[#This Row],[_LeafTotalWork]]&gt;0),NETWORKDAYS.INTL(ProjectStart,Tasks[[#This Row],[_ShownFcstStart]],WorkWeek,Holidays),0)</f>
        <v>0</v>
      </c>
      <c r="FZ25" s="43" t="n">
        <f aca="false">IF(AND(Tasks[[#This Row],[_IsLeaf]]=1,Tasks[[#This Row],[_LeafTotalWork]]&gt;0),MAX(Tasks[[#This Row],[_StartWorkday]],NETWORKDAYS.INTL(ProjectStart,Tasks[[#This Row],[_ShownFcstFinish]],WorkWeek,Holidays)),0)</f>
        <v>0</v>
      </c>
      <c r="GA25" s="43" t="n">
        <f aca="false">IF(AND(Tasks[[#This Row],[_IsLeaf]]=1,Tasks[[#This Row],[_LeafTotalWork]]&gt;0),Tasks[[#This Row],[_LeafWork]]/(Tasks[[#This Row],[_FinishWorkday]]-Tasks[[#This Row],[_StartWorkday]]+1),0)</f>
        <v>0</v>
      </c>
      <c r="GB25" s="43" t="n">
        <f aca="false">Tasks[[#This Row],[_WorkPerWorkday]]*(Tasks[[#This Row],[_StartWorkday]]-1)</f>
        <v>-0</v>
      </c>
      <c r="GC25" s="43" t="n">
        <f aca="false">IF(Tasks[[#This Row],[_IsLeaf]]=1,MAX(N(Tasks[[#This Row],[_Days]]),0.1),0)</f>
        <v>0</v>
      </c>
      <c r="GD25" s="43" t="n">
        <f aca="false">Tasks[[#This Row],[_WeightDur]]*Tasks[[#This Row],[_LeafProgress]]</f>
        <v>0</v>
      </c>
      <c r="GE25" s="43" t="n">
        <f aca="false">Tasks[[#This Row],[_WeightDur]]*Tasks[[#This Row],[_PlannedPct]]</f>
        <v>0</v>
      </c>
      <c r="GF2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5" s="43" t="str">
        <f aca="false">IF(AND(Tasks[[#This Row],[_IsLeaf]]=1,N(Tasks[[#This Row],[_Days]])=0,Tasks[[#This Row],[_LeafProgress]]&lt;1),Tasks[[#This Row],[_ShownFcstFinish]]+Tasks[[#This Row],[_Row]]/100000,"")</f>
        <v/>
      </c>
      <c r="GH2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5" s="43" t="str">
        <f aca="false">IF(Tasks[[#This Row],[Task Name]]="","",LEFT(Tasks[[#This Row],[WBS]],FIND(".",Tasks[[#This Row],[WBS]]&amp;".")-1))</f>
        <v/>
      </c>
      <c r="GJ25" s="43" t="str">
        <f aca="false">IF(AND(Tasks[[#This Row],[Task Name]]&lt;&gt;"",Tasks[[#This Row],[_Level]]=1),Tasks[[#This Row],[_Row]],"")</f>
        <v/>
      </c>
      <c r="GK25" s="43" t="str">
        <f aca="false">IF(AND(Tasks[[#This Row],[_IsLeaf]]=1,N(Tasks[[#This Row],[_Days]])=0),Tasks[[#This Row],[Planned Finish]]+Tasks[[#This Row],[_Row]]/100000,"")</f>
        <v/>
      </c>
      <c r="GL25" s="43" t="str">
        <f aca="false">IF(AND(Tasks[[#This Row],[_IsLeaf]]=1,Tasks[[#This Row],[_LeafProgress]]&lt;1,OR(N(Tasks[[#This Row],[Finish Var]])&gt;0,Tasks[[#This Row],[Status]]="Late Start")),MAX(0,Tasks[[#This Row],[Finish Var]])+1-Tasks[[#This Row],[_Row]]/1000000,"")</f>
        <v/>
      </c>
      <c r="GM25" s="43" t="str">
        <f aca="false">IF(AND(Tasks[[#This Row],[_IsLeaf]]=1,N(Tasks[[#This Row],[Actual Start]])=0,Tasks[[#This Row],[_ShownFcstStart]]&gt;=StatusDate,Tasks[[#This Row],[_ShownFcstStart]]&lt;=LookaheadEnd),Tasks[[#This Row],[_ShownFcstStart]]+Tasks[[#This Row],[_Row]]/100000,"")</f>
        <v/>
      </c>
      <c r="GN25" s="43" t="str">
        <f aca="false">IF(AND(Tasks[[#This Row],[_IsLeaf]]=1,Tasks[[#This Row],[_LeafProgress]]&lt;1,Tasks[[#This Row],[_ShownFcstFinish]]&gt;=StatusDate,Tasks[[#This Row],[_ShownFcstFinish]]&lt;=LookaheadEnd),Tasks[[#This Row],[_ShownFcstFinish]]+Tasks[[#This Row],[_Row]]/100000,"")</f>
        <v/>
      </c>
      <c r="GO25" s="43" t="str">
        <f aca="false">IF(Tasks[[#This Row],[_LeafCritical]],Tasks[[#This Row],[_ShownFcstStart]]+Tasks[[#This Row],[_Row]]/100000,"")</f>
        <v/>
      </c>
      <c r="GP25" s="43" t="n">
        <f aca="false">Tasks[[#This Row],[_LeafWork]]*Tasks[[#This Row],[_LeafProgress]]</f>
        <v>0</v>
      </c>
      <c r="GQ25" s="91" t="str">
        <f aca="false">IF(AND(Tasks[[#This Row],[_IsLeaf]]=1,Tasks[[#This Row],[_LeafProgress]]&gt;=1),IF(N(Tasks[[#This Row],[Actual Finish]])&gt;0,Tasks[[#This Row],[Actual Finish]],Tasks[[#This Row],[_ShownFcstFinish]]),"")</f>
        <v/>
      </c>
      <c r="GR25" s="43" t="n">
        <f aca="false">IF(Tasks[[#This Row],[_IsLeaf]]=1,N(Tasks[[#This Row],[Story Points]]),0)</f>
        <v>0</v>
      </c>
      <c r="GS25" s="43" t="str">
        <f aca="false">""</f>
        <v/>
      </c>
      <c r="GT25" s="90" t="b">
        <f aca="false">IF(Tasks[[#This Row],[Task Name]]="",FALSE(),AND(Tasks[[#This Row],[_IsLeaf]]=1,N(Tasks[[#This Row],[_Days]])=0))</f>
        <v>0</v>
      </c>
      <c r="GU25" s="91" t="n">
        <f aca="false">IF(Tasks[[#This Row],[Task Name]]="",0,IF(AND(Tasks[[#This Row],[_IsLeaf]]=1,NOT(Tasks[[#This Row],[_IsMilestone]]),N(Tasks[[#This Row],[Progress]])&gt;0),Tasks[[#This Row],[Start]],0))</f>
        <v>0</v>
      </c>
      <c r="GV25" s="91" t="n">
        <f aca="false">IF(Tasks[[#This Row],[_DoneFrom]]=0,0,IF(Tasks[[#This Row],[Progress]]&gt;=1,Tasks[[#This Row],[Finish]],MAX(Tasks[[#This Row],[_DoneFrom]],Tasks[[#This Row],[Start]]+ROUND((Tasks[[#This Row],[Finish]]-Tasks[[#This Row],[Start]]+1)*Tasks[[#This Row],[Progress]],0)-1)))</f>
        <v>0</v>
      </c>
      <c r="GW25" s="91" t="n">
        <f aca="false">IF(Tasks[[#This Row],[Task Name]]="",0,IF(OR(NOT(Tasks[[#This Row],[_IsLeaf]]=1),Tasks[[#This Row],[_IsMilestone]],N(Tasks[[#This Row],[Progress]])&gt;=1),0,IF(Tasks[[#This Row],[_DoneTo]]&gt;0,Tasks[[#This Row],[_DoneTo]]+1,Tasks[[#This Row],[Start]])))</f>
        <v>0</v>
      </c>
      <c r="GX25" s="91" t="n">
        <f aca="false">IF(Tasks[[#This Row],[_RemFrom]]=0,0,Tasks[[#This Row],[Finish]])</f>
        <v>0</v>
      </c>
      <c r="GY25" s="90" t="b">
        <f aca="false">IF(Tasks[[#This Row],[Task Name]]="",FALSE(),OR(NOT(BaselineSet),N(Tasks[[#This Row],[Baseline Start]])&gt;0))</f>
        <v>0</v>
      </c>
      <c r="GZ2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5" s="92" t="str">
        <f aca="false">IF(Tasks[[#This Row],[_IsLeaf]]=1,Tasks[[#This Row],[_Row]],"")</f>
        <v/>
      </c>
      <c r="HD25" s="92" t="str">
        <f aca="false">IFERROR(INDEX(Tasks[UID],SMALL(Tasks[_PickKey],Tasks[[#This Row],[_Row]]))&amp;" "&amp;INDEX(Tasks[Task Name],SMALL(Tasks[_PickKey],Tasks[[#This Row],[_Row]])),"")</f>
        <v/>
      </c>
      <c r="HE25" s="43" t="str">
        <f aca="false">IF(Tasks[[#This Row],[Task Name]]="","",IF(Tasks[[#This Row],[_IsSummary]],NETWORKDAYS.INTL(Tasks[[#This Row],[Start]],Tasks[[#This Row],[Finish]],WorkWeek,Holidays),N(Tasks[[#This Row],[_Days]])))</f>
        <v/>
      </c>
      <c r="HF25" s="43" t="n">
        <f aca="false">IF(Tasks[[#This Row],[Expected]]="",0,((Tasks[[#This Row],[Pessimistic]]-Tasks[[#This Row],[Optimistic]])/6)^2)</f>
        <v>0</v>
      </c>
      <c r="HG25" s="43" t="n">
        <f aca="false">IF(Tasks[[#This Row],[Expected]]="",0,Tasks[[#This Row],[Expected]]-N(Tasks[[#This Row],[_Days]]))</f>
        <v>0</v>
      </c>
    </row>
    <row r="26" customFormat="false" ht="15" hidden="false" customHeight="false" outlineLevel="0" collapsed="false">
      <c r="A26" s="21" t="str">
        <f aca="false">IF(Tasks[[#This Row],[Task Name]]="","",COUNTA(Tasks[[#Headers],[Task Name]]:Tasks[[#This Row],[Task Name]])-1)</f>
        <v/>
      </c>
      <c r="B26" s="22" t="n">
        <v>34</v>
      </c>
      <c r="C26" s="22"/>
      <c r="D26" s="23"/>
      <c r="E26" s="22"/>
      <c r="F26" s="23"/>
      <c r="G26" s="22"/>
      <c r="H26" s="22"/>
      <c r="I26" s="23"/>
      <c r="J26" s="22"/>
      <c r="K26" s="22"/>
      <c r="L26" s="23"/>
      <c r="M26" s="22"/>
      <c r="N26" s="22"/>
      <c r="O26" s="23"/>
      <c r="P26" s="22"/>
      <c r="Q26" s="22"/>
      <c r="R26" s="23"/>
      <c r="S26" s="23"/>
      <c r="T26" s="84"/>
      <c r="U26" s="23"/>
      <c r="V26" s="84"/>
      <c r="W26" s="23"/>
      <c r="X26" s="84"/>
      <c r="Y26" s="23"/>
      <c r="Z26" s="84"/>
      <c r="AA26" s="23"/>
      <c r="AB26" s="23"/>
      <c r="AC26" s="7"/>
      <c r="AD26" s="7"/>
      <c r="AE26" s="63" t="str">
        <f aca="false">IF(Tasks[[#This Row],[Task Name]]="","",IF(Tasks[[#This Row],[_IsSummary]],MIN(INDEX(Tasks[_ShownFcstStart],Tasks[[#This Row],[_Row]]+1):INDEX(Tasks[_ShownFcstStart],Tasks[[#This Row],[_Row]]+Tasks[[#This Row],[_Descendants]])),Tasks[[#This Row],[_ShownFcstStart]]))</f>
        <v/>
      </c>
      <c r="AF26" s="63" t="str">
        <f aca="false">IF(Tasks[[#This Row],[Task Name]]="","",IF(Tasks[[#This Row],[_IsSummary]],MAX(INDEX(Tasks[_ShownFcstFinish],Tasks[[#This Row],[_Row]]+1):INDEX(Tasks[_ShownFcstFinish],Tasks[[#This Row],[_Row]]+Tasks[[#This Row],[_Descendants]])),Tasks[[#This Row],[_ShownFcstFinish]]))</f>
        <v/>
      </c>
      <c r="AG26" s="21" t="str">
        <f aca="false">""</f>
        <v/>
      </c>
      <c r="AH26" s="23"/>
      <c r="AI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6" s="7"/>
      <c r="AK26" s="22"/>
      <c r="AL26" s="23"/>
      <c r="AM26" s="7"/>
      <c r="AN26" s="47" t="str">
        <f aca="false">IF(Tasks[[#This Row],[Task Name]]="","",IF(Tasks[[#This Row],[Finish]]&gt;=Tasks[[#This Row],[Planned Finish]],NETWORKDAYS.INTL(Tasks[[#This Row],[Planned Finish]],Tasks[[#This Row],[Finish]],WorkWeek,Holidays)-1,1-NETWORKDAYS.INTL(Tasks[[#This Row],[Finish]],Tasks[[#This Row],[Planned Finish]],WorkWeek,Holidays)))</f>
        <v/>
      </c>
      <c r="AO26" s="21" t="str">
        <f aca="false">IF(Tasks[[#This Row],[Task Name]]="","",IF(Tasks[[#This Row],[Progress]]&gt;=1,"Complete",IF(OR(N(Tasks[[#This Row],[Actual Start]])&gt;0,Tasks[[#This Row],[Progress]]&gt;0),IF(Tasks[[#This Row],[Finish Var]]&gt;0,"Behind","In Progress"),IF(Tasks[[#This Row],[Planned Start]]&lt;StatusDate,"Late Start","Not Started"))))</f>
        <v/>
      </c>
      <c r="AP26" s="21" t="str">
        <f aca="false">IF(Tasks[[#This Row],[Task Name]]="","",IF(IF(Tasks[[#This Row],[_IsSummary]],COUNTIF(INDEX(Tasks[_LeafCritical],Tasks[[#This Row],[_Row]]+1):INDEX(Tasks[_LeafCritical],Tasks[[#This Row],[_Row]]+Tasks[[#This Row],[_Descendants]]),TRUE())&gt;0,Tasks[[#This Row],[_LeafCritical]]),"Yes",""))</f>
        <v/>
      </c>
      <c r="AQ26" s="63" t="str">
        <f aca="false">IF(Tasks[[#This Row],[Task Name]]="","",IF(N(Tasks[[#This Row],[Baseline Start]])&gt;0,Tasks[[#This Row],[Baseline Start]],Tasks[[#This Row],[_CalcStart]]))</f>
        <v/>
      </c>
      <c r="AR26" s="63" t="str">
        <f aca="false">IF(Tasks[[#This Row],[Task Name]]="","",IF(N(Tasks[[#This Row],[Baseline Finish]])&gt;0,Tasks[[#This Row],[Baseline Finish]],Tasks[[#This Row],[_CalcFinish]]))</f>
        <v/>
      </c>
      <c r="AS26" s="47" t="str">
        <f aca="false">IF(Tasks[[#This Row],[Task Name]]="","",IF(Tasks[[#This Row],[Start]]&gt;=Tasks[[#This Row],[Planned Start]],NETWORKDAYS.INTL(Tasks[[#This Row],[Planned Start]],Tasks[[#This Row],[Start]],WorkWeek,Holidays)-1,1-NETWORKDAYS.INTL(Tasks[[#This Row],[Start]],Tasks[[#This Row],[Planned Start]],WorkWeek,Holidays)))</f>
        <v/>
      </c>
      <c r="AT26" s="63" t="str">
        <f aca="false">IF(Tasks[[#This Row],[Task Name]]="","",IF(Tasks[[#This Row],[_IsSummary]],MIN(INDEX(Tasks[_LeafLateStart],Tasks[[#This Row],[_Row]]+1):INDEX(Tasks[_LeafLateStart],Tasks[[#This Row],[_Row]]+Tasks[[#This Row],[_Descendants]])),Tasks[[#This Row],[_LeafLateStart]]))</f>
        <v/>
      </c>
      <c r="AU26" s="63" t="str">
        <f aca="false">IF(Tasks[[#This Row],[Task Name]]="","",IF(Tasks[[#This Row],[_IsSummary]],MAX(INDEX(Tasks[_LeafLateFinish],Tasks[[#This Row],[_Row]]+1):INDEX(Tasks[_LeafLateFinish],Tasks[[#This Row],[_Row]]+Tasks[[#This Row],[_Descendants]])),Tasks[[#This Row],[_LeafLateFinish]]))</f>
        <v/>
      </c>
      <c r="AV26" s="47" t="str">
        <f aca="false">IF(Tasks[[#This Row],[Task Name]]="","",IF(Tasks[[#This Row],[_IsSummary]],MIN(INDEX(Tasks[_LeafTotalSlack],Tasks[[#This Row],[_Row]]+1):INDEX(Tasks[_LeafTotalSlack],Tasks[[#This Row],[_Row]]+Tasks[[#This Row],[_Descendants]])),Tasks[[#This Row],[_LeafTotalSlack]]))</f>
        <v/>
      </c>
      <c r="AW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5"/>
      <c r="BA2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1" t="str">
        <f aca="false">IF(Tasks[[#This Row],[Task Name]]="","",IF(Tasks[[#This Row],[_Level]]&lt;=OutlineShowLevel,"Yes","No"))</f>
        <v/>
      </c>
      <c r="BE26" s="86" t="str">
        <f aca="false">IF(Tasks[[#This Row],[Task Name]]="","",IF(Tasks[[#This Row],[_IsSummary]],SUM(INDEX(Tasks[_LeafTotalWork],Tasks[[#This Row],[_Row]]+1):INDEX(Tasks[_LeafTotalWork],Tasks[[#This Row],[_Row]]+Tasks[[#This Row],[_Descendants]])),Tasks[[#This Row],[_LeafTotalWork]]))</f>
        <v/>
      </c>
      <c r="BF26" s="23"/>
      <c r="BG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6" s="21" t="str">
        <f aca="false">""</f>
        <v/>
      </c>
      <c r="BI26" s="87"/>
      <c r="BJ26" s="22"/>
      <c r="BK26" s="47" t="str">
        <f aca="false">IF(OR(Tasks[[#This Row],[Task Name]]="",Tasks[[#This Row],[Baseline Duration]]=""),"",Tasks[[#This Row],[_SpanDays]]-N(Tasks[[#This Row],[Baseline Duration]]))</f>
        <v/>
      </c>
      <c r="BL26" s="86" t="str">
        <f aca="false">IF(OR(Tasks[[#This Row],[Task Name]]="",Tasks[[#This Row],[Baseline Work]]=""),"",Tasks[[#This Row],[Work]]-N(Tasks[[#This Row],[Baseline Work]]))</f>
        <v/>
      </c>
      <c r="BM26" s="63" t="str">
        <f aca="false">IF(Tasks[[#This Row],[Task Name]]="","",IF(OR(TakeBaseline="Yes",N(Tasks[[#This Row],[Baseline Start]])=0),Tasks[[#This Row],[Start]],Tasks[[#This Row],[Baseline Start]]))</f>
        <v/>
      </c>
      <c r="BN26" s="63" t="str">
        <f aca="false">IF(Tasks[[#This Row],[Task Name]]="","",IF(OR(TakeBaseline="Yes",N(Tasks[[#This Row],[Baseline Finish]])=0),Tasks[[#This Row],[Finish]],Tasks[[#This Row],[Baseline Finish]]))</f>
        <v/>
      </c>
      <c r="BO26" s="21" t="str">
        <f aca="false">IF(Tasks[[#This Row],[Task Name]]="","",IF(OR(TakeBaseline="Yes",N(Tasks[[#This Row],[Baseline Duration]])=0),Tasks[[#This Row],[_SpanDays]],Tasks[[#This Row],[Baseline Duration]]))</f>
        <v/>
      </c>
      <c r="BP26" s="86" t="str">
        <f aca="false">IF(Tasks[[#This Row],[Task Name]]="","",IF(OR(TakeBaseline="Yes",N(Tasks[[#This Row],[Baseline Work]])=0),Tasks[[#This Row],[Work]],Tasks[[#This Row],[Baseline Work]]))</f>
        <v/>
      </c>
      <c r="BQ26" s="7"/>
      <c r="BR26" s="7"/>
      <c r="BS26" s="22"/>
      <c r="BT26" s="88"/>
      <c r="BU26" s="23"/>
      <c r="BV26" s="23"/>
      <c r="BW26" s="23"/>
      <c r="BX26" s="89" t="str">
        <f aca="false">IF(AND(Tasks[[#This Row],[_IsLeaf]]=1,ISNUMBER(Tasks[[#This Row],[Optimistic]]),ISNUMBER(Tasks[[#This Row],[Pessimistic]])),ROUND((Tasks[[#This Row],[Optimistic]]+4*N(Tasks[[#This Row],[_Days]])+Tasks[[#This Row],[Pessimistic]])/6,1),"")</f>
        <v/>
      </c>
      <c r="BY26" s="87"/>
      <c r="BZ26" s="87"/>
      <c r="CA26" s="22"/>
      <c r="CB26" s="43" t="str">
        <f aca="false">IF(Tasks[[#This Row],[Task Name]]="","",MAX(1,N(Tasks[[#This Row],[Level]])))</f>
        <v/>
      </c>
      <c r="CC26" s="43" t="n">
        <f aca="false">ROW()-ROW(Tasks[[#Headers],[ID]])</f>
        <v>21</v>
      </c>
      <c r="CD26" s="43" t="n">
        <f aca="false">IF(OR(Tasks[[#This Row],[Task Name]]="",Tasks[[#This Row],[_Level]]&lt;=1),0,IFERROR(LOOKUP(2,1/(Tasks[[#Headers],[_Level]]:Tasks[[#This Row],[_Level]]=Tasks[[#This Row],[_Level]]-1),ROW(Tasks[[#Headers],[_Level]]:Tasks[[#This Row],[_Level]])),0))</f>
        <v>0</v>
      </c>
      <c r="CE26" s="43" t="n">
        <f aca="false">IFERROR(N(INDEX(Tasks[_Level],Tasks[[#This Row],[_Row]]+1)),0)</f>
        <v>0</v>
      </c>
      <c r="CF26" s="90" t="b">
        <f aca="false">AND(Tasks[[#This Row],[Task Name]]&lt;&gt;"",Tasks[[#This Row],[_NextLevel]]&gt;Tasks[[#This Row],[_Level]])</f>
        <v>0</v>
      </c>
      <c r="CG26" s="43" t="n">
        <f aca="false">IF(Tasks[[#This Row],[_IsSummary]],COUNTIF(Tasks[WBS],Tasks[[#This Row],[WBS]]&amp;".*"),0)</f>
        <v>0</v>
      </c>
      <c r="CH26" s="43" t="n">
        <f aca="false">IF(AND(Tasks[[#This Row],[Task Name]]&lt;&gt;"",NOT(Tasks[[#This Row],[_IsSummary]])),1,0)</f>
        <v>0</v>
      </c>
      <c r="CI26" s="43" t="n">
        <f aca="false">IF(N(Tasks[[#This Row],[_Pred1UID]])=0,0,IFERROR(MATCH(Tasks[[#This Row],[_Pred1UID]],Tasks[UID],0),-1))</f>
        <v>0</v>
      </c>
      <c r="CJ26" s="43" t="n">
        <f aca="false">IF(N(Tasks[[#This Row],[_Pred2UID]])=0,0,IFERROR(MATCH(Tasks[[#This Row],[_Pred2UID]],Tasks[UID],0),-1))</f>
        <v>0</v>
      </c>
      <c r="CK26" s="43" t="n">
        <f aca="false">IF(N(Tasks[[#This Row],[_Pred3UID]])=0,0,IFERROR(MATCH(Tasks[[#This Row],[_Pred3UID]],Tasks[UID],0),-1))</f>
        <v>0</v>
      </c>
      <c r="CL26" s="43" t="n">
        <f aca="false">IF(N(Tasks[[#This Row],[_Pred4UID]])=0,0,IFERROR(MATCH(Tasks[[#This Row],[_Pred4UID]],Tasks[UID],0),-1))</f>
        <v>0</v>
      </c>
      <c r="CM2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6" s="91" t="n">
        <f aca="false">IF(OR(Tasks[[#This Row],[_ConstraintCode]]=2,Tasks[[#This Row],[_ConstraintCode]]=3,Tasks[[#This Row],[_ConstraintCode]]=4,Tasks[[#This Row],[_ConstraintCode]]=6),Tasks[[#This Row],[_ConstraintStart]],0)</f>
        <v>0</v>
      </c>
      <c r="CP26" s="91" t="n">
        <f aca="false">IF(OR(Tasks[[#This Row],[_ConstraintCode]]=2,Tasks[[#This Row],[_ConstraintCode]]=3,Tasks[[#This Row],[_ConstraintCode]]=5,Tasks[[#This Row],[_ConstraintCode]]=7),Tasks[[#This Row],[_ConstraintStart]],2958465)</f>
        <v>2958465</v>
      </c>
      <c r="CQ2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6" s="91" t="str">
        <f aca="false">IF(NOT(Tasks[[#This Row],[_IsLeaf]]=1),"",IF(N(Tasks[[#This Row],[_Days]])&lt;=0,Tasks[[#This Row],[_LeafCalcStart]],WORKDAY.INTL(Tasks[[#This Row],[_LeafCalcStart]],Tasks[[#This Row],[_Days]]-1,WorkWeek,Holidays)))</f>
        <v/>
      </c>
      <c r="CS2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6" s="43" t="str">
        <f aca="false">IF(Tasks[[#This Row],[_Predecessors]]="","",TRIM(MID(SUBSTITUTE(SUBSTITUTE(SUBSTITUTE(UPPER(Tasks[[#This Row],[_Predecessors]]),";",",")," ",""),",",REPT(" ",99)),1,99)))</f>
        <v/>
      </c>
      <c r="CV26" s="43" t="str">
        <f aca="false">IF(Tasks[[#This Row],[_Pred1Text]]="","",IFERROR(VALUE(LEFT(Tasks[[#This Row],[_Pred1Text]],MIN(FIND("F",Tasks[[#This Row],[_Pred1Text]]&amp;"F"),FIND("S",Tasks[[#This Row],[_Pred1Text]]&amp;"S"),FIND("+",Tasks[[#This Row],[_Pred1Text]]&amp;"+"),FIND("-",Tasks[[#This Row],[_Pred1Text]]&amp;"-"))-1)),""))</f>
        <v/>
      </c>
      <c r="CW2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6" s="43" t="str">
        <f aca="false">IF(Tasks[[#This Row],[_Pred1Text]]="","",TRIM(MID(SUBSTITUTE(SUBSTITUTE(SUBSTITUTE(UPPER(Tasks[[#This Row],[_Predecessors]]),";",",")," ",""),",",REPT(" ",99)),100,99)))</f>
        <v/>
      </c>
      <c r="CZ26" s="43" t="str">
        <f aca="false">IF(Tasks[[#This Row],[_Pred2Text]]="","",IFERROR(VALUE(LEFT(Tasks[[#This Row],[_Pred2Text]],MIN(FIND("F",Tasks[[#This Row],[_Pred2Text]]&amp;"F"),FIND("S",Tasks[[#This Row],[_Pred2Text]]&amp;"S"),FIND("+",Tasks[[#This Row],[_Pred2Text]]&amp;"+"),FIND("-",Tasks[[#This Row],[_Pred2Text]]&amp;"-"))-1)),""))</f>
        <v/>
      </c>
      <c r="DA2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6" s="43" t="str">
        <f aca="false">IF(Tasks[[#This Row],[_Pred2Text]]="","",TRIM(MID(SUBSTITUTE(SUBSTITUTE(SUBSTITUTE(UPPER(Tasks[[#This Row],[_Predecessors]]),";",",")," ",""),",",REPT(" ",99)),199,99)))</f>
        <v/>
      </c>
      <c r="DD26" s="43" t="str">
        <f aca="false">IF(Tasks[[#This Row],[_Pred3Text]]="","",IFERROR(VALUE(LEFT(Tasks[[#This Row],[_Pred3Text]],MIN(FIND("F",Tasks[[#This Row],[_Pred3Text]]&amp;"F"),FIND("S",Tasks[[#This Row],[_Pred3Text]]&amp;"S"),FIND("+",Tasks[[#This Row],[_Pred3Text]]&amp;"+"),FIND("-",Tasks[[#This Row],[_Pred3Text]]&amp;"-"))-1)),""))</f>
        <v/>
      </c>
      <c r="DE2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6" s="43" t="str">
        <f aca="false">IF(Tasks[[#This Row],[_Pred3Text]]="","",TRIM(MID(SUBSTITUTE(SUBSTITUTE(SUBSTITUTE(UPPER(Tasks[[#This Row],[_Predecessors]]),";",",")," ",""),",",REPT(" ",99)),298,99)))</f>
        <v/>
      </c>
      <c r="DH26" s="43" t="str">
        <f aca="false">IF(Tasks[[#This Row],[_Pred4Text]]="","",IFERROR(VALUE(LEFT(Tasks[[#This Row],[_Pred4Text]],MIN(FIND("F",Tasks[[#This Row],[_Pred4Text]]&amp;"F"),FIND("S",Tasks[[#This Row],[_Pred4Text]]&amp;"S"),FIND("+",Tasks[[#This Row],[_Pred4Text]]&amp;"+"),FIND("-",Tasks[[#This Row],[_Pred4Text]]&amp;"-"))-1)),""))</f>
        <v/>
      </c>
      <c r="DI2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6" s="43" t="str">
        <f aca="false">IF(OR(Tasks[[#This Row],[Task Name]]="",Tasks[[#This Row],[_Resources]]=""),"",TRIM(MID(SUBSTITUTE(Tasks[[#This Row],[_Resources]],",",REPT(" ",99)),1,99)))</f>
        <v/>
      </c>
      <c r="DL26" s="43" t="str">
        <f aca="false">IF(Tasks[[#This Row],[_Res1Text]]="","",TRIM(MID(SUBSTITUTE(Tasks[[#This Row],[_Resources]],",",REPT(" ",99)),100,99)))</f>
        <v/>
      </c>
      <c r="DM26" s="43" t="str">
        <f aca="false">IF(Tasks[[#This Row],[_Res2Text]]="","",TRIM(MID(SUBSTITUTE(Tasks[[#This Row],[_Resources]],",",REPT(" ",99)),199,99)))</f>
        <v/>
      </c>
      <c r="DN26" s="43" t="str">
        <f aca="false">IF(Tasks[[#This Row],[_Res3Text]]="","",TRIM(MID(SUBSTITUTE(Tasks[[#This Row],[_Resources]],",",REPT(" ",99)),298,99)))</f>
        <v/>
      </c>
      <c r="DO26" s="43" t="n">
        <f aca="false">IF(Tasks[[#This Row],[_Res1Text]]="",0,IFERROR(MATCH(TRIM(LEFT(Tasks[[#This Row],[_Res1Text]],FIND("[",Tasks[[#This Row],[_Res1Text]]&amp;"[")-1)),res_Name,0),IFERROR(MATCH(TRIM(LEFT(Tasks[[#This Row],[_Res1Text]],FIND("[",Tasks[[#This Row],[_Res1Text]]&amp;"[")-1)),res_Initials,0),0)))</f>
        <v>0</v>
      </c>
      <c r="DP26" s="43" t="n">
        <f aca="false">IF(Tasks[[#This Row],[_Res2Text]]="",0,IFERROR(MATCH(TRIM(LEFT(Tasks[[#This Row],[_Res2Text]],FIND("[",Tasks[[#This Row],[_Res2Text]]&amp;"[")-1)),res_Name,0),IFERROR(MATCH(TRIM(LEFT(Tasks[[#This Row],[_Res2Text]],FIND("[",Tasks[[#This Row],[_Res2Text]]&amp;"[")-1)),res_Initials,0),0)))</f>
        <v>0</v>
      </c>
      <c r="DQ26" s="43" t="n">
        <f aca="false">IF(Tasks[[#This Row],[_Res3Text]]="",0,IFERROR(MATCH(TRIM(LEFT(Tasks[[#This Row],[_Res3Text]],FIND("[",Tasks[[#This Row],[_Res3Text]]&amp;"[")-1)),res_Name,0),IFERROR(MATCH(TRIM(LEFT(Tasks[[#This Row],[_Res3Text]],FIND("[",Tasks[[#This Row],[_Res3Text]]&amp;"[")-1)),res_Initials,0),0)))</f>
        <v>0</v>
      </c>
      <c r="DR26" s="43" t="n">
        <f aca="false">IF(Tasks[[#This Row],[_Res4Text]]="",0,IFERROR(MATCH(TRIM(LEFT(Tasks[[#This Row],[_Res4Text]],FIND("[",Tasks[[#This Row],[_Res4Text]]&amp;"[")-1)),res_Name,0),IFERROR(MATCH(TRIM(LEFT(Tasks[[#This Row],[_Res4Text]],FIND("[",Tasks[[#This Row],[_Res4Text]]&amp;"[")-1)),res_Initials,0),0)))</f>
        <v>0</v>
      </c>
      <c r="DS26" s="43" t="str">
        <f aca="false">IF(Tasks[[#This Row],[_Res1Text]]="","",IF(Tasks[[#This Row],[_Res1Row]]&gt;0,INDEX(res_Name,Tasks[[#This Row],[_Res1Row]]),TRIM(LEFT(Tasks[[#This Row],[_Res1Text]],FIND("[",Tasks[[#This Row],[_Res1Text]]&amp;"[")-1))))</f>
        <v/>
      </c>
      <c r="DT2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6" s="43" t="n">
        <f aca="false">IF(NOT(Tasks[[#This Row],[_IsLeaf]]=1),0,(Tasks[[#This Row],[_Resource1]]&lt;&gt;"")+(Tasks[[#This Row],[_Res2]]&lt;&gt;"")+(Tasks[[#This Row],[_Res3]]&lt;&gt;"")+(Tasks[[#This Row],[_Res4]]&lt;&gt;""))</f>
        <v>0</v>
      </c>
      <c r="DV26" s="43" t="str">
        <f aca="false">IF(Tasks[[#This Row],[_Res2Text]]="","",IF(Tasks[[#This Row],[_Res2Row]]&gt;0,INDEX(res_Name,Tasks[[#This Row],[_Res2Row]]),TRIM(LEFT(Tasks[[#This Row],[_Res2Text]],FIND("[",Tasks[[#This Row],[_Res2Text]]&amp;"[")-1))))</f>
        <v/>
      </c>
      <c r="DW2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6" s="43" t="n">
        <f aca="false">IF(OR(NOT(Tasks[[#This Row],[_IsLeaf]]=1),Tasks[[#This Row],[_Res2Row]]=0),0,N(Tasks[[#This Row],[_Days]])*HoursPerDay*IF(Tasks[[#This Row],[_Res2Units]]="",DefaultUnits,Tasks[[#This Row],[_Res2Units]]))</f>
        <v>0</v>
      </c>
      <c r="DY26" s="43" t="n">
        <f aca="false">IF(AND(AND(Tasks[[#This Row],[_IsLeaf]]=1,Tasks[[#This Row],[_LeafTotalWork]]&gt;0),Tasks[[#This Row],[_Res2Work]]&gt;0),Tasks[[#This Row],[_Res2Work]]/(Tasks[[#This Row],[_FinishWorkday]]-Tasks[[#This Row],[_StartWorkday]]+1),0)</f>
        <v>0</v>
      </c>
      <c r="DZ26" s="43" t="n">
        <f aca="false">Tasks[[#This Row],[_Res2WorkPerWD]]*MAX(0,Tasks[[#This Row],[_StartWorkday]]-1)</f>
        <v>0</v>
      </c>
      <c r="EA26" s="43" t="n">
        <f aca="false">Tasks[[#This Row],[_Res2Work]]*Tasks[[#This Row],[_LeafProgress]]</f>
        <v>0</v>
      </c>
      <c r="EB26" s="43" t="str">
        <f aca="false">IF(Tasks[[#This Row],[_Res3Text]]="","",IF(Tasks[[#This Row],[_Res3Row]]&gt;0,INDEX(res_Name,Tasks[[#This Row],[_Res3Row]]),TRIM(LEFT(Tasks[[#This Row],[_Res3Text]],FIND("[",Tasks[[#This Row],[_Res3Text]]&amp;"[")-1))))</f>
        <v/>
      </c>
      <c r="EC2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6" s="43" t="n">
        <f aca="false">IF(OR(NOT(Tasks[[#This Row],[_IsLeaf]]=1),Tasks[[#This Row],[_Res3Row]]=0),0,N(Tasks[[#This Row],[_Days]])*HoursPerDay*IF(Tasks[[#This Row],[_Res3Units]]="",DefaultUnits,Tasks[[#This Row],[_Res3Units]]))</f>
        <v>0</v>
      </c>
      <c r="EE26" s="43" t="n">
        <f aca="false">IF(AND(AND(Tasks[[#This Row],[_IsLeaf]]=1,Tasks[[#This Row],[_LeafTotalWork]]&gt;0),Tasks[[#This Row],[_Res3Work]]&gt;0),Tasks[[#This Row],[_Res3Work]]/(Tasks[[#This Row],[_FinishWorkday]]-Tasks[[#This Row],[_StartWorkday]]+1),0)</f>
        <v>0</v>
      </c>
      <c r="EF26" s="43" t="n">
        <f aca="false">Tasks[[#This Row],[_Res3WorkPerWD]]*MAX(0,Tasks[[#This Row],[_StartWorkday]]-1)</f>
        <v>0</v>
      </c>
      <c r="EG26" s="43" t="n">
        <f aca="false">Tasks[[#This Row],[_Res3Work]]*Tasks[[#This Row],[_LeafProgress]]</f>
        <v>0</v>
      </c>
      <c r="EH26" s="43" t="str">
        <f aca="false">IF(Tasks[[#This Row],[_Res4Text]]="","",IF(Tasks[[#This Row],[_Res4Row]]&gt;0,INDEX(res_Name,Tasks[[#This Row],[_Res4Row]]),TRIM(LEFT(Tasks[[#This Row],[_Res4Text]],FIND("[",Tasks[[#This Row],[_Res4Text]]&amp;"[")-1))))</f>
        <v/>
      </c>
      <c r="EI2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6" s="43" t="n">
        <f aca="false">IF(OR(NOT(Tasks[[#This Row],[_IsLeaf]]=1),Tasks[[#This Row],[_Res4Row]]=0),0,N(Tasks[[#This Row],[_Days]])*HoursPerDay*IF(Tasks[[#This Row],[_Res4Units]]="",DefaultUnits,Tasks[[#This Row],[_Res4Units]]))</f>
        <v>0</v>
      </c>
      <c r="EK26" s="43" t="n">
        <f aca="false">IF(AND(AND(Tasks[[#This Row],[_IsLeaf]]=1,Tasks[[#This Row],[_LeafTotalWork]]&gt;0),Tasks[[#This Row],[_Res4Work]]&gt;0),Tasks[[#This Row],[_Res4Work]]/(Tasks[[#This Row],[_FinishWorkday]]-Tasks[[#This Row],[_StartWorkday]]+1),0)</f>
        <v>0</v>
      </c>
      <c r="EL26" s="43" t="n">
        <f aca="false">Tasks[[#This Row],[_Res4WorkPerWD]]*MAX(0,Tasks[[#This Row],[_StartWorkday]]-1)</f>
        <v>0</v>
      </c>
      <c r="EM26" s="43" t="n">
        <f aca="false">Tasks[[#This Row],[_Res4Work]]*Tasks[[#This Row],[_LeafProgress]]</f>
        <v>0</v>
      </c>
      <c r="EN26" s="43" t="n">
        <f aca="false">IF(ISNUMBER(Tasks[[#This Row],[% Complete]]),Tasks[[#This Row],[% Complete]],IF(Tasks[[#This Row],[Stage]]="",0,IFERROR(INDEX(stg_Pct,MATCH(Tasks[[#This Row],[Stage]],stg_Name,0)),0)))</f>
        <v>0</v>
      </c>
      <c r="EO26" s="43" t="n">
        <f aca="false">IF(NOT(Tasks[[#This Row],[_IsLeaf]]=1),0,IF(N(Tasks[[#This Row],[Actual Finish]])&gt;0,1,MIN(1,Tasks[[#This Row],[_Pct]])))</f>
        <v>0</v>
      </c>
      <c r="EP26" s="43" t="n">
        <f aca="false">IF(OR(NOT(Tasks[[#This Row],[_IsLeaf]]=1),Tasks[[#This Row],[_Res1Row]]=0),0,N(Tasks[[#This Row],[_Days]])*HoursPerDay*IF(Tasks[[#This Row],[_Units1]]="",DefaultUnits,Tasks[[#This Row],[_Units1]]))</f>
        <v>0</v>
      </c>
      <c r="EQ26" s="43" t="n">
        <f aca="false">Tasks[[#This Row],[_LeafWork]]+Tasks[[#This Row],[_Res2Work]]+Tasks[[#This Row],[_Res3Work]]+Tasks[[#This Row],[_Res4Work]]</f>
        <v>0</v>
      </c>
      <c r="ER2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6" s="43" t="n">
        <f aca="false">IF(NOT(Tasks[[#This Row],[_IsLeaf]]=1),0,MAX(_xlfn.MAXIFS(Tasks[_Row],Tasks[_Pred1UID],Tasks[[#This Row],[UID]]),_xlfn.MAXIFS(Tasks[_Row],Tasks[_Pred2UID],Tasks[[#This Row],[UID]]),_xlfn.MAXIFS(Tasks[_Row],Tasks[_Pred3UID],Tasks[[#This Row],[UID]]),_xlfn.MAXIFS(Tasks[_Row],Tasks[_Pred4UID],Tasks[[#This Row],[UID]])))</f>
        <v>0</v>
      </c>
      <c r="FA2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6" s="91" t="str">
        <f aca="false">IF(NOT(Tasks[[#This Row],[_IsLeaf]]=1),"",IF(N(Tasks[[#This Row],[_Days]])&lt;=0,Tasks[[#This Row],[_LeafLateFinish]],WORKDAY.INTL(Tasks[[#This Row],[_LeafLateFinish]],-(Tasks[[#This Row],[_Days]]-1),WorkWeek,Holidays)))</f>
        <v/>
      </c>
      <c r="FD2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6" s="90" t="b">
        <f aca="false">AND(Tasks[[#This Row],[_IsLeaf]]=1,Tasks[[#This Row],[_LeafProgress]]&lt;1,N(Tasks[[#This Row],[_LeafTotalSlack]])&lt;=CriticalSlackDays)</f>
        <v>0</v>
      </c>
      <c r="FF26" s="43" t="n">
        <f aca="false">IF(AND(Tasks[[#This Row],[_IsLeaf]]=1,Tasks[[#This Row],[_ConstraintCode]]=1,Tasks[[#This Row],[Mode]]&lt;&gt;"Manual",N(Tasks[[#This Row],[Actual Start]])=0),MAX(0,N(Tasks[[#This Row],[Free Slack]])),0)</f>
        <v>0</v>
      </c>
      <c r="FG26" s="91" t="str">
        <f aca="false">IF(NOT(Tasks[[#This Row],[_IsLeaf]]=1),"",IF(Tasks[[#This Row],[_AlapShift]]=0,Tasks[[#This Row],[_LeafCalcStart]],WORKDAY.INTL(Tasks[[#This Row],[_LeafCalcStart]],Tasks[[#This Row],[_AlapShift]],WorkWeek,Holidays)))</f>
        <v/>
      </c>
      <c r="FH26" s="91" t="str">
        <f aca="false">IF(NOT(Tasks[[#This Row],[_IsLeaf]]=1),"",IF(Tasks[[#This Row],[_AlapShift]]=0,Tasks[[#This Row],[_LeafCalcFinish]],WORKDAY.INTL(Tasks[[#This Row],[_LeafCalcFinish]],Tasks[[#This Row],[_AlapShift]],WorkWeek,Holidays)))</f>
        <v/>
      </c>
      <c r="FI26" s="91" t="str">
        <f aca="false">IF(NOT(Tasks[[#This Row],[_IsLeaf]]=1),"",IF(Tasks[[#This Row],[_AlapShift]]=0,Tasks[[#This Row],[_LeafFcstStart]],WORKDAY.INTL(Tasks[[#This Row],[_LeafFcstStart]],Tasks[[#This Row],[_AlapShift]],WorkWeek,Holidays)))</f>
        <v/>
      </c>
      <c r="FJ26" s="91" t="str">
        <f aca="false">IF(NOT(Tasks[[#This Row],[_IsLeaf]]=1),"",IF(Tasks[[#This Row],[_AlapShift]]=0,Tasks[[#This Row],[_LeafFcstFinish]],WORKDAY.INTL(Tasks[[#This Row],[_LeafFcstFinish]],Tasks[[#This Row],[_AlapShift]],WorkWeek,Holidays)))</f>
        <v/>
      </c>
      <c r="FK26" s="91" t="str">
        <f aca="false">IF(Tasks[[#This Row],[Task Name]]="","",IF(Tasks[[#This Row],[_IsSummary]],MIN(INDEX(Tasks[_ShownCalcStart],Tasks[[#This Row],[_Row]]+1):INDEX(Tasks[_ShownCalcStart],Tasks[[#This Row],[_Row]]+Tasks[[#This Row],[_Descendants]])),Tasks[[#This Row],[_ShownCalcStart]]))</f>
        <v/>
      </c>
      <c r="FL26" s="91" t="str">
        <f aca="false">IF(Tasks[[#This Row],[Task Name]]="","",IF(Tasks[[#This Row],[_IsSummary]],MAX(INDEX(Tasks[_ShownCalcFinish],Tasks[[#This Row],[_Row]]+1):INDEX(Tasks[_ShownCalcFinish],Tasks[[#This Row],[_Row]]+Tasks[[#This Row],[_Descendants]])),Tasks[[#This Row],[_ShownCalcFinish]]))</f>
        <v/>
      </c>
      <c r="FM2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6" s="43" t="n">
        <f aca="false">IF(AND(Tasks[[#This Row],[_IsLeaf]]=1,Tasks[[#This Row],[_LeafTotalWork]]&gt;0),NETWORKDAYS.INTL(ProjectStart,Tasks[[#This Row],[_ShownFcstStart]],WorkWeek,Holidays),0)</f>
        <v>0</v>
      </c>
      <c r="FZ26" s="43" t="n">
        <f aca="false">IF(AND(Tasks[[#This Row],[_IsLeaf]]=1,Tasks[[#This Row],[_LeafTotalWork]]&gt;0),MAX(Tasks[[#This Row],[_StartWorkday]],NETWORKDAYS.INTL(ProjectStart,Tasks[[#This Row],[_ShownFcstFinish]],WorkWeek,Holidays)),0)</f>
        <v>0</v>
      </c>
      <c r="GA26" s="43" t="n">
        <f aca="false">IF(AND(Tasks[[#This Row],[_IsLeaf]]=1,Tasks[[#This Row],[_LeafTotalWork]]&gt;0),Tasks[[#This Row],[_LeafWork]]/(Tasks[[#This Row],[_FinishWorkday]]-Tasks[[#This Row],[_StartWorkday]]+1),0)</f>
        <v>0</v>
      </c>
      <c r="GB26" s="43" t="n">
        <f aca="false">Tasks[[#This Row],[_WorkPerWorkday]]*(Tasks[[#This Row],[_StartWorkday]]-1)</f>
        <v>-0</v>
      </c>
      <c r="GC26" s="43" t="n">
        <f aca="false">IF(Tasks[[#This Row],[_IsLeaf]]=1,MAX(N(Tasks[[#This Row],[_Days]]),0.1),0)</f>
        <v>0</v>
      </c>
      <c r="GD26" s="43" t="n">
        <f aca="false">Tasks[[#This Row],[_WeightDur]]*Tasks[[#This Row],[_LeafProgress]]</f>
        <v>0</v>
      </c>
      <c r="GE26" s="43" t="n">
        <f aca="false">Tasks[[#This Row],[_WeightDur]]*Tasks[[#This Row],[_PlannedPct]]</f>
        <v>0</v>
      </c>
      <c r="GF2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6" s="43" t="str">
        <f aca="false">IF(AND(Tasks[[#This Row],[_IsLeaf]]=1,N(Tasks[[#This Row],[_Days]])=0,Tasks[[#This Row],[_LeafProgress]]&lt;1),Tasks[[#This Row],[_ShownFcstFinish]]+Tasks[[#This Row],[_Row]]/100000,"")</f>
        <v/>
      </c>
      <c r="GH2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6" s="43" t="str">
        <f aca="false">IF(Tasks[[#This Row],[Task Name]]="","",LEFT(Tasks[[#This Row],[WBS]],FIND(".",Tasks[[#This Row],[WBS]]&amp;".")-1))</f>
        <v/>
      </c>
      <c r="GJ26" s="43" t="str">
        <f aca="false">IF(AND(Tasks[[#This Row],[Task Name]]&lt;&gt;"",Tasks[[#This Row],[_Level]]=1),Tasks[[#This Row],[_Row]],"")</f>
        <v/>
      </c>
      <c r="GK26" s="43" t="str">
        <f aca="false">IF(AND(Tasks[[#This Row],[_IsLeaf]]=1,N(Tasks[[#This Row],[_Days]])=0),Tasks[[#This Row],[Planned Finish]]+Tasks[[#This Row],[_Row]]/100000,"")</f>
        <v/>
      </c>
      <c r="GL26" s="43" t="str">
        <f aca="false">IF(AND(Tasks[[#This Row],[_IsLeaf]]=1,Tasks[[#This Row],[_LeafProgress]]&lt;1,OR(N(Tasks[[#This Row],[Finish Var]])&gt;0,Tasks[[#This Row],[Status]]="Late Start")),MAX(0,Tasks[[#This Row],[Finish Var]])+1-Tasks[[#This Row],[_Row]]/1000000,"")</f>
        <v/>
      </c>
      <c r="GM26" s="43" t="str">
        <f aca="false">IF(AND(Tasks[[#This Row],[_IsLeaf]]=1,N(Tasks[[#This Row],[Actual Start]])=0,Tasks[[#This Row],[_ShownFcstStart]]&gt;=StatusDate,Tasks[[#This Row],[_ShownFcstStart]]&lt;=LookaheadEnd),Tasks[[#This Row],[_ShownFcstStart]]+Tasks[[#This Row],[_Row]]/100000,"")</f>
        <v/>
      </c>
      <c r="GN26" s="43" t="str">
        <f aca="false">IF(AND(Tasks[[#This Row],[_IsLeaf]]=1,Tasks[[#This Row],[_LeafProgress]]&lt;1,Tasks[[#This Row],[_ShownFcstFinish]]&gt;=StatusDate,Tasks[[#This Row],[_ShownFcstFinish]]&lt;=LookaheadEnd),Tasks[[#This Row],[_ShownFcstFinish]]+Tasks[[#This Row],[_Row]]/100000,"")</f>
        <v/>
      </c>
      <c r="GO26" s="43" t="str">
        <f aca="false">IF(Tasks[[#This Row],[_LeafCritical]],Tasks[[#This Row],[_ShownFcstStart]]+Tasks[[#This Row],[_Row]]/100000,"")</f>
        <v/>
      </c>
      <c r="GP26" s="43" t="n">
        <f aca="false">Tasks[[#This Row],[_LeafWork]]*Tasks[[#This Row],[_LeafProgress]]</f>
        <v>0</v>
      </c>
      <c r="GQ26" s="91" t="str">
        <f aca="false">IF(AND(Tasks[[#This Row],[_IsLeaf]]=1,Tasks[[#This Row],[_LeafProgress]]&gt;=1),IF(N(Tasks[[#This Row],[Actual Finish]])&gt;0,Tasks[[#This Row],[Actual Finish]],Tasks[[#This Row],[_ShownFcstFinish]]),"")</f>
        <v/>
      </c>
      <c r="GR26" s="43" t="n">
        <f aca="false">IF(Tasks[[#This Row],[_IsLeaf]]=1,N(Tasks[[#This Row],[Story Points]]),0)</f>
        <v>0</v>
      </c>
      <c r="GS26" s="43" t="str">
        <f aca="false">""</f>
        <v/>
      </c>
      <c r="GT26" s="90" t="b">
        <f aca="false">IF(Tasks[[#This Row],[Task Name]]="",FALSE(),AND(Tasks[[#This Row],[_IsLeaf]]=1,N(Tasks[[#This Row],[_Days]])=0))</f>
        <v>0</v>
      </c>
      <c r="GU26" s="91" t="n">
        <f aca="false">IF(Tasks[[#This Row],[Task Name]]="",0,IF(AND(Tasks[[#This Row],[_IsLeaf]]=1,NOT(Tasks[[#This Row],[_IsMilestone]]),N(Tasks[[#This Row],[Progress]])&gt;0),Tasks[[#This Row],[Start]],0))</f>
        <v>0</v>
      </c>
      <c r="GV26" s="91" t="n">
        <f aca="false">IF(Tasks[[#This Row],[_DoneFrom]]=0,0,IF(Tasks[[#This Row],[Progress]]&gt;=1,Tasks[[#This Row],[Finish]],MAX(Tasks[[#This Row],[_DoneFrom]],Tasks[[#This Row],[Start]]+ROUND((Tasks[[#This Row],[Finish]]-Tasks[[#This Row],[Start]]+1)*Tasks[[#This Row],[Progress]],0)-1)))</f>
        <v>0</v>
      </c>
      <c r="GW26" s="91" t="n">
        <f aca="false">IF(Tasks[[#This Row],[Task Name]]="",0,IF(OR(NOT(Tasks[[#This Row],[_IsLeaf]]=1),Tasks[[#This Row],[_IsMilestone]],N(Tasks[[#This Row],[Progress]])&gt;=1),0,IF(Tasks[[#This Row],[_DoneTo]]&gt;0,Tasks[[#This Row],[_DoneTo]]+1,Tasks[[#This Row],[Start]])))</f>
        <v>0</v>
      </c>
      <c r="GX26" s="91" t="n">
        <f aca="false">IF(Tasks[[#This Row],[_RemFrom]]=0,0,Tasks[[#This Row],[Finish]])</f>
        <v>0</v>
      </c>
      <c r="GY26" s="90" t="b">
        <f aca="false">IF(Tasks[[#This Row],[Task Name]]="",FALSE(),OR(NOT(BaselineSet),N(Tasks[[#This Row],[Baseline Start]])&gt;0))</f>
        <v>0</v>
      </c>
      <c r="GZ2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6" s="92" t="str">
        <f aca="false">IF(Tasks[[#This Row],[_IsLeaf]]=1,Tasks[[#This Row],[_Row]],"")</f>
        <v/>
      </c>
      <c r="HD26" s="92" t="str">
        <f aca="false">IFERROR(INDEX(Tasks[UID],SMALL(Tasks[_PickKey],Tasks[[#This Row],[_Row]]))&amp;" "&amp;INDEX(Tasks[Task Name],SMALL(Tasks[_PickKey],Tasks[[#This Row],[_Row]])),"")</f>
        <v/>
      </c>
      <c r="HE26" s="43" t="str">
        <f aca="false">IF(Tasks[[#This Row],[Task Name]]="","",IF(Tasks[[#This Row],[_IsSummary]],NETWORKDAYS.INTL(Tasks[[#This Row],[Start]],Tasks[[#This Row],[Finish]],WorkWeek,Holidays),N(Tasks[[#This Row],[_Days]])))</f>
        <v/>
      </c>
      <c r="HF26" s="43" t="n">
        <f aca="false">IF(Tasks[[#This Row],[Expected]]="",0,((Tasks[[#This Row],[Pessimistic]]-Tasks[[#This Row],[Optimistic]])/6)^2)</f>
        <v>0</v>
      </c>
      <c r="HG26" s="43" t="n">
        <f aca="false">IF(Tasks[[#This Row],[Expected]]="",0,Tasks[[#This Row],[Expected]]-N(Tasks[[#This Row],[_Days]]))</f>
        <v>0</v>
      </c>
    </row>
    <row r="27" customFormat="false" ht="15" hidden="false" customHeight="false" outlineLevel="0" collapsed="false">
      <c r="A27" s="21" t="str">
        <f aca="false">IF(Tasks[[#This Row],[Task Name]]="","",COUNTA(Tasks[[#Headers],[Task Name]]:Tasks[[#This Row],[Task Name]])-1)</f>
        <v/>
      </c>
      <c r="B27" s="22" t="n">
        <v>35</v>
      </c>
      <c r="C27" s="22"/>
      <c r="D27" s="23"/>
      <c r="E27" s="22"/>
      <c r="F27" s="23"/>
      <c r="G27" s="22"/>
      <c r="H27" s="22"/>
      <c r="I27" s="23"/>
      <c r="J27" s="22"/>
      <c r="K27" s="22"/>
      <c r="L27" s="23"/>
      <c r="M27" s="22"/>
      <c r="N27" s="22"/>
      <c r="O27" s="23"/>
      <c r="P27" s="22"/>
      <c r="Q27" s="22"/>
      <c r="R27" s="23"/>
      <c r="S27" s="23"/>
      <c r="T27" s="84"/>
      <c r="U27" s="23"/>
      <c r="V27" s="84"/>
      <c r="W27" s="23"/>
      <c r="X27" s="84"/>
      <c r="Y27" s="23"/>
      <c r="Z27" s="84"/>
      <c r="AA27" s="23"/>
      <c r="AB27" s="23"/>
      <c r="AC27" s="7"/>
      <c r="AD27" s="7"/>
      <c r="AE27" s="63" t="str">
        <f aca="false">IF(Tasks[[#This Row],[Task Name]]="","",IF(Tasks[[#This Row],[_IsSummary]],MIN(INDEX(Tasks[_ShownFcstStart],Tasks[[#This Row],[_Row]]+1):INDEX(Tasks[_ShownFcstStart],Tasks[[#This Row],[_Row]]+Tasks[[#This Row],[_Descendants]])),Tasks[[#This Row],[_ShownFcstStart]]))</f>
        <v/>
      </c>
      <c r="AF27" s="63" t="str">
        <f aca="false">IF(Tasks[[#This Row],[Task Name]]="","",IF(Tasks[[#This Row],[_IsSummary]],MAX(INDEX(Tasks[_ShownFcstFinish],Tasks[[#This Row],[_Row]]+1):INDEX(Tasks[_ShownFcstFinish],Tasks[[#This Row],[_Row]]+Tasks[[#This Row],[_Descendants]])),Tasks[[#This Row],[_ShownFcstFinish]]))</f>
        <v/>
      </c>
      <c r="AG27" s="21" t="str">
        <f aca="false">""</f>
        <v/>
      </c>
      <c r="AH27" s="23"/>
      <c r="AI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7" s="7"/>
      <c r="AK27" s="22"/>
      <c r="AL27" s="23"/>
      <c r="AM27" s="7"/>
      <c r="AN27" s="47" t="str">
        <f aca="false">IF(Tasks[[#This Row],[Task Name]]="","",IF(Tasks[[#This Row],[Finish]]&gt;=Tasks[[#This Row],[Planned Finish]],NETWORKDAYS.INTL(Tasks[[#This Row],[Planned Finish]],Tasks[[#This Row],[Finish]],WorkWeek,Holidays)-1,1-NETWORKDAYS.INTL(Tasks[[#This Row],[Finish]],Tasks[[#This Row],[Planned Finish]],WorkWeek,Holidays)))</f>
        <v/>
      </c>
      <c r="AO27" s="21" t="str">
        <f aca="false">IF(Tasks[[#This Row],[Task Name]]="","",IF(Tasks[[#This Row],[Progress]]&gt;=1,"Complete",IF(OR(N(Tasks[[#This Row],[Actual Start]])&gt;0,Tasks[[#This Row],[Progress]]&gt;0),IF(Tasks[[#This Row],[Finish Var]]&gt;0,"Behind","In Progress"),IF(Tasks[[#This Row],[Planned Start]]&lt;StatusDate,"Late Start","Not Started"))))</f>
        <v/>
      </c>
      <c r="AP27" s="21" t="str">
        <f aca="false">IF(Tasks[[#This Row],[Task Name]]="","",IF(IF(Tasks[[#This Row],[_IsSummary]],COUNTIF(INDEX(Tasks[_LeafCritical],Tasks[[#This Row],[_Row]]+1):INDEX(Tasks[_LeafCritical],Tasks[[#This Row],[_Row]]+Tasks[[#This Row],[_Descendants]]),TRUE())&gt;0,Tasks[[#This Row],[_LeafCritical]]),"Yes",""))</f>
        <v/>
      </c>
      <c r="AQ27" s="63" t="str">
        <f aca="false">IF(Tasks[[#This Row],[Task Name]]="","",IF(N(Tasks[[#This Row],[Baseline Start]])&gt;0,Tasks[[#This Row],[Baseline Start]],Tasks[[#This Row],[_CalcStart]]))</f>
        <v/>
      </c>
      <c r="AR27" s="63" t="str">
        <f aca="false">IF(Tasks[[#This Row],[Task Name]]="","",IF(N(Tasks[[#This Row],[Baseline Finish]])&gt;0,Tasks[[#This Row],[Baseline Finish]],Tasks[[#This Row],[_CalcFinish]]))</f>
        <v/>
      </c>
      <c r="AS27" s="47" t="str">
        <f aca="false">IF(Tasks[[#This Row],[Task Name]]="","",IF(Tasks[[#This Row],[Start]]&gt;=Tasks[[#This Row],[Planned Start]],NETWORKDAYS.INTL(Tasks[[#This Row],[Planned Start]],Tasks[[#This Row],[Start]],WorkWeek,Holidays)-1,1-NETWORKDAYS.INTL(Tasks[[#This Row],[Start]],Tasks[[#This Row],[Planned Start]],WorkWeek,Holidays)))</f>
        <v/>
      </c>
      <c r="AT27" s="63" t="str">
        <f aca="false">IF(Tasks[[#This Row],[Task Name]]="","",IF(Tasks[[#This Row],[_IsSummary]],MIN(INDEX(Tasks[_LeafLateStart],Tasks[[#This Row],[_Row]]+1):INDEX(Tasks[_LeafLateStart],Tasks[[#This Row],[_Row]]+Tasks[[#This Row],[_Descendants]])),Tasks[[#This Row],[_LeafLateStart]]))</f>
        <v/>
      </c>
      <c r="AU27" s="63" t="str">
        <f aca="false">IF(Tasks[[#This Row],[Task Name]]="","",IF(Tasks[[#This Row],[_IsSummary]],MAX(INDEX(Tasks[_LeafLateFinish],Tasks[[#This Row],[_Row]]+1):INDEX(Tasks[_LeafLateFinish],Tasks[[#This Row],[_Row]]+Tasks[[#This Row],[_Descendants]])),Tasks[[#This Row],[_LeafLateFinish]]))</f>
        <v/>
      </c>
      <c r="AV27" s="47" t="str">
        <f aca="false">IF(Tasks[[#This Row],[Task Name]]="","",IF(Tasks[[#This Row],[_IsSummary]],MIN(INDEX(Tasks[_LeafTotalSlack],Tasks[[#This Row],[_Row]]+1):INDEX(Tasks[_LeafTotalSlack],Tasks[[#This Row],[_Row]]+Tasks[[#This Row],[_Descendants]])),Tasks[[#This Row],[_LeafTotalSlack]]))</f>
        <v/>
      </c>
      <c r="AW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5"/>
      <c r="BA2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1" t="str">
        <f aca="false">IF(Tasks[[#This Row],[Task Name]]="","",IF(Tasks[[#This Row],[_Level]]&lt;=OutlineShowLevel,"Yes","No"))</f>
        <v/>
      </c>
      <c r="BE27" s="86" t="str">
        <f aca="false">IF(Tasks[[#This Row],[Task Name]]="","",IF(Tasks[[#This Row],[_IsSummary]],SUM(INDEX(Tasks[_LeafTotalWork],Tasks[[#This Row],[_Row]]+1):INDEX(Tasks[_LeafTotalWork],Tasks[[#This Row],[_Row]]+Tasks[[#This Row],[_Descendants]])),Tasks[[#This Row],[_LeafTotalWork]]))</f>
        <v/>
      </c>
      <c r="BF27" s="23"/>
      <c r="BG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7" s="21" t="str">
        <f aca="false">""</f>
        <v/>
      </c>
      <c r="BI27" s="87"/>
      <c r="BJ27" s="22"/>
      <c r="BK27" s="47" t="str">
        <f aca="false">IF(OR(Tasks[[#This Row],[Task Name]]="",Tasks[[#This Row],[Baseline Duration]]=""),"",Tasks[[#This Row],[_SpanDays]]-N(Tasks[[#This Row],[Baseline Duration]]))</f>
        <v/>
      </c>
      <c r="BL27" s="86" t="str">
        <f aca="false">IF(OR(Tasks[[#This Row],[Task Name]]="",Tasks[[#This Row],[Baseline Work]]=""),"",Tasks[[#This Row],[Work]]-N(Tasks[[#This Row],[Baseline Work]]))</f>
        <v/>
      </c>
      <c r="BM27" s="63" t="str">
        <f aca="false">IF(Tasks[[#This Row],[Task Name]]="","",IF(OR(TakeBaseline="Yes",N(Tasks[[#This Row],[Baseline Start]])=0),Tasks[[#This Row],[Start]],Tasks[[#This Row],[Baseline Start]]))</f>
        <v/>
      </c>
      <c r="BN27" s="63" t="str">
        <f aca="false">IF(Tasks[[#This Row],[Task Name]]="","",IF(OR(TakeBaseline="Yes",N(Tasks[[#This Row],[Baseline Finish]])=0),Tasks[[#This Row],[Finish]],Tasks[[#This Row],[Baseline Finish]]))</f>
        <v/>
      </c>
      <c r="BO27" s="21" t="str">
        <f aca="false">IF(Tasks[[#This Row],[Task Name]]="","",IF(OR(TakeBaseline="Yes",N(Tasks[[#This Row],[Baseline Duration]])=0),Tasks[[#This Row],[_SpanDays]],Tasks[[#This Row],[Baseline Duration]]))</f>
        <v/>
      </c>
      <c r="BP27" s="86" t="str">
        <f aca="false">IF(Tasks[[#This Row],[Task Name]]="","",IF(OR(TakeBaseline="Yes",N(Tasks[[#This Row],[Baseline Work]])=0),Tasks[[#This Row],[Work]],Tasks[[#This Row],[Baseline Work]]))</f>
        <v/>
      </c>
      <c r="BQ27" s="7"/>
      <c r="BR27" s="7"/>
      <c r="BS27" s="22"/>
      <c r="BT27" s="88"/>
      <c r="BU27" s="23"/>
      <c r="BV27" s="23"/>
      <c r="BW27" s="23"/>
      <c r="BX27" s="89" t="str">
        <f aca="false">IF(AND(Tasks[[#This Row],[_IsLeaf]]=1,ISNUMBER(Tasks[[#This Row],[Optimistic]]),ISNUMBER(Tasks[[#This Row],[Pessimistic]])),ROUND((Tasks[[#This Row],[Optimistic]]+4*N(Tasks[[#This Row],[_Days]])+Tasks[[#This Row],[Pessimistic]])/6,1),"")</f>
        <v/>
      </c>
      <c r="BY27" s="87"/>
      <c r="BZ27" s="87"/>
      <c r="CA27" s="22"/>
      <c r="CB27" s="43" t="str">
        <f aca="false">IF(Tasks[[#This Row],[Task Name]]="","",MAX(1,N(Tasks[[#This Row],[Level]])))</f>
        <v/>
      </c>
      <c r="CC27" s="43" t="n">
        <f aca="false">ROW()-ROW(Tasks[[#Headers],[ID]])</f>
        <v>22</v>
      </c>
      <c r="CD27" s="43" t="n">
        <f aca="false">IF(OR(Tasks[[#This Row],[Task Name]]="",Tasks[[#This Row],[_Level]]&lt;=1),0,IFERROR(LOOKUP(2,1/(Tasks[[#Headers],[_Level]]:Tasks[[#This Row],[_Level]]=Tasks[[#This Row],[_Level]]-1),ROW(Tasks[[#Headers],[_Level]]:Tasks[[#This Row],[_Level]])),0))</f>
        <v>0</v>
      </c>
      <c r="CE27" s="43" t="n">
        <f aca="false">IFERROR(N(INDEX(Tasks[_Level],Tasks[[#This Row],[_Row]]+1)),0)</f>
        <v>0</v>
      </c>
      <c r="CF27" s="90" t="b">
        <f aca="false">AND(Tasks[[#This Row],[Task Name]]&lt;&gt;"",Tasks[[#This Row],[_NextLevel]]&gt;Tasks[[#This Row],[_Level]])</f>
        <v>0</v>
      </c>
      <c r="CG27" s="43" t="n">
        <f aca="false">IF(Tasks[[#This Row],[_IsSummary]],COUNTIF(Tasks[WBS],Tasks[[#This Row],[WBS]]&amp;".*"),0)</f>
        <v>0</v>
      </c>
      <c r="CH27" s="43" t="n">
        <f aca="false">IF(AND(Tasks[[#This Row],[Task Name]]&lt;&gt;"",NOT(Tasks[[#This Row],[_IsSummary]])),1,0)</f>
        <v>0</v>
      </c>
      <c r="CI27" s="43" t="n">
        <f aca="false">IF(N(Tasks[[#This Row],[_Pred1UID]])=0,0,IFERROR(MATCH(Tasks[[#This Row],[_Pred1UID]],Tasks[UID],0),-1))</f>
        <v>0</v>
      </c>
      <c r="CJ27" s="43" t="n">
        <f aca="false">IF(N(Tasks[[#This Row],[_Pred2UID]])=0,0,IFERROR(MATCH(Tasks[[#This Row],[_Pred2UID]],Tasks[UID],0),-1))</f>
        <v>0</v>
      </c>
      <c r="CK27" s="43" t="n">
        <f aca="false">IF(N(Tasks[[#This Row],[_Pred3UID]])=0,0,IFERROR(MATCH(Tasks[[#This Row],[_Pred3UID]],Tasks[UID],0),-1))</f>
        <v>0</v>
      </c>
      <c r="CL27" s="43" t="n">
        <f aca="false">IF(N(Tasks[[#This Row],[_Pred4UID]])=0,0,IFERROR(MATCH(Tasks[[#This Row],[_Pred4UID]],Tasks[UID],0),-1))</f>
        <v>0</v>
      </c>
      <c r="CM2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7" s="91" t="n">
        <f aca="false">IF(OR(Tasks[[#This Row],[_ConstraintCode]]=2,Tasks[[#This Row],[_ConstraintCode]]=3,Tasks[[#This Row],[_ConstraintCode]]=4,Tasks[[#This Row],[_ConstraintCode]]=6),Tasks[[#This Row],[_ConstraintStart]],0)</f>
        <v>0</v>
      </c>
      <c r="CP27" s="91" t="n">
        <f aca="false">IF(OR(Tasks[[#This Row],[_ConstraintCode]]=2,Tasks[[#This Row],[_ConstraintCode]]=3,Tasks[[#This Row],[_ConstraintCode]]=5,Tasks[[#This Row],[_ConstraintCode]]=7),Tasks[[#This Row],[_ConstraintStart]],2958465)</f>
        <v>2958465</v>
      </c>
      <c r="CQ2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7" s="91" t="str">
        <f aca="false">IF(NOT(Tasks[[#This Row],[_IsLeaf]]=1),"",IF(N(Tasks[[#This Row],[_Days]])&lt;=0,Tasks[[#This Row],[_LeafCalcStart]],WORKDAY.INTL(Tasks[[#This Row],[_LeafCalcStart]],Tasks[[#This Row],[_Days]]-1,WorkWeek,Holidays)))</f>
        <v/>
      </c>
      <c r="CS2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7" s="43" t="str">
        <f aca="false">IF(Tasks[[#This Row],[_Predecessors]]="","",TRIM(MID(SUBSTITUTE(SUBSTITUTE(SUBSTITUTE(UPPER(Tasks[[#This Row],[_Predecessors]]),";",",")," ",""),",",REPT(" ",99)),1,99)))</f>
        <v/>
      </c>
      <c r="CV27" s="43" t="str">
        <f aca="false">IF(Tasks[[#This Row],[_Pred1Text]]="","",IFERROR(VALUE(LEFT(Tasks[[#This Row],[_Pred1Text]],MIN(FIND("F",Tasks[[#This Row],[_Pred1Text]]&amp;"F"),FIND("S",Tasks[[#This Row],[_Pred1Text]]&amp;"S"),FIND("+",Tasks[[#This Row],[_Pred1Text]]&amp;"+"),FIND("-",Tasks[[#This Row],[_Pred1Text]]&amp;"-"))-1)),""))</f>
        <v/>
      </c>
      <c r="CW2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7" s="43" t="str">
        <f aca="false">IF(Tasks[[#This Row],[_Pred1Text]]="","",TRIM(MID(SUBSTITUTE(SUBSTITUTE(SUBSTITUTE(UPPER(Tasks[[#This Row],[_Predecessors]]),";",",")," ",""),",",REPT(" ",99)),100,99)))</f>
        <v/>
      </c>
      <c r="CZ27" s="43" t="str">
        <f aca="false">IF(Tasks[[#This Row],[_Pred2Text]]="","",IFERROR(VALUE(LEFT(Tasks[[#This Row],[_Pred2Text]],MIN(FIND("F",Tasks[[#This Row],[_Pred2Text]]&amp;"F"),FIND("S",Tasks[[#This Row],[_Pred2Text]]&amp;"S"),FIND("+",Tasks[[#This Row],[_Pred2Text]]&amp;"+"),FIND("-",Tasks[[#This Row],[_Pred2Text]]&amp;"-"))-1)),""))</f>
        <v/>
      </c>
      <c r="DA2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7" s="43" t="str">
        <f aca="false">IF(Tasks[[#This Row],[_Pred2Text]]="","",TRIM(MID(SUBSTITUTE(SUBSTITUTE(SUBSTITUTE(UPPER(Tasks[[#This Row],[_Predecessors]]),";",",")," ",""),",",REPT(" ",99)),199,99)))</f>
        <v/>
      </c>
      <c r="DD27" s="43" t="str">
        <f aca="false">IF(Tasks[[#This Row],[_Pred3Text]]="","",IFERROR(VALUE(LEFT(Tasks[[#This Row],[_Pred3Text]],MIN(FIND("F",Tasks[[#This Row],[_Pred3Text]]&amp;"F"),FIND("S",Tasks[[#This Row],[_Pred3Text]]&amp;"S"),FIND("+",Tasks[[#This Row],[_Pred3Text]]&amp;"+"),FIND("-",Tasks[[#This Row],[_Pred3Text]]&amp;"-"))-1)),""))</f>
        <v/>
      </c>
      <c r="DE2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7" s="43" t="str">
        <f aca="false">IF(Tasks[[#This Row],[_Pred3Text]]="","",TRIM(MID(SUBSTITUTE(SUBSTITUTE(SUBSTITUTE(UPPER(Tasks[[#This Row],[_Predecessors]]),";",",")," ",""),",",REPT(" ",99)),298,99)))</f>
        <v/>
      </c>
      <c r="DH27" s="43" t="str">
        <f aca="false">IF(Tasks[[#This Row],[_Pred4Text]]="","",IFERROR(VALUE(LEFT(Tasks[[#This Row],[_Pred4Text]],MIN(FIND("F",Tasks[[#This Row],[_Pred4Text]]&amp;"F"),FIND("S",Tasks[[#This Row],[_Pred4Text]]&amp;"S"),FIND("+",Tasks[[#This Row],[_Pred4Text]]&amp;"+"),FIND("-",Tasks[[#This Row],[_Pred4Text]]&amp;"-"))-1)),""))</f>
        <v/>
      </c>
      <c r="DI2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7" s="43" t="str">
        <f aca="false">IF(OR(Tasks[[#This Row],[Task Name]]="",Tasks[[#This Row],[_Resources]]=""),"",TRIM(MID(SUBSTITUTE(Tasks[[#This Row],[_Resources]],",",REPT(" ",99)),1,99)))</f>
        <v/>
      </c>
      <c r="DL27" s="43" t="str">
        <f aca="false">IF(Tasks[[#This Row],[_Res1Text]]="","",TRIM(MID(SUBSTITUTE(Tasks[[#This Row],[_Resources]],",",REPT(" ",99)),100,99)))</f>
        <v/>
      </c>
      <c r="DM27" s="43" t="str">
        <f aca="false">IF(Tasks[[#This Row],[_Res2Text]]="","",TRIM(MID(SUBSTITUTE(Tasks[[#This Row],[_Resources]],",",REPT(" ",99)),199,99)))</f>
        <v/>
      </c>
      <c r="DN27" s="43" t="str">
        <f aca="false">IF(Tasks[[#This Row],[_Res3Text]]="","",TRIM(MID(SUBSTITUTE(Tasks[[#This Row],[_Resources]],",",REPT(" ",99)),298,99)))</f>
        <v/>
      </c>
      <c r="DO27" s="43" t="n">
        <f aca="false">IF(Tasks[[#This Row],[_Res1Text]]="",0,IFERROR(MATCH(TRIM(LEFT(Tasks[[#This Row],[_Res1Text]],FIND("[",Tasks[[#This Row],[_Res1Text]]&amp;"[")-1)),res_Name,0),IFERROR(MATCH(TRIM(LEFT(Tasks[[#This Row],[_Res1Text]],FIND("[",Tasks[[#This Row],[_Res1Text]]&amp;"[")-1)),res_Initials,0),0)))</f>
        <v>0</v>
      </c>
      <c r="DP27" s="43" t="n">
        <f aca="false">IF(Tasks[[#This Row],[_Res2Text]]="",0,IFERROR(MATCH(TRIM(LEFT(Tasks[[#This Row],[_Res2Text]],FIND("[",Tasks[[#This Row],[_Res2Text]]&amp;"[")-1)),res_Name,0),IFERROR(MATCH(TRIM(LEFT(Tasks[[#This Row],[_Res2Text]],FIND("[",Tasks[[#This Row],[_Res2Text]]&amp;"[")-1)),res_Initials,0),0)))</f>
        <v>0</v>
      </c>
      <c r="DQ27" s="43" t="n">
        <f aca="false">IF(Tasks[[#This Row],[_Res3Text]]="",0,IFERROR(MATCH(TRIM(LEFT(Tasks[[#This Row],[_Res3Text]],FIND("[",Tasks[[#This Row],[_Res3Text]]&amp;"[")-1)),res_Name,0),IFERROR(MATCH(TRIM(LEFT(Tasks[[#This Row],[_Res3Text]],FIND("[",Tasks[[#This Row],[_Res3Text]]&amp;"[")-1)),res_Initials,0),0)))</f>
        <v>0</v>
      </c>
      <c r="DR27" s="43" t="n">
        <f aca="false">IF(Tasks[[#This Row],[_Res4Text]]="",0,IFERROR(MATCH(TRIM(LEFT(Tasks[[#This Row],[_Res4Text]],FIND("[",Tasks[[#This Row],[_Res4Text]]&amp;"[")-1)),res_Name,0),IFERROR(MATCH(TRIM(LEFT(Tasks[[#This Row],[_Res4Text]],FIND("[",Tasks[[#This Row],[_Res4Text]]&amp;"[")-1)),res_Initials,0),0)))</f>
        <v>0</v>
      </c>
      <c r="DS27" s="43" t="str">
        <f aca="false">IF(Tasks[[#This Row],[_Res1Text]]="","",IF(Tasks[[#This Row],[_Res1Row]]&gt;0,INDEX(res_Name,Tasks[[#This Row],[_Res1Row]]),TRIM(LEFT(Tasks[[#This Row],[_Res1Text]],FIND("[",Tasks[[#This Row],[_Res1Text]]&amp;"[")-1))))</f>
        <v/>
      </c>
      <c r="DT2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7" s="43" t="n">
        <f aca="false">IF(NOT(Tasks[[#This Row],[_IsLeaf]]=1),0,(Tasks[[#This Row],[_Resource1]]&lt;&gt;"")+(Tasks[[#This Row],[_Res2]]&lt;&gt;"")+(Tasks[[#This Row],[_Res3]]&lt;&gt;"")+(Tasks[[#This Row],[_Res4]]&lt;&gt;""))</f>
        <v>0</v>
      </c>
      <c r="DV27" s="43" t="str">
        <f aca="false">IF(Tasks[[#This Row],[_Res2Text]]="","",IF(Tasks[[#This Row],[_Res2Row]]&gt;0,INDEX(res_Name,Tasks[[#This Row],[_Res2Row]]),TRIM(LEFT(Tasks[[#This Row],[_Res2Text]],FIND("[",Tasks[[#This Row],[_Res2Text]]&amp;"[")-1))))</f>
        <v/>
      </c>
      <c r="DW2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7" s="43" t="n">
        <f aca="false">IF(OR(NOT(Tasks[[#This Row],[_IsLeaf]]=1),Tasks[[#This Row],[_Res2Row]]=0),0,N(Tasks[[#This Row],[_Days]])*HoursPerDay*IF(Tasks[[#This Row],[_Res2Units]]="",DefaultUnits,Tasks[[#This Row],[_Res2Units]]))</f>
        <v>0</v>
      </c>
      <c r="DY27" s="43" t="n">
        <f aca="false">IF(AND(AND(Tasks[[#This Row],[_IsLeaf]]=1,Tasks[[#This Row],[_LeafTotalWork]]&gt;0),Tasks[[#This Row],[_Res2Work]]&gt;0),Tasks[[#This Row],[_Res2Work]]/(Tasks[[#This Row],[_FinishWorkday]]-Tasks[[#This Row],[_StartWorkday]]+1),0)</f>
        <v>0</v>
      </c>
      <c r="DZ27" s="43" t="n">
        <f aca="false">Tasks[[#This Row],[_Res2WorkPerWD]]*MAX(0,Tasks[[#This Row],[_StartWorkday]]-1)</f>
        <v>0</v>
      </c>
      <c r="EA27" s="43" t="n">
        <f aca="false">Tasks[[#This Row],[_Res2Work]]*Tasks[[#This Row],[_LeafProgress]]</f>
        <v>0</v>
      </c>
      <c r="EB27" s="43" t="str">
        <f aca="false">IF(Tasks[[#This Row],[_Res3Text]]="","",IF(Tasks[[#This Row],[_Res3Row]]&gt;0,INDEX(res_Name,Tasks[[#This Row],[_Res3Row]]),TRIM(LEFT(Tasks[[#This Row],[_Res3Text]],FIND("[",Tasks[[#This Row],[_Res3Text]]&amp;"[")-1))))</f>
        <v/>
      </c>
      <c r="EC2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7" s="43" t="n">
        <f aca="false">IF(OR(NOT(Tasks[[#This Row],[_IsLeaf]]=1),Tasks[[#This Row],[_Res3Row]]=0),0,N(Tasks[[#This Row],[_Days]])*HoursPerDay*IF(Tasks[[#This Row],[_Res3Units]]="",DefaultUnits,Tasks[[#This Row],[_Res3Units]]))</f>
        <v>0</v>
      </c>
      <c r="EE27" s="43" t="n">
        <f aca="false">IF(AND(AND(Tasks[[#This Row],[_IsLeaf]]=1,Tasks[[#This Row],[_LeafTotalWork]]&gt;0),Tasks[[#This Row],[_Res3Work]]&gt;0),Tasks[[#This Row],[_Res3Work]]/(Tasks[[#This Row],[_FinishWorkday]]-Tasks[[#This Row],[_StartWorkday]]+1),0)</f>
        <v>0</v>
      </c>
      <c r="EF27" s="43" t="n">
        <f aca="false">Tasks[[#This Row],[_Res3WorkPerWD]]*MAX(0,Tasks[[#This Row],[_StartWorkday]]-1)</f>
        <v>0</v>
      </c>
      <c r="EG27" s="43" t="n">
        <f aca="false">Tasks[[#This Row],[_Res3Work]]*Tasks[[#This Row],[_LeafProgress]]</f>
        <v>0</v>
      </c>
      <c r="EH27" s="43" t="str">
        <f aca="false">IF(Tasks[[#This Row],[_Res4Text]]="","",IF(Tasks[[#This Row],[_Res4Row]]&gt;0,INDEX(res_Name,Tasks[[#This Row],[_Res4Row]]),TRIM(LEFT(Tasks[[#This Row],[_Res4Text]],FIND("[",Tasks[[#This Row],[_Res4Text]]&amp;"[")-1))))</f>
        <v/>
      </c>
      <c r="EI2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7" s="43" t="n">
        <f aca="false">IF(OR(NOT(Tasks[[#This Row],[_IsLeaf]]=1),Tasks[[#This Row],[_Res4Row]]=0),0,N(Tasks[[#This Row],[_Days]])*HoursPerDay*IF(Tasks[[#This Row],[_Res4Units]]="",DefaultUnits,Tasks[[#This Row],[_Res4Units]]))</f>
        <v>0</v>
      </c>
      <c r="EK27" s="43" t="n">
        <f aca="false">IF(AND(AND(Tasks[[#This Row],[_IsLeaf]]=1,Tasks[[#This Row],[_LeafTotalWork]]&gt;0),Tasks[[#This Row],[_Res4Work]]&gt;0),Tasks[[#This Row],[_Res4Work]]/(Tasks[[#This Row],[_FinishWorkday]]-Tasks[[#This Row],[_StartWorkday]]+1),0)</f>
        <v>0</v>
      </c>
      <c r="EL27" s="43" t="n">
        <f aca="false">Tasks[[#This Row],[_Res4WorkPerWD]]*MAX(0,Tasks[[#This Row],[_StartWorkday]]-1)</f>
        <v>0</v>
      </c>
      <c r="EM27" s="43" t="n">
        <f aca="false">Tasks[[#This Row],[_Res4Work]]*Tasks[[#This Row],[_LeafProgress]]</f>
        <v>0</v>
      </c>
      <c r="EN27" s="43" t="n">
        <f aca="false">IF(ISNUMBER(Tasks[[#This Row],[% Complete]]),Tasks[[#This Row],[% Complete]],IF(Tasks[[#This Row],[Stage]]="",0,IFERROR(INDEX(stg_Pct,MATCH(Tasks[[#This Row],[Stage]],stg_Name,0)),0)))</f>
        <v>0</v>
      </c>
      <c r="EO27" s="43" t="n">
        <f aca="false">IF(NOT(Tasks[[#This Row],[_IsLeaf]]=1),0,IF(N(Tasks[[#This Row],[Actual Finish]])&gt;0,1,MIN(1,Tasks[[#This Row],[_Pct]])))</f>
        <v>0</v>
      </c>
      <c r="EP27" s="43" t="n">
        <f aca="false">IF(OR(NOT(Tasks[[#This Row],[_IsLeaf]]=1),Tasks[[#This Row],[_Res1Row]]=0),0,N(Tasks[[#This Row],[_Days]])*HoursPerDay*IF(Tasks[[#This Row],[_Units1]]="",DefaultUnits,Tasks[[#This Row],[_Units1]]))</f>
        <v>0</v>
      </c>
      <c r="EQ27" s="43" t="n">
        <f aca="false">Tasks[[#This Row],[_LeafWork]]+Tasks[[#This Row],[_Res2Work]]+Tasks[[#This Row],[_Res3Work]]+Tasks[[#This Row],[_Res4Work]]</f>
        <v>0</v>
      </c>
      <c r="ER2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7" s="43" t="n">
        <f aca="false">IF(NOT(Tasks[[#This Row],[_IsLeaf]]=1),0,MAX(_xlfn.MAXIFS(Tasks[_Row],Tasks[_Pred1UID],Tasks[[#This Row],[UID]]),_xlfn.MAXIFS(Tasks[_Row],Tasks[_Pred2UID],Tasks[[#This Row],[UID]]),_xlfn.MAXIFS(Tasks[_Row],Tasks[_Pred3UID],Tasks[[#This Row],[UID]]),_xlfn.MAXIFS(Tasks[_Row],Tasks[_Pred4UID],Tasks[[#This Row],[UID]])))</f>
        <v>0</v>
      </c>
      <c r="FA2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7" s="91" t="str">
        <f aca="false">IF(NOT(Tasks[[#This Row],[_IsLeaf]]=1),"",IF(N(Tasks[[#This Row],[_Days]])&lt;=0,Tasks[[#This Row],[_LeafLateFinish]],WORKDAY.INTL(Tasks[[#This Row],[_LeafLateFinish]],-(Tasks[[#This Row],[_Days]]-1),WorkWeek,Holidays)))</f>
        <v/>
      </c>
      <c r="FD2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7" s="90" t="b">
        <f aca="false">AND(Tasks[[#This Row],[_IsLeaf]]=1,Tasks[[#This Row],[_LeafProgress]]&lt;1,N(Tasks[[#This Row],[_LeafTotalSlack]])&lt;=CriticalSlackDays)</f>
        <v>0</v>
      </c>
      <c r="FF27" s="43" t="n">
        <f aca="false">IF(AND(Tasks[[#This Row],[_IsLeaf]]=1,Tasks[[#This Row],[_ConstraintCode]]=1,Tasks[[#This Row],[Mode]]&lt;&gt;"Manual",N(Tasks[[#This Row],[Actual Start]])=0),MAX(0,N(Tasks[[#This Row],[Free Slack]])),0)</f>
        <v>0</v>
      </c>
      <c r="FG27" s="91" t="str">
        <f aca="false">IF(NOT(Tasks[[#This Row],[_IsLeaf]]=1),"",IF(Tasks[[#This Row],[_AlapShift]]=0,Tasks[[#This Row],[_LeafCalcStart]],WORKDAY.INTL(Tasks[[#This Row],[_LeafCalcStart]],Tasks[[#This Row],[_AlapShift]],WorkWeek,Holidays)))</f>
        <v/>
      </c>
      <c r="FH27" s="91" t="str">
        <f aca="false">IF(NOT(Tasks[[#This Row],[_IsLeaf]]=1),"",IF(Tasks[[#This Row],[_AlapShift]]=0,Tasks[[#This Row],[_LeafCalcFinish]],WORKDAY.INTL(Tasks[[#This Row],[_LeafCalcFinish]],Tasks[[#This Row],[_AlapShift]],WorkWeek,Holidays)))</f>
        <v/>
      </c>
      <c r="FI27" s="91" t="str">
        <f aca="false">IF(NOT(Tasks[[#This Row],[_IsLeaf]]=1),"",IF(Tasks[[#This Row],[_AlapShift]]=0,Tasks[[#This Row],[_LeafFcstStart]],WORKDAY.INTL(Tasks[[#This Row],[_LeafFcstStart]],Tasks[[#This Row],[_AlapShift]],WorkWeek,Holidays)))</f>
        <v/>
      </c>
      <c r="FJ27" s="91" t="str">
        <f aca="false">IF(NOT(Tasks[[#This Row],[_IsLeaf]]=1),"",IF(Tasks[[#This Row],[_AlapShift]]=0,Tasks[[#This Row],[_LeafFcstFinish]],WORKDAY.INTL(Tasks[[#This Row],[_LeafFcstFinish]],Tasks[[#This Row],[_AlapShift]],WorkWeek,Holidays)))</f>
        <v/>
      </c>
      <c r="FK27" s="91" t="str">
        <f aca="false">IF(Tasks[[#This Row],[Task Name]]="","",IF(Tasks[[#This Row],[_IsSummary]],MIN(INDEX(Tasks[_ShownCalcStart],Tasks[[#This Row],[_Row]]+1):INDEX(Tasks[_ShownCalcStart],Tasks[[#This Row],[_Row]]+Tasks[[#This Row],[_Descendants]])),Tasks[[#This Row],[_ShownCalcStart]]))</f>
        <v/>
      </c>
      <c r="FL27" s="91" t="str">
        <f aca="false">IF(Tasks[[#This Row],[Task Name]]="","",IF(Tasks[[#This Row],[_IsSummary]],MAX(INDEX(Tasks[_ShownCalcFinish],Tasks[[#This Row],[_Row]]+1):INDEX(Tasks[_ShownCalcFinish],Tasks[[#This Row],[_Row]]+Tasks[[#This Row],[_Descendants]])),Tasks[[#This Row],[_ShownCalcFinish]]))</f>
        <v/>
      </c>
      <c r="FM2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7" s="43" t="n">
        <f aca="false">IF(AND(Tasks[[#This Row],[_IsLeaf]]=1,Tasks[[#This Row],[_LeafTotalWork]]&gt;0),NETWORKDAYS.INTL(ProjectStart,Tasks[[#This Row],[_ShownFcstStart]],WorkWeek,Holidays),0)</f>
        <v>0</v>
      </c>
      <c r="FZ27" s="43" t="n">
        <f aca="false">IF(AND(Tasks[[#This Row],[_IsLeaf]]=1,Tasks[[#This Row],[_LeafTotalWork]]&gt;0),MAX(Tasks[[#This Row],[_StartWorkday]],NETWORKDAYS.INTL(ProjectStart,Tasks[[#This Row],[_ShownFcstFinish]],WorkWeek,Holidays)),0)</f>
        <v>0</v>
      </c>
      <c r="GA27" s="43" t="n">
        <f aca="false">IF(AND(Tasks[[#This Row],[_IsLeaf]]=1,Tasks[[#This Row],[_LeafTotalWork]]&gt;0),Tasks[[#This Row],[_LeafWork]]/(Tasks[[#This Row],[_FinishWorkday]]-Tasks[[#This Row],[_StartWorkday]]+1),0)</f>
        <v>0</v>
      </c>
      <c r="GB27" s="43" t="n">
        <f aca="false">Tasks[[#This Row],[_WorkPerWorkday]]*(Tasks[[#This Row],[_StartWorkday]]-1)</f>
        <v>-0</v>
      </c>
      <c r="GC27" s="43" t="n">
        <f aca="false">IF(Tasks[[#This Row],[_IsLeaf]]=1,MAX(N(Tasks[[#This Row],[_Days]]),0.1),0)</f>
        <v>0</v>
      </c>
      <c r="GD27" s="43" t="n">
        <f aca="false">Tasks[[#This Row],[_WeightDur]]*Tasks[[#This Row],[_LeafProgress]]</f>
        <v>0</v>
      </c>
      <c r="GE27" s="43" t="n">
        <f aca="false">Tasks[[#This Row],[_WeightDur]]*Tasks[[#This Row],[_PlannedPct]]</f>
        <v>0</v>
      </c>
      <c r="GF2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7" s="43" t="str">
        <f aca="false">IF(AND(Tasks[[#This Row],[_IsLeaf]]=1,N(Tasks[[#This Row],[_Days]])=0,Tasks[[#This Row],[_LeafProgress]]&lt;1),Tasks[[#This Row],[_ShownFcstFinish]]+Tasks[[#This Row],[_Row]]/100000,"")</f>
        <v/>
      </c>
      <c r="GH2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7" s="43" t="str">
        <f aca="false">IF(Tasks[[#This Row],[Task Name]]="","",LEFT(Tasks[[#This Row],[WBS]],FIND(".",Tasks[[#This Row],[WBS]]&amp;".")-1))</f>
        <v/>
      </c>
      <c r="GJ27" s="43" t="str">
        <f aca="false">IF(AND(Tasks[[#This Row],[Task Name]]&lt;&gt;"",Tasks[[#This Row],[_Level]]=1),Tasks[[#This Row],[_Row]],"")</f>
        <v/>
      </c>
      <c r="GK27" s="43" t="str">
        <f aca="false">IF(AND(Tasks[[#This Row],[_IsLeaf]]=1,N(Tasks[[#This Row],[_Days]])=0),Tasks[[#This Row],[Planned Finish]]+Tasks[[#This Row],[_Row]]/100000,"")</f>
        <v/>
      </c>
      <c r="GL27" s="43" t="str">
        <f aca="false">IF(AND(Tasks[[#This Row],[_IsLeaf]]=1,Tasks[[#This Row],[_LeafProgress]]&lt;1,OR(N(Tasks[[#This Row],[Finish Var]])&gt;0,Tasks[[#This Row],[Status]]="Late Start")),MAX(0,Tasks[[#This Row],[Finish Var]])+1-Tasks[[#This Row],[_Row]]/1000000,"")</f>
        <v/>
      </c>
      <c r="GM27" s="43" t="str">
        <f aca="false">IF(AND(Tasks[[#This Row],[_IsLeaf]]=1,N(Tasks[[#This Row],[Actual Start]])=0,Tasks[[#This Row],[_ShownFcstStart]]&gt;=StatusDate,Tasks[[#This Row],[_ShownFcstStart]]&lt;=LookaheadEnd),Tasks[[#This Row],[_ShownFcstStart]]+Tasks[[#This Row],[_Row]]/100000,"")</f>
        <v/>
      </c>
      <c r="GN27" s="43" t="str">
        <f aca="false">IF(AND(Tasks[[#This Row],[_IsLeaf]]=1,Tasks[[#This Row],[_LeafProgress]]&lt;1,Tasks[[#This Row],[_ShownFcstFinish]]&gt;=StatusDate,Tasks[[#This Row],[_ShownFcstFinish]]&lt;=LookaheadEnd),Tasks[[#This Row],[_ShownFcstFinish]]+Tasks[[#This Row],[_Row]]/100000,"")</f>
        <v/>
      </c>
      <c r="GO27" s="43" t="str">
        <f aca="false">IF(Tasks[[#This Row],[_LeafCritical]],Tasks[[#This Row],[_ShownFcstStart]]+Tasks[[#This Row],[_Row]]/100000,"")</f>
        <v/>
      </c>
      <c r="GP27" s="43" t="n">
        <f aca="false">Tasks[[#This Row],[_LeafWork]]*Tasks[[#This Row],[_LeafProgress]]</f>
        <v>0</v>
      </c>
      <c r="GQ27" s="91" t="str">
        <f aca="false">IF(AND(Tasks[[#This Row],[_IsLeaf]]=1,Tasks[[#This Row],[_LeafProgress]]&gt;=1),IF(N(Tasks[[#This Row],[Actual Finish]])&gt;0,Tasks[[#This Row],[Actual Finish]],Tasks[[#This Row],[_ShownFcstFinish]]),"")</f>
        <v/>
      </c>
      <c r="GR27" s="43" t="n">
        <f aca="false">IF(Tasks[[#This Row],[_IsLeaf]]=1,N(Tasks[[#This Row],[Story Points]]),0)</f>
        <v>0</v>
      </c>
      <c r="GS27" s="43" t="str">
        <f aca="false">""</f>
        <v/>
      </c>
      <c r="GT27" s="90" t="b">
        <f aca="false">IF(Tasks[[#This Row],[Task Name]]="",FALSE(),AND(Tasks[[#This Row],[_IsLeaf]]=1,N(Tasks[[#This Row],[_Days]])=0))</f>
        <v>0</v>
      </c>
      <c r="GU27" s="91" t="n">
        <f aca="false">IF(Tasks[[#This Row],[Task Name]]="",0,IF(AND(Tasks[[#This Row],[_IsLeaf]]=1,NOT(Tasks[[#This Row],[_IsMilestone]]),N(Tasks[[#This Row],[Progress]])&gt;0),Tasks[[#This Row],[Start]],0))</f>
        <v>0</v>
      </c>
      <c r="GV27" s="91" t="n">
        <f aca="false">IF(Tasks[[#This Row],[_DoneFrom]]=0,0,IF(Tasks[[#This Row],[Progress]]&gt;=1,Tasks[[#This Row],[Finish]],MAX(Tasks[[#This Row],[_DoneFrom]],Tasks[[#This Row],[Start]]+ROUND((Tasks[[#This Row],[Finish]]-Tasks[[#This Row],[Start]]+1)*Tasks[[#This Row],[Progress]],0)-1)))</f>
        <v>0</v>
      </c>
      <c r="GW27" s="91" t="n">
        <f aca="false">IF(Tasks[[#This Row],[Task Name]]="",0,IF(OR(NOT(Tasks[[#This Row],[_IsLeaf]]=1),Tasks[[#This Row],[_IsMilestone]],N(Tasks[[#This Row],[Progress]])&gt;=1),0,IF(Tasks[[#This Row],[_DoneTo]]&gt;0,Tasks[[#This Row],[_DoneTo]]+1,Tasks[[#This Row],[Start]])))</f>
        <v>0</v>
      </c>
      <c r="GX27" s="91" t="n">
        <f aca="false">IF(Tasks[[#This Row],[_RemFrom]]=0,0,Tasks[[#This Row],[Finish]])</f>
        <v>0</v>
      </c>
      <c r="GY27" s="90" t="b">
        <f aca="false">IF(Tasks[[#This Row],[Task Name]]="",FALSE(),OR(NOT(BaselineSet),N(Tasks[[#This Row],[Baseline Start]])&gt;0))</f>
        <v>0</v>
      </c>
      <c r="GZ2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7" s="92" t="str">
        <f aca="false">IF(Tasks[[#This Row],[_IsLeaf]]=1,Tasks[[#This Row],[_Row]],"")</f>
        <v/>
      </c>
      <c r="HD27" s="92" t="str">
        <f aca="false">IFERROR(INDEX(Tasks[UID],SMALL(Tasks[_PickKey],Tasks[[#This Row],[_Row]]))&amp;" "&amp;INDEX(Tasks[Task Name],SMALL(Tasks[_PickKey],Tasks[[#This Row],[_Row]])),"")</f>
        <v/>
      </c>
      <c r="HE27" s="43" t="str">
        <f aca="false">IF(Tasks[[#This Row],[Task Name]]="","",IF(Tasks[[#This Row],[_IsSummary]],NETWORKDAYS.INTL(Tasks[[#This Row],[Start]],Tasks[[#This Row],[Finish]],WorkWeek,Holidays),N(Tasks[[#This Row],[_Days]])))</f>
        <v/>
      </c>
      <c r="HF27" s="43" t="n">
        <f aca="false">IF(Tasks[[#This Row],[Expected]]="",0,((Tasks[[#This Row],[Pessimistic]]-Tasks[[#This Row],[Optimistic]])/6)^2)</f>
        <v>0</v>
      </c>
      <c r="HG27" s="43" t="n">
        <f aca="false">IF(Tasks[[#This Row],[Expected]]="",0,Tasks[[#This Row],[Expected]]-N(Tasks[[#This Row],[_Days]]))</f>
        <v>0</v>
      </c>
    </row>
    <row r="28" customFormat="false" ht="15" hidden="false" customHeight="false" outlineLevel="0" collapsed="false">
      <c r="A28" s="21" t="str">
        <f aca="false">IF(Tasks[[#This Row],[Task Name]]="","",COUNTA(Tasks[[#Headers],[Task Name]]:Tasks[[#This Row],[Task Name]])-1)</f>
        <v/>
      </c>
      <c r="B28" s="22" t="n">
        <v>36</v>
      </c>
      <c r="C28" s="22"/>
      <c r="D28" s="23"/>
      <c r="E28" s="22"/>
      <c r="F28" s="23"/>
      <c r="G28" s="22"/>
      <c r="H28" s="22"/>
      <c r="I28" s="23"/>
      <c r="J28" s="22"/>
      <c r="K28" s="22"/>
      <c r="L28" s="23"/>
      <c r="M28" s="22"/>
      <c r="N28" s="22"/>
      <c r="O28" s="23"/>
      <c r="P28" s="22"/>
      <c r="Q28" s="22"/>
      <c r="R28" s="23"/>
      <c r="S28" s="23"/>
      <c r="T28" s="84"/>
      <c r="U28" s="23"/>
      <c r="V28" s="84"/>
      <c r="W28" s="23"/>
      <c r="X28" s="84"/>
      <c r="Y28" s="23"/>
      <c r="Z28" s="84"/>
      <c r="AA28" s="23"/>
      <c r="AB28" s="23"/>
      <c r="AC28" s="7"/>
      <c r="AD28" s="7"/>
      <c r="AE28" s="63" t="str">
        <f aca="false">IF(Tasks[[#This Row],[Task Name]]="","",IF(Tasks[[#This Row],[_IsSummary]],MIN(INDEX(Tasks[_ShownFcstStart],Tasks[[#This Row],[_Row]]+1):INDEX(Tasks[_ShownFcstStart],Tasks[[#This Row],[_Row]]+Tasks[[#This Row],[_Descendants]])),Tasks[[#This Row],[_ShownFcstStart]]))</f>
        <v/>
      </c>
      <c r="AF28" s="63" t="str">
        <f aca="false">IF(Tasks[[#This Row],[Task Name]]="","",IF(Tasks[[#This Row],[_IsSummary]],MAX(INDEX(Tasks[_ShownFcstFinish],Tasks[[#This Row],[_Row]]+1):INDEX(Tasks[_ShownFcstFinish],Tasks[[#This Row],[_Row]]+Tasks[[#This Row],[_Descendants]])),Tasks[[#This Row],[_ShownFcstFinish]]))</f>
        <v/>
      </c>
      <c r="AG28" s="21" t="str">
        <f aca="false">""</f>
        <v/>
      </c>
      <c r="AH28" s="23"/>
      <c r="AI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8" s="7"/>
      <c r="AK28" s="22"/>
      <c r="AL28" s="23"/>
      <c r="AM28" s="7"/>
      <c r="AN28" s="47" t="str">
        <f aca="false">IF(Tasks[[#This Row],[Task Name]]="","",IF(Tasks[[#This Row],[Finish]]&gt;=Tasks[[#This Row],[Planned Finish]],NETWORKDAYS.INTL(Tasks[[#This Row],[Planned Finish]],Tasks[[#This Row],[Finish]],WorkWeek,Holidays)-1,1-NETWORKDAYS.INTL(Tasks[[#This Row],[Finish]],Tasks[[#This Row],[Planned Finish]],WorkWeek,Holidays)))</f>
        <v/>
      </c>
      <c r="AO28" s="21" t="str">
        <f aca="false">IF(Tasks[[#This Row],[Task Name]]="","",IF(Tasks[[#This Row],[Progress]]&gt;=1,"Complete",IF(OR(N(Tasks[[#This Row],[Actual Start]])&gt;0,Tasks[[#This Row],[Progress]]&gt;0),IF(Tasks[[#This Row],[Finish Var]]&gt;0,"Behind","In Progress"),IF(Tasks[[#This Row],[Planned Start]]&lt;StatusDate,"Late Start","Not Started"))))</f>
        <v/>
      </c>
      <c r="AP28" s="21" t="str">
        <f aca="false">IF(Tasks[[#This Row],[Task Name]]="","",IF(IF(Tasks[[#This Row],[_IsSummary]],COUNTIF(INDEX(Tasks[_LeafCritical],Tasks[[#This Row],[_Row]]+1):INDEX(Tasks[_LeafCritical],Tasks[[#This Row],[_Row]]+Tasks[[#This Row],[_Descendants]]),TRUE())&gt;0,Tasks[[#This Row],[_LeafCritical]]),"Yes",""))</f>
        <v/>
      </c>
      <c r="AQ28" s="63" t="str">
        <f aca="false">IF(Tasks[[#This Row],[Task Name]]="","",IF(N(Tasks[[#This Row],[Baseline Start]])&gt;0,Tasks[[#This Row],[Baseline Start]],Tasks[[#This Row],[_CalcStart]]))</f>
        <v/>
      </c>
      <c r="AR28" s="63" t="str">
        <f aca="false">IF(Tasks[[#This Row],[Task Name]]="","",IF(N(Tasks[[#This Row],[Baseline Finish]])&gt;0,Tasks[[#This Row],[Baseline Finish]],Tasks[[#This Row],[_CalcFinish]]))</f>
        <v/>
      </c>
      <c r="AS28" s="47" t="str">
        <f aca="false">IF(Tasks[[#This Row],[Task Name]]="","",IF(Tasks[[#This Row],[Start]]&gt;=Tasks[[#This Row],[Planned Start]],NETWORKDAYS.INTL(Tasks[[#This Row],[Planned Start]],Tasks[[#This Row],[Start]],WorkWeek,Holidays)-1,1-NETWORKDAYS.INTL(Tasks[[#This Row],[Start]],Tasks[[#This Row],[Planned Start]],WorkWeek,Holidays)))</f>
        <v/>
      </c>
      <c r="AT28" s="63" t="str">
        <f aca="false">IF(Tasks[[#This Row],[Task Name]]="","",IF(Tasks[[#This Row],[_IsSummary]],MIN(INDEX(Tasks[_LeafLateStart],Tasks[[#This Row],[_Row]]+1):INDEX(Tasks[_LeafLateStart],Tasks[[#This Row],[_Row]]+Tasks[[#This Row],[_Descendants]])),Tasks[[#This Row],[_LeafLateStart]]))</f>
        <v/>
      </c>
      <c r="AU28" s="63" t="str">
        <f aca="false">IF(Tasks[[#This Row],[Task Name]]="","",IF(Tasks[[#This Row],[_IsSummary]],MAX(INDEX(Tasks[_LeafLateFinish],Tasks[[#This Row],[_Row]]+1):INDEX(Tasks[_LeafLateFinish],Tasks[[#This Row],[_Row]]+Tasks[[#This Row],[_Descendants]])),Tasks[[#This Row],[_LeafLateFinish]]))</f>
        <v/>
      </c>
      <c r="AV28" s="47" t="str">
        <f aca="false">IF(Tasks[[#This Row],[Task Name]]="","",IF(Tasks[[#This Row],[_IsSummary]],MIN(INDEX(Tasks[_LeafTotalSlack],Tasks[[#This Row],[_Row]]+1):INDEX(Tasks[_LeafTotalSlack],Tasks[[#This Row],[_Row]]+Tasks[[#This Row],[_Descendants]])),Tasks[[#This Row],[_LeafTotalSlack]]))</f>
        <v/>
      </c>
      <c r="AW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5"/>
      <c r="BA2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1" t="str">
        <f aca="false">IF(Tasks[[#This Row],[Task Name]]="","",IF(Tasks[[#This Row],[_Level]]&lt;=OutlineShowLevel,"Yes","No"))</f>
        <v/>
      </c>
      <c r="BE28" s="86" t="str">
        <f aca="false">IF(Tasks[[#This Row],[Task Name]]="","",IF(Tasks[[#This Row],[_IsSummary]],SUM(INDEX(Tasks[_LeafTotalWork],Tasks[[#This Row],[_Row]]+1):INDEX(Tasks[_LeafTotalWork],Tasks[[#This Row],[_Row]]+Tasks[[#This Row],[_Descendants]])),Tasks[[#This Row],[_LeafTotalWork]]))</f>
        <v/>
      </c>
      <c r="BF28" s="23"/>
      <c r="BG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8" s="21" t="str">
        <f aca="false">""</f>
        <v/>
      </c>
      <c r="BI28" s="87"/>
      <c r="BJ28" s="22"/>
      <c r="BK28" s="47" t="str">
        <f aca="false">IF(OR(Tasks[[#This Row],[Task Name]]="",Tasks[[#This Row],[Baseline Duration]]=""),"",Tasks[[#This Row],[_SpanDays]]-N(Tasks[[#This Row],[Baseline Duration]]))</f>
        <v/>
      </c>
      <c r="BL28" s="86" t="str">
        <f aca="false">IF(OR(Tasks[[#This Row],[Task Name]]="",Tasks[[#This Row],[Baseline Work]]=""),"",Tasks[[#This Row],[Work]]-N(Tasks[[#This Row],[Baseline Work]]))</f>
        <v/>
      </c>
      <c r="BM28" s="63" t="str">
        <f aca="false">IF(Tasks[[#This Row],[Task Name]]="","",IF(OR(TakeBaseline="Yes",N(Tasks[[#This Row],[Baseline Start]])=0),Tasks[[#This Row],[Start]],Tasks[[#This Row],[Baseline Start]]))</f>
        <v/>
      </c>
      <c r="BN28" s="63" t="str">
        <f aca="false">IF(Tasks[[#This Row],[Task Name]]="","",IF(OR(TakeBaseline="Yes",N(Tasks[[#This Row],[Baseline Finish]])=0),Tasks[[#This Row],[Finish]],Tasks[[#This Row],[Baseline Finish]]))</f>
        <v/>
      </c>
      <c r="BO28" s="21" t="str">
        <f aca="false">IF(Tasks[[#This Row],[Task Name]]="","",IF(OR(TakeBaseline="Yes",N(Tasks[[#This Row],[Baseline Duration]])=0),Tasks[[#This Row],[_SpanDays]],Tasks[[#This Row],[Baseline Duration]]))</f>
        <v/>
      </c>
      <c r="BP28" s="86" t="str">
        <f aca="false">IF(Tasks[[#This Row],[Task Name]]="","",IF(OR(TakeBaseline="Yes",N(Tasks[[#This Row],[Baseline Work]])=0),Tasks[[#This Row],[Work]],Tasks[[#This Row],[Baseline Work]]))</f>
        <v/>
      </c>
      <c r="BQ28" s="7"/>
      <c r="BR28" s="7"/>
      <c r="BS28" s="22"/>
      <c r="BT28" s="88"/>
      <c r="BU28" s="23"/>
      <c r="BV28" s="23"/>
      <c r="BW28" s="23"/>
      <c r="BX28" s="89" t="str">
        <f aca="false">IF(AND(Tasks[[#This Row],[_IsLeaf]]=1,ISNUMBER(Tasks[[#This Row],[Optimistic]]),ISNUMBER(Tasks[[#This Row],[Pessimistic]])),ROUND((Tasks[[#This Row],[Optimistic]]+4*N(Tasks[[#This Row],[_Days]])+Tasks[[#This Row],[Pessimistic]])/6,1),"")</f>
        <v/>
      </c>
      <c r="BY28" s="87"/>
      <c r="BZ28" s="87"/>
      <c r="CA28" s="22"/>
      <c r="CB28" s="43" t="str">
        <f aca="false">IF(Tasks[[#This Row],[Task Name]]="","",MAX(1,N(Tasks[[#This Row],[Level]])))</f>
        <v/>
      </c>
      <c r="CC28" s="43" t="n">
        <f aca="false">ROW()-ROW(Tasks[[#Headers],[ID]])</f>
        <v>23</v>
      </c>
      <c r="CD28" s="43" t="n">
        <f aca="false">IF(OR(Tasks[[#This Row],[Task Name]]="",Tasks[[#This Row],[_Level]]&lt;=1),0,IFERROR(LOOKUP(2,1/(Tasks[[#Headers],[_Level]]:Tasks[[#This Row],[_Level]]=Tasks[[#This Row],[_Level]]-1),ROW(Tasks[[#Headers],[_Level]]:Tasks[[#This Row],[_Level]])),0))</f>
        <v>0</v>
      </c>
      <c r="CE28" s="43" t="n">
        <f aca="false">IFERROR(N(INDEX(Tasks[_Level],Tasks[[#This Row],[_Row]]+1)),0)</f>
        <v>0</v>
      </c>
      <c r="CF28" s="90" t="b">
        <f aca="false">AND(Tasks[[#This Row],[Task Name]]&lt;&gt;"",Tasks[[#This Row],[_NextLevel]]&gt;Tasks[[#This Row],[_Level]])</f>
        <v>0</v>
      </c>
      <c r="CG28" s="43" t="n">
        <f aca="false">IF(Tasks[[#This Row],[_IsSummary]],COUNTIF(Tasks[WBS],Tasks[[#This Row],[WBS]]&amp;".*"),0)</f>
        <v>0</v>
      </c>
      <c r="CH28" s="43" t="n">
        <f aca="false">IF(AND(Tasks[[#This Row],[Task Name]]&lt;&gt;"",NOT(Tasks[[#This Row],[_IsSummary]])),1,0)</f>
        <v>0</v>
      </c>
      <c r="CI28" s="43" t="n">
        <f aca="false">IF(N(Tasks[[#This Row],[_Pred1UID]])=0,0,IFERROR(MATCH(Tasks[[#This Row],[_Pred1UID]],Tasks[UID],0),-1))</f>
        <v>0</v>
      </c>
      <c r="CJ28" s="43" t="n">
        <f aca="false">IF(N(Tasks[[#This Row],[_Pred2UID]])=0,0,IFERROR(MATCH(Tasks[[#This Row],[_Pred2UID]],Tasks[UID],0),-1))</f>
        <v>0</v>
      </c>
      <c r="CK28" s="43" t="n">
        <f aca="false">IF(N(Tasks[[#This Row],[_Pred3UID]])=0,0,IFERROR(MATCH(Tasks[[#This Row],[_Pred3UID]],Tasks[UID],0),-1))</f>
        <v>0</v>
      </c>
      <c r="CL28" s="43" t="n">
        <f aca="false">IF(N(Tasks[[#This Row],[_Pred4UID]])=0,0,IFERROR(MATCH(Tasks[[#This Row],[_Pred4UID]],Tasks[UID],0),-1))</f>
        <v>0</v>
      </c>
      <c r="CM2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8" s="91" t="n">
        <f aca="false">IF(OR(Tasks[[#This Row],[_ConstraintCode]]=2,Tasks[[#This Row],[_ConstraintCode]]=3,Tasks[[#This Row],[_ConstraintCode]]=4,Tasks[[#This Row],[_ConstraintCode]]=6),Tasks[[#This Row],[_ConstraintStart]],0)</f>
        <v>0</v>
      </c>
      <c r="CP28" s="91" t="n">
        <f aca="false">IF(OR(Tasks[[#This Row],[_ConstraintCode]]=2,Tasks[[#This Row],[_ConstraintCode]]=3,Tasks[[#This Row],[_ConstraintCode]]=5,Tasks[[#This Row],[_ConstraintCode]]=7),Tasks[[#This Row],[_ConstraintStart]],2958465)</f>
        <v>2958465</v>
      </c>
      <c r="CQ2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8" s="91" t="str">
        <f aca="false">IF(NOT(Tasks[[#This Row],[_IsLeaf]]=1),"",IF(N(Tasks[[#This Row],[_Days]])&lt;=0,Tasks[[#This Row],[_LeafCalcStart]],WORKDAY.INTL(Tasks[[#This Row],[_LeafCalcStart]],Tasks[[#This Row],[_Days]]-1,WorkWeek,Holidays)))</f>
        <v/>
      </c>
      <c r="CS2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8" s="43" t="str">
        <f aca="false">IF(Tasks[[#This Row],[_Predecessors]]="","",TRIM(MID(SUBSTITUTE(SUBSTITUTE(SUBSTITUTE(UPPER(Tasks[[#This Row],[_Predecessors]]),";",",")," ",""),",",REPT(" ",99)),1,99)))</f>
        <v/>
      </c>
      <c r="CV28" s="43" t="str">
        <f aca="false">IF(Tasks[[#This Row],[_Pred1Text]]="","",IFERROR(VALUE(LEFT(Tasks[[#This Row],[_Pred1Text]],MIN(FIND("F",Tasks[[#This Row],[_Pred1Text]]&amp;"F"),FIND("S",Tasks[[#This Row],[_Pred1Text]]&amp;"S"),FIND("+",Tasks[[#This Row],[_Pred1Text]]&amp;"+"),FIND("-",Tasks[[#This Row],[_Pred1Text]]&amp;"-"))-1)),""))</f>
        <v/>
      </c>
      <c r="CW2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8" s="43" t="str">
        <f aca="false">IF(Tasks[[#This Row],[_Pred1Text]]="","",TRIM(MID(SUBSTITUTE(SUBSTITUTE(SUBSTITUTE(UPPER(Tasks[[#This Row],[_Predecessors]]),";",",")," ",""),",",REPT(" ",99)),100,99)))</f>
        <v/>
      </c>
      <c r="CZ28" s="43" t="str">
        <f aca="false">IF(Tasks[[#This Row],[_Pred2Text]]="","",IFERROR(VALUE(LEFT(Tasks[[#This Row],[_Pred2Text]],MIN(FIND("F",Tasks[[#This Row],[_Pred2Text]]&amp;"F"),FIND("S",Tasks[[#This Row],[_Pred2Text]]&amp;"S"),FIND("+",Tasks[[#This Row],[_Pred2Text]]&amp;"+"),FIND("-",Tasks[[#This Row],[_Pred2Text]]&amp;"-"))-1)),""))</f>
        <v/>
      </c>
      <c r="DA2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8" s="43" t="str">
        <f aca="false">IF(Tasks[[#This Row],[_Pred2Text]]="","",TRIM(MID(SUBSTITUTE(SUBSTITUTE(SUBSTITUTE(UPPER(Tasks[[#This Row],[_Predecessors]]),";",",")," ",""),",",REPT(" ",99)),199,99)))</f>
        <v/>
      </c>
      <c r="DD28" s="43" t="str">
        <f aca="false">IF(Tasks[[#This Row],[_Pred3Text]]="","",IFERROR(VALUE(LEFT(Tasks[[#This Row],[_Pred3Text]],MIN(FIND("F",Tasks[[#This Row],[_Pred3Text]]&amp;"F"),FIND("S",Tasks[[#This Row],[_Pred3Text]]&amp;"S"),FIND("+",Tasks[[#This Row],[_Pred3Text]]&amp;"+"),FIND("-",Tasks[[#This Row],[_Pred3Text]]&amp;"-"))-1)),""))</f>
        <v/>
      </c>
      <c r="DE2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8" s="43" t="str">
        <f aca="false">IF(Tasks[[#This Row],[_Pred3Text]]="","",TRIM(MID(SUBSTITUTE(SUBSTITUTE(SUBSTITUTE(UPPER(Tasks[[#This Row],[_Predecessors]]),";",",")," ",""),",",REPT(" ",99)),298,99)))</f>
        <v/>
      </c>
      <c r="DH28" s="43" t="str">
        <f aca="false">IF(Tasks[[#This Row],[_Pred4Text]]="","",IFERROR(VALUE(LEFT(Tasks[[#This Row],[_Pred4Text]],MIN(FIND("F",Tasks[[#This Row],[_Pred4Text]]&amp;"F"),FIND("S",Tasks[[#This Row],[_Pred4Text]]&amp;"S"),FIND("+",Tasks[[#This Row],[_Pred4Text]]&amp;"+"),FIND("-",Tasks[[#This Row],[_Pred4Text]]&amp;"-"))-1)),""))</f>
        <v/>
      </c>
      <c r="DI2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8" s="43" t="str">
        <f aca="false">IF(OR(Tasks[[#This Row],[Task Name]]="",Tasks[[#This Row],[_Resources]]=""),"",TRIM(MID(SUBSTITUTE(Tasks[[#This Row],[_Resources]],",",REPT(" ",99)),1,99)))</f>
        <v/>
      </c>
      <c r="DL28" s="43" t="str">
        <f aca="false">IF(Tasks[[#This Row],[_Res1Text]]="","",TRIM(MID(SUBSTITUTE(Tasks[[#This Row],[_Resources]],",",REPT(" ",99)),100,99)))</f>
        <v/>
      </c>
      <c r="DM28" s="43" t="str">
        <f aca="false">IF(Tasks[[#This Row],[_Res2Text]]="","",TRIM(MID(SUBSTITUTE(Tasks[[#This Row],[_Resources]],",",REPT(" ",99)),199,99)))</f>
        <v/>
      </c>
      <c r="DN28" s="43" t="str">
        <f aca="false">IF(Tasks[[#This Row],[_Res3Text]]="","",TRIM(MID(SUBSTITUTE(Tasks[[#This Row],[_Resources]],",",REPT(" ",99)),298,99)))</f>
        <v/>
      </c>
      <c r="DO28" s="43" t="n">
        <f aca="false">IF(Tasks[[#This Row],[_Res1Text]]="",0,IFERROR(MATCH(TRIM(LEFT(Tasks[[#This Row],[_Res1Text]],FIND("[",Tasks[[#This Row],[_Res1Text]]&amp;"[")-1)),res_Name,0),IFERROR(MATCH(TRIM(LEFT(Tasks[[#This Row],[_Res1Text]],FIND("[",Tasks[[#This Row],[_Res1Text]]&amp;"[")-1)),res_Initials,0),0)))</f>
        <v>0</v>
      </c>
      <c r="DP28" s="43" t="n">
        <f aca="false">IF(Tasks[[#This Row],[_Res2Text]]="",0,IFERROR(MATCH(TRIM(LEFT(Tasks[[#This Row],[_Res2Text]],FIND("[",Tasks[[#This Row],[_Res2Text]]&amp;"[")-1)),res_Name,0),IFERROR(MATCH(TRIM(LEFT(Tasks[[#This Row],[_Res2Text]],FIND("[",Tasks[[#This Row],[_Res2Text]]&amp;"[")-1)),res_Initials,0),0)))</f>
        <v>0</v>
      </c>
      <c r="DQ28" s="43" t="n">
        <f aca="false">IF(Tasks[[#This Row],[_Res3Text]]="",0,IFERROR(MATCH(TRIM(LEFT(Tasks[[#This Row],[_Res3Text]],FIND("[",Tasks[[#This Row],[_Res3Text]]&amp;"[")-1)),res_Name,0),IFERROR(MATCH(TRIM(LEFT(Tasks[[#This Row],[_Res3Text]],FIND("[",Tasks[[#This Row],[_Res3Text]]&amp;"[")-1)),res_Initials,0),0)))</f>
        <v>0</v>
      </c>
      <c r="DR28" s="43" t="n">
        <f aca="false">IF(Tasks[[#This Row],[_Res4Text]]="",0,IFERROR(MATCH(TRIM(LEFT(Tasks[[#This Row],[_Res4Text]],FIND("[",Tasks[[#This Row],[_Res4Text]]&amp;"[")-1)),res_Name,0),IFERROR(MATCH(TRIM(LEFT(Tasks[[#This Row],[_Res4Text]],FIND("[",Tasks[[#This Row],[_Res4Text]]&amp;"[")-1)),res_Initials,0),0)))</f>
        <v>0</v>
      </c>
      <c r="DS28" s="43" t="str">
        <f aca="false">IF(Tasks[[#This Row],[_Res1Text]]="","",IF(Tasks[[#This Row],[_Res1Row]]&gt;0,INDEX(res_Name,Tasks[[#This Row],[_Res1Row]]),TRIM(LEFT(Tasks[[#This Row],[_Res1Text]],FIND("[",Tasks[[#This Row],[_Res1Text]]&amp;"[")-1))))</f>
        <v/>
      </c>
      <c r="DT2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8" s="43" t="n">
        <f aca="false">IF(NOT(Tasks[[#This Row],[_IsLeaf]]=1),0,(Tasks[[#This Row],[_Resource1]]&lt;&gt;"")+(Tasks[[#This Row],[_Res2]]&lt;&gt;"")+(Tasks[[#This Row],[_Res3]]&lt;&gt;"")+(Tasks[[#This Row],[_Res4]]&lt;&gt;""))</f>
        <v>0</v>
      </c>
      <c r="DV28" s="43" t="str">
        <f aca="false">IF(Tasks[[#This Row],[_Res2Text]]="","",IF(Tasks[[#This Row],[_Res2Row]]&gt;0,INDEX(res_Name,Tasks[[#This Row],[_Res2Row]]),TRIM(LEFT(Tasks[[#This Row],[_Res2Text]],FIND("[",Tasks[[#This Row],[_Res2Text]]&amp;"[")-1))))</f>
        <v/>
      </c>
      <c r="DW2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8" s="43" t="n">
        <f aca="false">IF(OR(NOT(Tasks[[#This Row],[_IsLeaf]]=1),Tasks[[#This Row],[_Res2Row]]=0),0,N(Tasks[[#This Row],[_Days]])*HoursPerDay*IF(Tasks[[#This Row],[_Res2Units]]="",DefaultUnits,Tasks[[#This Row],[_Res2Units]]))</f>
        <v>0</v>
      </c>
      <c r="DY28" s="43" t="n">
        <f aca="false">IF(AND(AND(Tasks[[#This Row],[_IsLeaf]]=1,Tasks[[#This Row],[_LeafTotalWork]]&gt;0),Tasks[[#This Row],[_Res2Work]]&gt;0),Tasks[[#This Row],[_Res2Work]]/(Tasks[[#This Row],[_FinishWorkday]]-Tasks[[#This Row],[_StartWorkday]]+1),0)</f>
        <v>0</v>
      </c>
      <c r="DZ28" s="43" t="n">
        <f aca="false">Tasks[[#This Row],[_Res2WorkPerWD]]*MAX(0,Tasks[[#This Row],[_StartWorkday]]-1)</f>
        <v>0</v>
      </c>
      <c r="EA28" s="43" t="n">
        <f aca="false">Tasks[[#This Row],[_Res2Work]]*Tasks[[#This Row],[_LeafProgress]]</f>
        <v>0</v>
      </c>
      <c r="EB28" s="43" t="str">
        <f aca="false">IF(Tasks[[#This Row],[_Res3Text]]="","",IF(Tasks[[#This Row],[_Res3Row]]&gt;0,INDEX(res_Name,Tasks[[#This Row],[_Res3Row]]),TRIM(LEFT(Tasks[[#This Row],[_Res3Text]],FIND("[",Tasks[[#This Row],[_Res3Text]]&amp;"[")-1))))</f>
        <v/>
      </c>
      <c r="EC2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8" s="43" t="n">
        <f aca="false">IF(OR(NOT(Tasks[[#This Row],[_IsLeaf]]=1),Tasks[[#This Row],[_Res3Row]]=0),0,N(Tasks[[#This Row],[_Days]])*HoursPerDay*IF(Tasks[[#This Row],[_Res3Units]]="",DefaultUnits,Tasks[[#This Row],[_Res3Units]]))</f>
        <v>0</v>
      </c>
      <c r="EE28" s="43" t="n">
        <f aca="false">IF(AND(AND(Tasks[[#This Row],[_IsLeaf]]=1,Tasks[[#This Row],[_LeafTotalWork]]&gt;0),Tasks[[#This Row],[_Res3Work]]&gt;0),Tasks[[#This Row],[_Res3Work]]/(Tasks[[#This Row],[_FinishWorkday]]-Tasks[[#This Row],[_StartWorkday]]+1),0)</f>
        <v>0</v>
      </c>
      <c r="EF28" s="43" t="n">
        <f aca="false">Tasks[[#This Row],[_Res3WorkPerWD]]*MAX(0,Tasks[[#This Row],[_StartWorkday]]-1)</f>
        <v>0</v>
      </c>
      <c r="EG28" s="43" t="n">
        <f aca="false">Tasks[[#This Row],[_Res3Work]]*Tasks[[#This Row],[_LeafProgress]]</f>
        <v>0</v>
      </c>
      <c r="EH28" s="43" t="str">
        <f aca="false">IF(Tasks[[#This Row],[_Res4Text]]="","",IF(Tasks[[#This Row],[_Res4Row]]&gt;0,INDEX(res_Name,Tasks[[#This Row],[_Res4Row]]),TRIM(LEFT(Tasks[[#This Row],[_Res4Text]],FIND("[",Tasks[[#This Row],[_Res4Text]]&amp;"[")-1))))</f>
        <v/>
      </c>
      <c r="EI2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8" s="43" t="n">
        <f aca="false">IF(OR(NOT(Tasks[[#This Row],[_IsLeaf]]=1),Tasks[[#This Row],[_Res4Row]]=0),0,N(Tasks[[#This Row],[_Days]])*HoursPerDay*IF(Tasks[[#This Row],[_Res4Units]]="",DefaultUnits,Tasks[[#This Row],[_Res4Units]]))</f>
        <v>0</v>
      </c>
      <c r="EK28" s="43" t="n">
        <f aca="false">IF(AND(AND(Tasks[[#This Row],[_IsLeaf]]=1,Tasks[[#This Row],[_LeafTotalWork]]&gt;0),Tasks[[#This Row],[_Res4Work]]&gt;0),Tasks[[#This Row],[_Res4Work]]/(Tasks[[#This Row],[_FinishWorkday]]-Tasks[[#This Row],[_StartWorkday]]+1),0)</f>
        <v>0</v>
      </c>
      <c r="EL28" s="43" t="n">
        <f aca="false">Tasks[[#This Row],[_Res4WorkPerWD]]*MAX(0,Tasks[[#This Row],[_StartWorkday]]-1)</f>
        <v>0</v>
      </c>
      <c r="EM28" s="43" t="n">
        <f aca="false">Tasks[[#This Row],[_Res4Work]]*Tasks[[#This Row],[_LeafProgress]]</f>
        <v>0</v>
      </c>
      <c r="EN28" s="43" t="n">
        <f aca="false">IF(ISNUMBER(Tasks[[#This Row],[% Complete]]),Tasks[[#This Row],[% Complete]],IF(Tasks[[#This Row],[Stage]]="",0,IFERROR(INDEX(stg_Pct,MATCH(Tasks[[#This Row],[Stage]],stg_Name,0)),0)))</f>
        <v>0</v>
      </c>
      <c r="EO28" s="43" t="n">
        <f aca="false">IF(NOT(Tasks[[#This Row],[_IsLeaf]]=1),0,IF(N(Tasks[[#This Row],[Actual Finish]])&gt;0,1,MIN(1,Tasks[[#This Row],[_Pct]])))</f>
        <v>0</v>
      </c>
      <c r="EP28" s="43" t="n">
        <f aca="false">IF(OR(NOT(Tasks[[#This Row],[_IsLeaf]]=1),Tasks[[#This Row],[_Res1Row]]=0),0,N(Tasks[[#This Row],[_Days]])*HoursPerDay*IF(Tasks[[#This Row],[_Units1]]="",DefaultUnits,Tasks[[#This Row],[_Units1]]))</f>
        <v>0</v>
      </c>
      <c r="EQ28" s="43" t="n">
        <f aca="false">Tasks[[#This Row],[_LeafWork]]+Tasks[[#This Row],[_Res2Work]]+Tasks[[#This Row],[_Res3Work]]+Tasks[[#This Row],[_Res4Work]]</f>
        <v>0</v>
      </c>
      <c r="ER2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8" s="43" t="n">
        <f aca="false">IF(NOT(Tasks[[#This Row],[_IsLeaf]]=1),0,MAX(_xlfn.MAXIFS(Tasks[_Row],Tasks[_Pred1UID],Tasks[[#This Row],[UID]]),_xlfn.MAXIFS(Tasks[_Row],Tasks[_Pred2UID],Tasks[[#This Row],[UID]]),_xlfn.MAXIFS(Tasks[_Row],Tasks[_Pred3UID],Tasks[[#This Row],[UID]]),_xlfn.MAXIFS(Tasks[_Row],Tasks[_Pred4UID],Tasks[[#This Row],[UID]])))</f>
        <v>0</v>
      </c>
      <c r="FA2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8" s="91" t="str">
        <f aca="false">IF(NOT(Tasks[[#This Row],[_IsLeaf]]=1),"",IF(N(Tasks[[#This Row],[_Days]])&lt;=0,Tasks[[#This Row],[_LeafLateFinish]],WORKDAY.INTL(Tasks[[#This Row],[_LeafLateFinish]],-(Tasks[[#This Row],[_Days]]-1),WorkWeek,Holidays)))</f>
        <v/>
      </c>
      <c r="FD2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8" s="90" t="b">
        <f aca="false">AND(Tasks[[#This Row],[_IsLeaf]]=1,Tasks[[#This Row],[_LeafProgress]]&lt;1,N(Tasks[[#This Row],[_LeafTotalSlack]])&lt;=CriticalSlackDays)</f>
        <v>0</v>
      </c>
      <c r="FF28" s="43" t="n">
        <f aca="false">IF(AND(Tasks[[#This Row],[_IsLeaf]]=1,Tasks[[#This Row],[_ConstraintCode]]=1,Tasks[[#This Row],[Mode]]&lt;&gt;"Manual",N(Tasks[[#This Row],[Actual Start]])=0),MAX(0,N(Tasks[[#This Row],[Free Slack]])),0)</f>
        <v>0</v>
      </c>
      <c r="FG28" s="91" t="str">
        <f aca="false">IF(NOT(Tasks[[#This Row],[_IsLeaf]]=1),"",IF(Tasks[[#This Row],[_AlapShift]]=0,Tasks[[#This Row],[_LeafCalcStart]],WORKDAY.INTL(Tasks[[#This Row],[_LeafCalcStart]],Tasks[[#This Row],[_AlapShift]],WorkWeek,Holidays)))</f>
        <v/>
      </c>
      <c r="FH28" s="91" t="str">
        <f aca="false">IF(NOT(Tasks[[#This Row],[_IsLeaf]]=1),"",IF(Tasks[[#This Row],[_AlapShift]]=0,Tasks[[#This Row],[_LeafCalcFinish]],WORKDAY.INTL(Tasks[[#This Row],[_LeafCalcFinish]],Tasks[[#This Row],[_AlapShift]],WorkWeek,Holidays)))</f>
        <v/>
      </c>
      <c r="FI28" s="91" t="str">
        <f aca="false">IF(NOT(Tasks[[#This Row],[_IsLeaf]]=1),"",IF(Tasks[[#This Row],[_AlapShift]]=0,Tasks[[#This Row],[_LeafFcstStart]],WORKDAY.INTL(Tasks[[#This Row],[_LeafFcstStart]],Tasks[[#This Row],[_AlapShift]],WorkWeek,Holidays)))</f>
        <v/>
      </c>
      <c r="FJ28" s="91" t="str">
        <f aca="false">IF(NOT(Tasks[[#This Row],[_IsLeaf]]=1),"",IF(Tasks[[#This Row],[_AlapShift]]=0,Tasks[[#This Row],[_LeafFcstFinish]],WORKDAY.INTL(Tasks[[#This Row],[_LeafFcstFinish]],Tasks[[#This Row],[_AlapShift]],WorkWeek,Holidays)))</f>
        <v/>
      </c>
      <c r="FK28" s="91" t="str">
        <f aca="false">IF(Tasks[[#This Row],[Task Name]]="","",IF(Tasks[[#This Row],[_IsSummary]],MIN(INDEX(Tasks[_ShownCalcStart],Tasks[[#This Row],[_Row]]+1):INDEX(Tasks[_ShownCalcStart],Tasks[[#This Row],[_Row]]+Tasks[[#This Row],[_Descendants]])),Tasks[[#This Row],[_ShownCalcStart]]))</f>
        <v/>
      </c>
      <c r="FL28" s="91" t="str">
        <f aca="false">IF(Tasks[[#This Row],[Task Name]]="","",IF(Tasks[[#This Row],[_IsSummary]],MAX(INDEX(Tasks[_ShownCalcFinish],Tasks[[#This Row],[_Row]]+1):INDEX(Tasks[_ShownCalcFinish],Tasks[[#This Row],[_Row]]+Tasks[[#This Row],[_Descendants]])),Tasks[[#This Row],[_ShownCalcFinish]]))</f>
        <v/>
      </c>
      <c r="FM2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8" s="43" t="n">
        <f aca="false">IF(AND(Tasks[[#This Row],[_IsLeaf]]=1,Tasks[[#This Row],[_LeafTotalWork]]&gt;0),NETWORKDAYS.INTL(ProjectStart,Tasks[[#This Row],[_ShownFcstStart]],WorkWeek,Holidays),0)</f>
        <v>0</v>
      </c>
      <c r="FZ28" s="43" t="n">
        <f aca="false">IF(AND(Tasks[[#This Row],[_IsLeaf]]=1,Tasks[[#This Row],[_LeafTotalWork]]&gt;0),MAX(Tasks[[#This Row],[_StartWorkday]],NETWORKDAYS.INTL(ProjectStart,Tasks[[#This Row],[_ShownFcstFinish]],WorkWeek,Holidays)),0)</f>
        <v>0</v>
      </c>
      <c r="GA28" s="43" t="n">
        <f aca="false">IF(AND(Tasks[[#This Row],[_IsLeaf]]=1,Tasks[[#This Row],[_LeafTotalWork]]&gt;0),Tasks[[#This Row],[_LeafWork]]/(Tasks[[#This Row],[_FinishWorkday]]-Tasks[[#This Row],[_StartWorkday]]+1),0)</f>
        <v>0</v>
      </c>
      <c r="GB28" s="43" t="n">
        <f aca="false">Tasks[[#This Row],[_WorkPerWorkday]]*(Tasks[[#This Row],[_StartWorkday]]-1)</f>
        <v>-0</v>
      </c>
      <c r="GC28" s="43" t="n">
        <f aca="false">IF(Tasks[[#This Row],[_IsLeaf]]=1,MAX(N(Tasks[[#This Row],[_Days]]),0.1),0)</f>
        <v>0</v>
      </c>
      <c r="GD28" s="43" t="n">
        <f aca="false">Tasks[[#This Row],[_WeightDur]]*Tasks[[#This Row],[_LeafProgress]]</f>
        <v>0</v>
      </c>
      <c r="GE28" s="43" t="n">
        <f aca="false">Tasks[[#This Row],[_WeightDur]]*Tasks[[#This Row],[_PlannedPct]]</f>
        <v>0</v>
      </c>
      <c r="GF2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8" s="43" t="str">
        <f aca="false">IF(AND(Tasks[[#This Row],[_IsLeaf]]=1,N(Tasks[[#This Row],[_Days]])=0,Tasks[[#This Row],[_LeafProgress]]&lt;1),Tasks[[#This Row],[_ShownFcstFinish]]+Tasks[[#This Row],[_Row]]/100000,"")</f>
        <v/>
      </c>
      <c r="GH2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8" s="43" t="str">
        <f aca="false">IF(Tasks[[#This Row],[Task Name]]="","",LEFT(Tasks[[#This Row],[WBS]],FIND(".",Tasks[[#This Row],[WBS]]&amp;".")-1))</f>
        <v/>
      </c>
      <c r="GJ28" s="43" t="str">
        <f aca="false">IF(AND(Tasks[[#This Row],[Task Name]]&lt;&gt;"",Tasks[[#This Row],[_Level]]=1),Tasks[[#This Row],[_Row]],"")</f>
        <v/>
      </c>
      <c r="GK28" s="43" t="str">
        <f aca="false">IF(AND(Tasks[[#This Row],[_IsLeaf]]=1,N(Tasks[[#This Row],[_Days]])=0),Tasks[[#This Row],[Planned Finish]]+Tasks[[#This Row],[_Row]]/100000,"")</f>
        <v/>
      </c>
      <c r="GL28" s="43" t="str">
        <f aca="false">IF(AND(Tasks[[#This Row],[_IsLeaf]]=1,Tasks[[#This Row],[_LeafProgress]]&lt;1,OR(N(Tasks[[#This Row],[Finish Var]])&gt;0,Tasks[[#This Row],[Status]]="Late Start")),MAX(0,Tasks[[#This Row],[Finish Var]])+1-Tasks[[#This Row],[_Row]]/1000000,"")</f>
        <v/>
      </c>
      <c r="GM28" s="43" t="str">
        <f aca="false">IF(AND(Tasks[[#This Row],[_IsLeaf]]=1,N(Tasks[[#This Row],[Actual Start]])=0,Tasks[[#This Row],[_ShownFcstStart]]&gt;=StatusDate,Tasks[[#This Row],[_ShownFcstStart]]&lt;=LookaheadEnd),Tasks[[#This Row],[_ShownFcstStart]]+Tasks[[#This Row],[_Row]]/100000,"")</f>
        <v/>
      </c>
      <c r="GN28" s="43" t="str">
        <f aca="false">IF(AND(Tasks[[#This Row],[_IsLeaf]]=1,Tasks[[#This Row],[_LeafProgress]]&lt;1,Tasks[[#This Row],[_ShownFcstFinish]]&gt;=StatusDate,Tasks[[#This Row],[_ShownFcstFinish]]&lt;=LookaheadEnd),Tasks[[#This Row],[_ShownFcstFinish]]+Tasks[[#This Row],[_Row]]/100000,"")</f>
        <v/>
      </c>
      <c r="GO28" s="43" t="str">
        <f aca="false">IF(Tasks[[#This Row],[_LeafCritical]],Tasks[[#This Row],[_ShownFcstStart]]+Tasks[[#This Row],[_Row]]/100000,"")</f>
        <v/>
      </c>
      <c r="GP28" s="43" t="n">
        <f aca="false">Tasks[[#This Row],[_LeafWork]]*Tasks[[#This Row],[_LeafProgress]]</f>
        <v>0</v>
      </c>
      <c r="GQ28" s="91" t="str">
        <f aca="false">IF(AND(Tasks[[#This Row],[_IsLeaf]]=1,Tasks[[#This Row],[_LeafProgress]]&gt;=1),IF(N(Tasks[[#This Row],[Actual Finish]])&gt;0,Tasks[[#This Row],[Actual Finish]],Tasks[[#This Row],[_ShownFcstFinish]]),"")</f>
        <v/>
      </c>
      <c r="GR28" s="43" t="n">
        <f aca="false">IF(Tasks[[#This Row],[_IsLeaf]]=1,N(Tasks[[#This Row],[Story Points]]),0)</f>
        <v>0</v>
      </c>
      <c r="GS28" s="43" t="str">
        <f aca="false">""</f>
        <v/>
      </c>
      <c r="GT28" s="90" t="b">
        <f aca="false">IF(Tasks[[#This Row],[Task Name]]="",FALSE(),AND(Tasks[[#This Row],[_IsLeaf]]=1,N(Tasks[[#This Row],[_Days]])=0))</f>
        <v>0</v>
      </c>
      <c r="GU28" s="91" t="n">
        <f aca="false">IF(Tasks[[#This Row],[Task Name]]="",0,IF(AND(Tasks[[#This Row],[_IsLeaf]]=1,NOT(Tasks[[#This Row],[_IsMilestone]]),N(Tasks[[#This Row],[Progress]])&gt;0),Tasks[[#This Row],[Start]],0))</f>
        <v>0</v>
      </c>
      <c r="GV28" s="91" t="n">
        <f aca="false">IF(Tasks[[#This Row],[_DoneFrom]]=0,0,IF(Tasks[[#This Row],[Progress]]&gt;=1,Tasks[[#This Row],[Finish]],MAX(Tasks[[#This Row],[_DoneFrom]],Tasks[[#This Row],[Start]]+ROUND((Tasks[[#This Row],[Finish]]-Tasks[[#This Row],[Start]]+1)*Tasks[[#This Row],[Progress]],0)-1)))</f>
        <v>0</v>
      </c>
      <c r="GW28" s="91" t="n">
        <f aca="false">IF(Tasks[[#This Row],[Task Name]]="",0,IF(OR(NOT(Tasks[[#This Row],[_IsLeaf]]=1),Tasks[[#This Row],[_IsMilestone]],N(Tasks[[#This Row],[Progress]])&gt;=1),0,IF(Tasks[[#This Row],[_DoneTo]]&gt;0,Tasks[[#This Row],[_DoneTo]]+1,Tasks[[#This Row],[Start]])))</f>
        <v>0</v>
      </c>
      <c r="GX28" s="91" t="n">
        <f aca="false">IF(Tasks[[#This Row],[_RemFrom]]=0,0,Tasks[[#This Row],[Finish]])</f>
        <v>0</v>
      </c>
      <c r="GY28" s="90" t="b">
        <f aca="false">IF(Tasks[[#This Row],[Task Name]]="",FALSE(),OR(NOT(BaselineSet),N(Tasks[[#This Row],[Baseline Start]])&gt;0))</f>
        <v>0</v>
      </c>
      <c r="GZ2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8" s="92" t="str">
        <f aca="false">IF(Tasks[[#This Row],[_IsLeaf]]=1,Tasks[[#This Row],[_Row]],"")</f>
        <v/>
      </c>
      <c r="HD28" s="92" t="str">
        <f aca="false">IFERROR(INDEX(Tasks[UID],SMALL(Tasks[_PickKey],Tasks[[#This Row],[_Row]]))&amp;" "&amp;INDEX(Tasks[Task Name],SMALL(Tasks[_PickKey],Tasks[[#This Row],[_Row]])),"")</f>
        <v/>
      </c>
      <c r="HE28" s="43" t="str">
        <f aca="false">IF(Tasks[[#This Row],[Task Name]]="","",IF(Tasks[[#This Row],[_IsSummary]],NETWORKDAYS.INTL(Tasks[[#This Row],[Start]],Tasks[[#This Row],[Finish]],WorkWeek,Holidays),N(Tasks[[#This Row],[_Days]])))</f>
        <v/>
      </c>
      <c r="HF28" s="43" t="n">
        <f aca="false">IF(Tasks[[#This Row],[Expected]]="",0,((Tasks[[#This Row],[Pessimistic]]-Tasks[[#This Row],[Optimistic]])/6)^2)</f>
        <v>0</v>
      </c>
      <c r="HG28" s="43" t="n">
        <f aca="false">IF(Tasks[[#This Row],[Expected]]="",0,Tasks[[#This Row],[Expected]]-N(Tasks[[#This Row],[_Days]]))</f>
        <v>0</v>
      </c>
    </row>
    <row r="29" customFormat="false" ht="15" hidden="false" customHeight="false" outlineLevel="0" collapsed="false">
      <c r="A29" s="21" t="str">
        <f aca="false">IF(Tasks[[#This Row],[Task Name]]="","",COUNTA(Tasks[[#Headers],[Task Name]]:Tasks[[#This Row],[Task Name]])-1)</f>
        <v/>
      </c>
      <c r="B29" s="22" t="n">
        <v>37</v>
      </c>
      <c r="C29" s="22"/>
      <c r="D29" s="23"/>
      <c r="E29" s="22"/>
      <c r="F29" s="23"/>
      <c r="G29" s="22"/>
      <c r="H29" s="22"/>
      <c r="I29" s="23"/>
      <c r="J29" s="22"/>
      <c r="K29" s="22"/>
      <c r="L29" s="23"/>
      <c r="M29" s="22"/>
      <c r="N29" s="22"/>
      <c r="O29" s="23"/>
      <c r="P29" s="22"/>
      <c r="Q29" s="22"/>
      <c r="R29" s="23"/>
      <c r="S29" s="23"/>
      <c r="T29" s="84"/>
      <c r="U29" s="23"/>
      <c r="V29" s="84"/>
      <c r="W29" s="23"/>
      <c r="X29" s="84"/>
      <c r="Y29" s="23"/>
      <c r="Z29" s="84"/>
      <c r="AA29" s="23"/>
      <c r="AB29" s="23"/>
      <c r="AC29" s="7"/>
      <c r="AD29" s="7"/>
      <c r="AE29" s="63" t="str">
        <f aca="false">IF(Tasks[[#This Row],[Task Name]]="","",IF(Tasks[[#This Row],[_IsSummary]],MIN(INDEX(Tasks[_ShownFcstStart],Tasks[[#This Row],[_Row]]+1):INDEX(Tasks[_ShownFcstStart],Tasks[[#This Row],[_Row]]+Tasks[[#This Row],[_Descendants]])),Tasks[[#This Row],[_ShownFcstStart]]))</f>
        <v/>
      </c>
      <c r="AF29" s="63" t="str">
        <f aca="false">IF(Tasks[[#This Row],[Task Name]]="","",IF(Tasks[[#This Row],[_IsSummary]],MAX(INDEX(Tasks[_ShownFcstFinish],Tasks[[#This Row],[_Row]]+1):INDEX(Tasks[_ShownFcstFinish],Tasks[[#This Row],[_Row]]+Tasks[[#This Row],[_Descendants]])),Tasks[[#This Row],[_ShownFcstFinish]]))</f>
        <v/>
      </c>
      <c r="AG29" s="21" t="str">
        <f aca="false">""</f>
        <v/>
      </c>
      <c r="AH29" s="23"/>
      <c r="AI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9" s="7"/>
      <c r="AK29" s="22"/>
      <c r="AL29" s="23"/>
      <c r="AM29" s="7"/>
      <c r="AN29" s="47" t="str">
        <f aca="false">IF(Tasks[[#This Row],[Task Name]]="","",IF(Tasks[[#This Row],[Finish]]&gt;=Tasks[[#This Row],[Planned Finish]],NETWORKDAYS.INTL(Tasks[[#This Row],[Planned Finish]],Tasks[[#This Row],[Finish]],WorkWeek,Holidays)-1,1-NETWORKDAYS.INTL(Tasks[[#This Row],[Finish]],Tasks[[#This Row],[Planned Finish]],WorkWeek,Holidays)))</f>
        <v/>
      </c>
      <c r="AO29" s="21" t="str">
        <f aca="false">IF(Tasks[[#This Row],[Task Name]]="","",IF(Tasks[[#This Row],[Progress]]&gt;=1,"Complete",IF(OR(N(Tasks[[#This Row],[Actual Start]])&gt;0,Tasks[[#This Row],[Progress]]&gt;0),IF(Tasks[[#This Row],[Finish Var]]&gt;0,"Behind","In Progress"),IF(Tasks[[#This Row],[Planned Start]]&lt;StatusDate,"Late Start","Not Started"))))</f>
        <v/>
      </c>
      <c r="AP29" s="21" t="str">
        <f aca="false">IF(Tasks[[#This Row],[Task Name]]="","",IF(IF(Tasks[[#This Row],[_IsSummary]],COUNTIF(INDEX(Tasks[_LeafCritical],Tasks[[#This Row],[_Row]]+1):INDEX(Tasks[_LeafCritical],Tasks[[#This Row],[_Row]]+Tasks[[#This Row],[_Descendants]]),TRUE())&gt;0,Tasks[[#This Row],[_LeafCritical]]),"Yes",""))</f>
        <v/>
      </c>
      <c r="AQ29" s="63" t="str">
        <f aca="false">IF(Tasks[[#This Row],[Task Name]]="","",IF(N(Tasks[[#This Row],[Baseline Start]])&gt;0,Tasks[[#This Row],[Baseline Start]],Tasks[[#This Row],[_CalcStart]]))</f>
        <v/>
      </c>
      <c r="AR29" s="63" t="str">
        <f aca="false">IF(Tasks[[#This Row],[Task Name]]="","",IF(N(Tasks[[#This Row],[Baseline Finish]])&gt;0,Tasks[[#This Row],[Baseline Finish]],Tasks[[#This Row],[_CalcFinish]]))</f>
        <v/>
      </c>
      <c r="AS29" s="47" t="str">
        <f aca="false">IF(Tasks[[#This Row],[Task Name]]="","",IF(Tasks[[#This Row],[Start]]&gt;=Tasks[[#This Row],[Planned Start]],NETWORKDAYS.INTL(Tasks[[#This Row],[Planned Start]],Tasks[[#This Row],[Start]],WorkWeek,Holidays)-1,1-NETWORKDAYS.INTL(Tasks[[#This Row],[Start]],Tasks[[#This Row],[Planned Start]],WorkWeek,Holidays)))</f>
        <v/>
      </c>
      <c r="AT29" s="63" t="str">
        <f aca="false">IF(Tasks[[#This Row],[Task Name]]="","",IF(Tasks[[#This Row],[_IsSummary]],MIN(INDEX(Tasks[_LeafLateStart],Tasks[[#This Row],[_Row]]+1):INDEX(Tasks[_LeafLateStart],Tasks[[#This Row],[_Row]]+Tasks[[#This Row],[_Descendants]])),Tasks[[#This Row],[_LeafLateStart]]))</f>
        <v/>
      </c>
      <c r="AU29" s="63" t="str">
        <f aca="false">IF(Tasks[[#This Row],[Task Name]]="","",IF(Tasks[[#This Row],[_IsSummary]],MAX(INDEX(Tasks[_LeafLateFinish],Tasks[[#This Row],[_Row]]+1):INDEX(Tasks[_LeafLateFinish],Tasks[[#This Row],[_Row]]+Tasks[[#This Row],[_Descendants]])),Tasks[[#This Row],[_LeafLateFinish]]))</f>
        <v/>
      </c>
      <c r="AV29" s="47" t="str">
        <f aca="false">IF(Tasks[[#This Row],[Task Name]]="","",IF(Tasks[[#This Row],[_IsSummary]],MIN(INDEX(Tasks[_LeafTotalSlack],Tasks[[#This Row],[_Row]]+1):INDEX(Tasks[_LeafTotalSlack],Tasks[[#This Row],[_Row]]+Tasks[[#This Row],[_Descendants]])),Tasks[[#This Row],[_LeafTotalSlack]]))</f>
        <v/>
      </c>
      <c r="AW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5"/>
      <c r="BA2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1" t="str">
        <f aca="false">IF(Tasks[[#This Row],[Task Name]]="","",IF(Tasks[[#This Row],[_Level]]&lt;=OutlineShowLevel,"Yes","No"))</f>
        <v/>
      </c>
      <c r="BE29" s="86" t="str">
        <f aca="false">IF(Tasks[[#This Row],[Task Name]]="","",IF(Tasks[[#This Row],[_IsSummary]],SUM(INDEX(Tasks[_LeafTotalWork],Tasks[[#This Row],[_Row]]+1):INDEX(Tasks[_LeafTotalWork],Tasks[[#This Row],[_Row]]+Tasks[[#This Row],[_Descendants]])),Tasks[[#This Row],[_LeafTotalWork]]))</f>
        <v/>
      </c>
      <c r="BF29" s="23"/>
      <c r="BG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9" s="21" t="str">
        <f aca="false">""</f>
        <v/>
      </c>
      <c r="BI29" s="87"/>
      <c r="BJ29" s="22"/>
      <c r="BK29" s="47" t="str">
        <f aca="false">IF(OR(Tasks[[#This Row],[Task Name]]="",Tasks[[#This Row],[Baseline Duration]]=""),"",Tasks[[#This Row],[_SpanDays]]-N(Tasks[[#This Row],[Baseline Duration]]))</f>
        <v/>
      </c>
      <c r="BL29" s="86" t="str">
        <f aca="false">IF(OR(Tasks[[#This Row],[Task Name]]="",Tasks[[#This Row],[Baseline Work]]=""),"",Tasks[[#This Row],[Work]]-N(Tasks[[#This Row],[Baseline Work]]))</f>
        <v/>
      </c>
      <c r="BM29" s="63" t="str">
        <f aca="false">IF(Tasks[[#This Row],[Task Name]]="","",IF(OR(TakeBaseline="Yes",N(Tasks[[#This Row],[Baseline Start]])=0),Tasks[[#This Row],[Start]],Tasks[[#This Row],[Baseline Start]]))</f>
        <v/>
      </c>
      <c r="BN29" s="63" t="str">
        <f aca="false">IF(Tasks[[#This Row],[Task Name]]="","",IF(OR(TakeBaseline="Yes",N(Tasks[[#This Row],[Baseline Finish]])=0),Tasks[[#This Row],[Finish]],Tasks[[#This Row],[Baseline Finish]]))</f>
        <v/>
      </c>
      <c r="BO29" s="21" t="str">
        <f aca="false">IF(Tasks[[#This Row],[Task Name]]="","",IF(OR(TakeBaseline="Yes",N(Tasks[[#This Row],[Baseline Duration]])=0),Tasks[[#This Row],[_SpanDays]],Tasks[[#This Row],[Baseline Duration]]))</f>
        <v/>
      </c>
      <c r="BP29" s="86" t="str">
        <f aca="false">IF(Tasks[[#This Row],[Task Name]]="","",IF(OR(TakeBaseline="Yes",N(Tasks[[#This Row],[Baseline Work]])=0),Tasks[[#This Row],[Work]],Tasks[[#This Row],[Baseline Work]]))</f>
        <v/>
      </c>
      <c r="BQ29" s="7"/>
      <c r="BR29" s="7"/>
      <c r="BS29" s="22"/>
      <c r="BT29" s="88"/>
      <c r="BU29" s="23"/>
      <c r="BV29" s="23"/>
      <c r="BW29" s="23"/>
      <c r="BX29" s="89" t="str">
        <f aca="false">IF(AND(Tasks[[#This Row],[_IsLeaf]]=1,ISNUMBER(Tasks[[#This Row],[Optimistic]]),ISNUMBER(Tasks[[#This Row],[Pessimistic]])),ROUND((Tasks[[#This Row],[Optimistic]]+4*N(Tasks[[#This Row],[_Days]])+Tasks[[#This Row],[Pessimistic]])/6,1),"")</f>
        <v/>
      </c>
      <c r="BY29" s="87"/>
      <c r="BZ29" s="87"/>
      <c r="CA29" s="22"/>
      <c r="CB29" s="43" t="str">
        <f aca="false">IF(Tasks[[#This Row],[Task Name]]="","",MAX(1,N(Tasks[[#This Row],[Level]])))</f>
        <v/>
      </c>
      <c r="CC29" s="43" t="n">
        <f aca="false">ROW()-ROW(Tasks[[#Headers],[ID]])</f>
        <v>24</v>
      </c>
      <c r="CD29" s="43" t="n">
        <f aca="false">IF(OR(Tasks[[#This Row],[Task Name]]="",Tasks[[#This Row],[_Level]]&lt;=1),0,IFERROR(LOOKUP(2,1/(Tasks[[#Headers],[_Level]]:Tasks[[#This Row],[_Level]]=Tasks[[#This Row],[_Level]]-1),ROW(Tasks[[#Headers],[_Level]]:Tasks[[#This Row],[_Level]])),0))</f>
        <v>0</v>
      </c>
      <c r="CE29" s="43" t="n">
        <f aca="false">IFERROR(N(INDEX(Tasks[_Level],Tasks[[#This Row],[_Row]]+1)),0)</f>
        <v>0</v>
      </c>
      <c r="CF29" s="90" t="b">
        <f aca="false">AND(Tasks[[#This Row],[Task Name]]&lt;&gt;"",Tasks[[#This Row],[_NextLevel]]&gt;Tasks[[#This Row],[_Level]])</f>
        <v>0</v>
      </c>
      <c r="CG29" s="43" t="n">
        <f aca="false">IF(Tasks[[#This Row],[_IsSummary]],COUNTIF(Tasks[WBS],Tasks[[#This Row],[WBS]]&amp;".*"),0)</f>
        <v>0</v>
      </c>
      <c r="CH29" s="43" t="n">
        <f aca="false">IF(AND(Tasks[[#This Row],[Task Name]]&lt;&gt;"",NOT(Tasks[[#This Row],[_IsSummary]])),1,0)</f>
        <v>0</v>
      </c>
      <c r="CI29" s="43" t="n">
        <f aca="false">IF(N(Tasks[[#This Row],[_Pred1UID]])=0,0,IFERROR(MATCH(Tasks[[#This Row],[_Pred1UID]],Tasks[UID],0),-1))</f>
        <v>0</v>
      </c>
      <c r="CJ29" s="43" t="n">
        <f aca="false">IF(N(Tasks[[#This Row],[_Pred2UID]])=0,0,IFERROR(MATCH(Tasks[[#This Row],[_Pred2UID]],Tasks[UID],0),-1))</f>
        <v>0</v>
      </c>
      <c r="CK29" s="43" t="n">
        <f aca="false">IF(N(Tasks[[#This Row],[_Pred3UID]])=0,0,IFERROR(MATCH(Tasks[[#This Row],[_Pred3UID]],Tasks[UID],0),-1))</f>
        <v>0</v>
      </c>
      <c r="CL29" s="43" t="n">
        <f aca="false">IF(N(Tasks[[#This Row],[_Pred4UID]])=0,0,IFERROR(MATCH(Tasks[[#This Row],[_Pred4UID]],Tasks[UID],0),-1))</f>
        <v>0</v>
      </c>
      <c r="CM2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9" s="91" t="n">
        <f aca="false">IF(OR(Tasks[[#This Row],[_ConstraintCode]]=2,Tasks[[#This Row],[_ConstraintCode]]=3,Tasks[[#This Row],[_ConstraintCode]]=4,Tasks[[#This Row],[_ConstraintCode]]=6),Tasks[[#This Row],[_ConstraintStart]],0)</f>
        <v>0</v>
      </c>
      <c r="CP29" s="91" t="n">
        <f aca="false">IF(OR(Tasks[[#This Row],[_ConstraintCode]]=2,Tasks[[#This Row],[_ConstraintCode]]=3,Tasks[[#This Row],[_ConstraintCode]]=5,Tasks[[#This Row],[_ConstraintCode]]=7),Tasks[[#This Row],[_ConstraintStart]],2958465)</f>
        <v>2958465</v>
      </c>
      <c r="CQ2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9" s="91" t="str">
        <f aca="false">IF(NOT(Tasks[[#This Row],[_IsLeaf]]=1),"",IF(N(Tasks[[#This Row],[_Days]])&lt;=0,Tasks[[#This Row],[_LeafCalcStart]],WORKDAY.INTL(Tasks[[#This Row],[_LeafCalcStart]],Tasks[[#This Row],[_Days]]-1,WorkWeek,Holidays)))</f>
        <v/>
      </c>
      <c r="CS2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9" s="43" t="str">
        <f aca="false">IF(Tasks[[#This Row],[_Predecessors]]="","",TRIM(MID(SUBSTITUTE(SUBSTITUTE(SUBSTITUTE(UPPER(Tasks[[#This Row],[_Predecessors]]),";",",")," ",""),",",REPT(" ",99)),1,99)))</f>
        <v/>
      </c>
      <c r="CV29" s="43" t="str">
        <f aca="false">IF(Tasks[[#This Row],[_Pred1Text]]="","",IFERROR(VALUE(LEFT(Tasks[[#This Row],[_Pred1Text]],MIN(FIND("F",Tasks[[#This Row],[_Pred1Text]]&amp;"F"),FIND("S",Tasks[[#This Row],[_Pred1Text]]&amp;"S"),FIND("+",Tasks[[#This Row],[_Pred1Text]]&amp;"+"),FIND("-",Tasks[[#This Row],[_Pred1Text]]&amp;"-"))-1)),""))</f>
        <v/>
      </c>
      <c r="CW2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9" s="43" t="str">
        <f aca="false">IF(Tasks[[#This Row],[_Pred1Text]]="","",TRIM(MID(SUBSTITUTE(SUBSTITUTE(SUBSTITUTE(UPPER(Tasks[[#This Row],[_Predecessors]]),";",",")," ",""),",",REPT(" ",99)),100,99)))</f>
        <v/>
      </c>
      <c r="CZ29" s="43" t="str">
        <f aca="false">IF(Tasks[[#This Row],[_Pred2Text]]="","",IFERROR(VALUE(LEFT(Tasks[[#This Row],[_Pred2Text]],MIN(FIND("F",Tasks[[#This Row],[_Pred2Text]]&amp;"F"),FIND("S",Tasks[[#This Row],[_Pred2Text]]&amp;"S"),FIND("+",Tasks[[#This Row],[_Pred2Text]]&amp;"+"),FIND("-",Tasks[[#This Row],[_Pred2Text]]&amp;"-"))-1)),""))</f>
        <v/>
      </c>
      <c r="DA2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9" s="43" t="str">
        <f aca="false">IF(Tasks[[#This Row],[_Pred2Text]]="","",TRIM(MID(SUBSTITUTE(SUBSTITUTE(SUBSTITUTE(UPPER(Tasks[[#This Row],[_Predecessors]]),";",",")," ",""),",",REPT(" ",99)),199,99)))</f>
        <v/>
      </c>
      <c r="DD29" s="43" t="str">
        <f aca="false">IF(Tasks[[#This Row],[_Pred3Text]]="","",IFERROR(VALUE(LEFT(Tasks[[#This Row],[_Pred3Text]],MIN(FIND("F",Tasks[[#This Row],[_Pred3Text]]&amp;"F"),FIND("S",Tasks[[#This Row],[_Pred3Text]]&amp;"S"),FIND("+",Tasks[[#This Row],[_Pred3Text]]&amp;"+"),FIND("-",Tasks[[#This Row],[_Pred3Text]]&amp;"-"))-1)),""))</f>
        <v/>
      </c>
      <c r="DE2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9" s="43" t="str">
        <f aca="false">IF(Tasks[[#This Row],[_Pred3Text]]="","",TRIM(MID(SUBSTITUTE(SUBSTITUTE(SUBSTITUTE(UPPER(Tasks[[#This Row],[_Predecessors]]),";",",")," ",""),",",REPT(" ",99)),298,99)))</f>
        <v/>
      </c>
      <c r="DH29" s="43" t="str">
        <f aca="false">IF(Tasks[[#This Row],[_Pred4Text]]="","",IFERROR(VALUE(LEFT(Tasks[[#This Row],[_Pred4Text]],MIN(FIND("F",Tasks[[#This Row],[_Pred4Text]]&amp;"F"),FIND("S",Tasks[[#This Row],[_Pred4Text]]&amp;"S"),FIND("+",Tasks[[#This Row],[_Pred4Text]]&amp;"+"),FIND("-",Tasks[[#This Row],[_Pred4Text]]&amp;"-"))-1)),""))</f>
        <v/>
      </c>
      <c r="DI2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9" s="43" t="str">
        <f aca="false">IF(OR(Tasks[[#This Row],[Task Name]]="",Tasks[[#This Row],[_Resources]]=""),"",TRIM(MID(SUBSTITUTE(Tasks[[#This Row],[_Resources]],",",REPT(" ",99)),1,99)))</f>
        <v/>
      </c>
      <c r="DL29" s="43" t="str">
        <f aca="false">IF(Tasks[[#This Row],[_Res1Text]]="","",TRIM(MID(SUBSTITUTE(Tasks[[#This Row],[_Resources]],",",REPT(" ",99)),100,99)))</f>
        <v/>
      </c>
      <c r="DM29" s="43" t="str">
        <f aca="false">IF(Tasks[[#This Row],[_Res2Text]]="","",TRIM(MID(SUBSTITUTE(Tasks[[#This Row],[_Resources]],",",REPT(" ",99)),199,99)))</f>
        <v/>
      </c>
      <c r="DN29" s="43" t="str">
        <f aca="false">IF(Tasks[[#This Row],[_Res3Text]]="","",TRIM(MID(SUBSTITUTE(Tasks[[#This Row],[_Resources]],",",REPT(" ",99)),298,99)))</f>
        <v/>
      </c>
      <c r="DO29" s="43" t="n">
        <f aca="false">IF(Tasks[[#This Row],[_Res1Text]]="",0,IFERROR(MATCH(TRIM(LEFT(Tasks[[#This Row],[_Res1Text]],FIND("[",Tasks[[#This Row],[_Res1Text]]&amp;"[")-1)),res_Name,0),IFERROR(MATCH(TRIM(LEFT(Tasks[[#This Row],[_Res1Text]],FIND("[",Tasks[[#This Row],[_Res1Text]]&amp;"[")-1)),res_Initials,0),0)))</f>
        <v>0</v>
      </c>
      <c r="DP29" s="43" t="n">
        <f aca="false">IF(Tasks[[#This Row],[_Res2Text]]="",0,IFERROR(MATCH(TRIM(LEFT(Tasks[[#This Row],[_Res2Text]],FIND("[",Tasks[[#This Row],[_Res2Text]]&amp;"[")-1)),res_Name,0),IFERROR(MATCH(TRIM(LEFT(Tasks[[#This Row],[_Res2Text]],FIND("[",Tasks[[#This Row],[_Res2Text]]&amp;"[")-1)),res_Initials,0),0)))</f>
        <v>0</v>
      </c>
      <c r="DQ29" s="43" t="n">
        <f aca="false">IF(Tasks[[#This Row],[_Res3Text]]="",0,IFERROR(MATCH(TRIM(LEFT(Tasks[[#This Row],[_Res3Text]],FIND("[",Tasks[[#This Row],[_Res3Text]]&amp;"[")-1)),res_Name,0),IFERROR(MATCH(TRIM(LEFT(Tasks[[#This Row],[_Res3Text]],FIND("[",Tasks[[#This Row],[_Res3Text]]&amp;"[")-1)),res_Initials,0),0)))</f>
        <v>0</v>
      </c>
      <c r="DR29" s="43" t="n">
        <f aca="false">IF(Tasks[[#This Row],[_Res4Text]]="",0,IFERROR(MATCH(TRIM(LEFT(Tasks[[#This Row],[_Res4Text]],FIND("[",Tasks[[#This Row],[_Res4Text]]&amp;"[")-1)),res_Name,0),IFERROR(MATCH(TRIM(LEFT(Tasks[[#This Row],[_Res4Text]],FIND("[",Tasks[[#This Row],[_Res4Text]]&amp;"[")-1)),res_Initials,0),0)))</f>
        <v>0</v>
      </c>
      <c r="DS29" s="43" t="str">
        <f aca="false">IF(Tasks[[#This Row],[_Res1Text]]="","",IF(Tasks[[#This Row],[_Res1Row]]&gt;0,INDEX(res_Name,Tasks[[#This Row],[_Res1Row]]),TRIM(LEFT(Tasks[[#This Row],[_Res1Text]],FIND("[",Tasks[[#This Row],[_Res1Text]]&amp;"[")-1))))</f>
        <v/>
      </c>
      <c r="DT2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9" s="43" t="n">
        <f aca="false">IF(NOT(Tasks[[#This Row],[_IsLeaf]]=1),0,(Tasks[[#This Row],[_Resource1]]&lt;&gt;"")+(Tasks[[#This Row],[_Res2]]&lt;&gt;"")+(Tasks[[#This Row],[_Res3]]&lt;&gt;"")+(Tasks[[#This Row],[_Res4]]&lt;&gt;""))</f>
        <v>0</v>
      </c>
      <c r="DV29" s="43" t="str">
        <f aca="false">IF(Tasks[[#This Row],[_Res2Text]]="","",IF(Tasks[[#This Row],[_Res2Row]]&gt;0,INDEX(res_Name,Tasks[[#This Row],[_Res2Row]]),TRIM(LEFT(Tasks[[#This Row],[_Res2Text]],FIND("[",Tasks[[#This Row],[_Res2Text]]&amp;"[")-1))))</f>
        <v/>
      </c>
      <c r="DW2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9" s="43" t="n">
        <f aca="false">IF(OR(NOT(Tasks[[#This Row],[_IsLeaf]]=1),Tasks[[#This Row],[_Res2Row]]=0),0,N(Tasks[[#This Row],[_Days]])*HoursPerDay*IF(Tasks[[#This Row],[_Res2Units]]="",DefaultUnits,Tasks[[#This Row],[_Res2Units]]))</f>
        <v>0</v>
      </c>
      <c r="DY29" s="43" t="n">
        <f aca="false">IF(AND(AND(Tasks[[#This Row],[_IsLeaf]]=1,Tasks[[#This Row],[_LeafTotalWork]]&gt;0),Tasks[[#This Row],[_Res2Work]]&gt;0),Tasks[[#This Row],[_Res2Work]]/(Tasks[[#This Row],[_FinishWorkday]]-Tasks[[#This Row],[_StartWorkday]]+1),0)</f>
        <v>0</v>
      </c>
      <c r="DZ29" s="43" t="n">
        <f aca="false">Tasks[[#This Row],[_Res2WorkPerWD]]*MAX(0,Tasks[[#This Row],[_StartWorkday]]-1)</f>
        <v>0</v>
      </c>
      <c r="EA29" s="43" t="n">
        <f aca="false">Tasks[[#This Row],[_Res2Work]]*Tasks[[#This Row],[_LeafProgress]]</f>
        <v>0</v>
      </c>
      <c r="EB29" s="43" t="str">
        <f aca="false">IF(Tasks[[#This Row],[_Res3Text]]="","",IF(Tasks[[#This Row],[_Res3Row]]&gt;0,INDEX(res_Name,Tasks[[#This Row],[_Res3Row]]),TRIM(LEFT(Tasks[[#This Row],[_Res3Text]],FIND("[",Tasks[[#This Row],[_Res3Text]]&amp;"[")-1))))</f>
        <v/>
      </c>
      <c r="EC2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9" s="43" t="n">
        <f aca="false">IF(OR(NOT(Tasks[[#This Row],[_IsLeaf]]=1),Tasks[[#This Row],[_Res3Row]]=0),0,N(Tasks[[#This Row],[_Days]])*HoursPerDay*IF(Tasks[[#This Row],[_Res3Units]]="",DefaultUnits,Tasks[[#This Row],[_Res3Units]]))</f>
        <v>0</v>
      </c>
      <c r="EE29" s="43" t="n">
        <f aca="false">IF(AND(AND(Tasks[[#This Row],[_IsLeaf]]=1,Tasks[[#This Row],[_LeafTotalWork]]&gt;0),Tasks[[#This Row],[_Res3Work]]&gt;0),Tasks[[#This Row],[_Res3Work]]/(Tasks[[#This Row],[_FinishWorkday]]-Tasks[[#This Row],[_StartWorkday]]+1),0)</f>
        <v>0</v>
      </c>
      <c r="EF29" s="43" t="n">
        <f aca="false">Tasks[[#This Row],[_Res3WorkPerWD]]*MAX(0,Tasks[[#This Row],[_StartWorkday]]-1)</f>
        <v>0</v>
      </c>
      <c r="EG29" s="43" t="n">
        <f aca="false">Tasks[[#This Row],[_Res3Work]]*Tasks[[#This Row],[_LeafProgress]]</f>
        <v>0</v>
      </c>
      <c r="EH29" s="43" t="str">
        <f aca="false">IF(Tasks[[#This Row],[_Res4Text]]="","",IF(Tasks[[#This Row],[_Res4Row]]&gt;0,INDEX(res_Name,Tasks[[#This Row],[_Res4Row]]),TRIM(LEFT(Tasks[[#This Row],[_Res4Text]],FIND("[",Tasks[[#This Row],[_Res4Text]]&amp;"[")-1))))</f>
        <v/>
      </c>
      <c r="EI2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9" s="43" t="n">
        <f aca="false">IF(OR(NOT(Tasks[[#This Row],[_IsLeaf]]=1),Tasks[[#This Row],[_Res4Row]]=0),0,N(Tasks[[#This Row],[_Days]])*HoursPerDay*IF(Tasks[[#This Row],[_Res4Units]]="",DefaultUnits,Tasks[[#This Row],[_Res4Units]]))</f>
        <v>0</v>
      </c>
      <c r="EK29" s="43" t="n">
        <f aca="false">IF(AND(AND(Tasks[[#This Row],[_IsLeaf]]=1,Tasks[[#This Row],[_LeafTotalWork]]&gt;0),Tasks[[#This Row],[_Res4Work]]&gt;0),Tasks[[#This Row],[_Res4Work]]/(Tasks[[#This Row],[_FinishWorkday]]-Tasks[[#This Row],[_StartWorkday]]+1),0)</f>
        <v>0</v>
      </c>
      <c r="EL29" s="43" t="n">
        <f aca="false">Tasks[[#This Row],[_Res4WorkPerWD]]*MAX(0,Tasks[[#This Row],[_StartWorkday]]-1)</f>
        <v>0</v>
      </c>
      <c r="EM29" s="43" t="n">
        <f aca="false">Tasks[[#This Row],[_Res4Work]]*Tasks[[#This Row],[_LeafProgress]]</f>
        <v>0</v>
      </c>
      <c r="EN29" s="43" t="n">
        <f aca="false">IF(ISNUMBER(Tasks[[#This Row],[% Complete]]),Tasks[[#This Row],[% Complete]],IF(Tasks[[#This Row],[Stage]]="",0,IFERROR(INDEX(stg_Pct,MATCH(Tasks[[#This Row],[Stage]],stg_Name,0)),0)))</f>
        <v>0</v>
      </c>
      <c r="EO29" s="43" t="n">
        <f aca="false">IF(NOT(Tasks[[#This Row],[_IsLeaf]]=1),0,IF(N(Tasks[[#This Row],[Actual Finish]])&gt;0,1,MIN(1,Tasks[[#This Row],[_Pct]])))</f>
        <v>0</v>
      </c>
      <c r="EP29" s="43" t="n">
        <f aca="false">IF(OR(NOT(Tasks[[#This Row],[_IsLeaf]]=1),Tasks[[#This Row],[_Res1Row]]=0),0,N(Tasks[[#This Row],[_Days]])*HoursPerDay*IF(Tasks[[#This Row],[_Units1]]="",DefaultUnits,Tasks[[#This Row],[_Units1]]))</f>
        <v>0</v>
      </c>
      <c r="EQ29" s="43" t="n">
        <f aca="false">Tasks[[#This Row],[_LeafWork]]+Tasks[[#This Row],[_Res2Work]]+Tasks[[#This Row],[_Res3Work]]+Tasks[[#This Row],[_Res4Work]]</f>
        <v>0</v>
      </c>
      <c r="ER2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9" s="43" t="n">
        <f aca="false">IF(NOT(Tasks[[#This Row],[_IsLeaf]]=1),0,MAX(_xlfn.MAXIFS(Tasks[_Row],Tasks[_Pred1UID],Tasks[[#This Row],[UID]]),_xlfn.MAXIFS(Tasks[_Row],Tasks[_Pred2UID],Tasks[[#This Row],[UID]]),_xlfn.MAXIFS(Tasks[_Row],Tasks[_Pred3UID],Tasks[[#This Row],[UID]]),_xlfn.MAXIFS(Tasks[_Row],Tasks[_Pred4UID],Tasks[[#This Row],[UID]])))</f>
        <v>0</v>
      </c>
      <c r="FA2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9" s="91" t="str">
        <f aca="false">IF(NOT(Tasks[[#This Row],[_IsLeaf]]=1),"",IF(N(Tasks[[#This Row],[_Days]])&lt;=0,Tasks[[#This Row],[_LeafLateFinish]],WORKDAY.INTL(Tasks[[#This Row],[_LeafLateFinish]],-(Tasks[[#This Row],[_Days]]-1),WorkWeek,Holidays)))</f>
        <v/>
      </c>
      <c r="FD2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9" s="90" t="b">
        <f aca="false">AND(Tasks[[#This Row],[_IsLeaf]]=1,Tasks[[#This Row],[_LeafProgress]]&lt;1,N(Tasks[[#This Row],[_LeafTotalSlack]])&lt;=CriticalSlackDays)</f>
        <v>0</v>
      </c>
      <c r="FF29" s="43" t="n">
        <f aca="false">IF(AND(Tasks[[#This Row],[_IsLeaf]]=1,Tasks[[#This Row],[_ConstraintCode]]=1,Tasks[[#This Row],[Mode]]&lt;&gt;"Manual",N(Tasks[[#This Row],[Actual Start]])=0),MAX(0,N(Tasks[[#This Row],[Free Slack]])),0)</f>
        <v>0</v>
      </c>
      <c r="FG29" s="91" t="str">
        <f aca="false">IF(NOT(Tasks[[#This Row],[_IsLeaf]]=1),"",IF(Tasks[[#This Row],[_AlapShift]]=0,Tasks[[#This Row],[_LeafCalcStart]],WORKDAY.INTL(Tasks[[#This Row],[_LeafCalcStart]],Tasks[[#This Row],[_AlapShift]],WorkWeek,Holidays)))</f>
        <v/>
      </c>
      <c r="FH29" s="91" t="str">
        <f aca="false">IF(NOT(Tasks[[#This Row],[_IsLeaf]]=1),"",IF(Tasks[[#This Row],[_AlapShift]]=0,Tasks[[#This Row],[_LeafCalcFinish]],WORKDAY.INTL(Tasks[[#This Row],[_LeafCalcFinish]],Tasks[[#This Row],[_AlapShift]],WorkWeek,Holidays)))</f>
        <v/>
      </c>
      <c r="FI29" s="91" t="str">
        <f aca="false">IF(NOT(Tasks[[#This Row],[_IsLeaf]]=1),"",IF(Tasks[[#This Row],[_AlapShift]]=0,Tasks[[#This Row],[_LeafFcstStart]],WORKDAY.INTL(Tasks[[#This Row],[_LeafFcstStart]],Tasks[[#This Row],[_AlapShift]],WorkWeek,Holidays)))</f>
        <v/>
      </c>
      <c r="FJ29" s="91" t="str">
        <f aca="false">IF(NOT(Tasks[[#This Row],[_IsLeaf]]=1),"",IF(Tasks[[#This Row],[_AlapShift]]=0,Tasks[[#This Row],[_LeafFcstFinish]],WORKDAY.INTL(Tasks[[#This Row],[_LeafFcstFinish]],Tasks[[#This Row],[_AlapShift]],WorkWeek,Holidays)))</f>
        <v/>
      </c>
      <c r="FK29" s="91" t="str">
        <f aca="false">IF(Tasks[[#This Row],[Task Name]]="","",IF(Tasks[[#This Row],[_IsSummary]],MIN(INDEX(Tasks[_ShownCalcStart],Tasks[[#This Row],[_Row]]+1):INDEX(Tasks[_ShownCalcStart],Tasks[[#This Row],[_Row]]+Tasks[[#This Row],[_Descendants]])),Tasks[[#This Row],[_ShownCalcStart]]))</f>
        <v/>
      </c>
      <c r="FL29" s="91" t="str">
        <f aca="false">IF(Tasks[[#This Row],[Task Name]]="","",IF(Tasks[[#This Row],[_IsSummary]],MAX(INDEX(Tasks[_ShownCalcFinish],Tasks[[#This Row],[_Row]]+1):INDEX(Tasks[_ShownCalcFinish],Tasks[[#This Row],[_Row]]+Tasks[[#This Row],[_Descendants]])),Tasks[[#This Row],[_ShownCalcFinish]]))</f>
        <v/>
      </c>
      <c r="FM2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9" s="43" t="n">
        <f aca="false">IF(AND(Tasks[[#This Row],[_IsLeaf]]=1,Tasks[[#This Row],[_LeafTotalWork]]&gt;0),NETWORKDAYS.INTL(ProjectStart,Tasks[[#This Row],[_ShownFcstStart]],WorkWeek,Holidays),0)</f>
        <v>0</v>
      </c>
      <c r="FZ29" s="43" t="n">
        <f aca="false">IF(AND(Tasks[[#This Row],[_IsLeaf]]=1,Tasks[[#This Row],[_LeafTotalWork]]&gt;0),MAX(Tasks[[#This Row],[_StartWorkday]],NETWORKDAYS.INTL(ProjectStart,Tasks[[#This Row],[_ShownFcstFinish]],WorkWeek,Holidays)),0)</f>
        <v>0</v>
      </c>
      <c r="GA29" s="43" t="n">
        <f aca="false">IF(AND(Tasks[[#This Row],[_IsLeaf]]=1,Tasks[[#This Row],[_LeafTotalWork]]&gt;0),Tasks[[#This Row],[_LeafWork]]/(Tasks[[#This Row],[_FinishWorkday]]-Tasks[[#This Row],[_StartWorkday]]+1),0)</f>
        <v>0</v>
      </c>
      <c r="GB29" s="43" t="n">
        <f aca="false">Tasks[[#This Row],[_WorkPerWorkday]]*(Tasks[[#This Row],[_StartWorkday]]-1)</f>
        <v>-0</v>
      </c>
      <c r="GC29" s="43" t="n">
        <f aca="false">IF(Tasks[[#This Row],[_IsLeaf]]=1,MAX(N(Tasks[[#This Row],[_Days]]),0.1),0)</f>
        <v>0</v>
      </c>
      <c r="GD29" s="43" t="n">
        <f aca="false">Tasks[[#This Row],[_WeightDur]]*Tasks[[#This Row],[_LeafProgress]]</f>
        <v>0</v>
      </c>
      <c r="GE29" s="43" t="n">
        <f aca="false">Tasks[[#This Row],[_WeightDur]]*Tasks[[#This Row],[_PlannedPct]]</f>
        <v>0</v>
      </c>
      <c r="GF2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9" s="43" t="str">
        <f aca="false">IF(AND(Tasks[[#This Row],[_IsLeaf]]=1,N(Tasks[[#This Row],[_Days]])=0,Tasks[[#This Row],[_LeafProgress]]&lt;1),Tasks[[#This Row],[_ShownFcstFinish]]+Tasks[[#This Row],[_Row]]/100000,"")</f>
        <v/>
      </c>
      <c r="GH2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9" s="43" t="str">
        <f aca="false">IF(Tasks[[#This Row],[Task Name]]="","",LEFT(Tasks[[#This Row],[WBS]],FIND(".",Tasks[[#This Row],[WBS]]&amp;".")-1))</f>
        <v/>
      </c>
      <c r="GJ29" s="43" t="str">
        <f aca="false">IF(AND(Tasks[[#This Row],[Task Name]]&lt;&gt;"",Tasks[[#This Row],[_Level]]=1),Tasks[[#This Row],[_Row]],"")</f>
        <v/>
      </c>
      <c r="GK29" s="43" t="str">
        <f aca="false">IF(AND(Tasks[[#This Row],[_IsLeaf]]=1,N(Tasks[[#This Row],[_Days]])=0),Tasks[[#This Row],[Planned Finish]]+Tasks[[#This Row],[_Row]]/100000,"")</f>
        <v/>
      </c>
      <c r="GL29" s="43" t="str">
        <f aca="false">IF(AND(Tasks[[#This Row],[_IsLeaf]]=1,Tasks[[#This Row],[_LeafProgress]]&lt;1,OR(N(Tasks[[#This Row],[Finish Var]])&gt;0,Tasks[[#This Row],[Status]]="Late Start")),MAX(0,Tasks[[#This Row],[Finish Var]])+1-Tasks[[#This Row],[_Row]]/1000000,"")</f>
        <v/>
      </c>
      <c r="GM29" s="43" t="str">
        <f aca="false">IF(AND(Tasks[[#This Row],[_IsLeaf]]=1,N(Tasks[[#This Row],[Actual Start]])=0,Tasks[[#This Row],[_ShownFcstStart]]&gt;=StatusDate,Tasks[[#This Row],[_ShownFcstStart]]&lt;=LookaheadEnd),Tasks[[#This Row],[_ShownFcstStart]]+Tasks[[#This Row],[_Row]]/100000,"")</f>
        <v/>
      </c>
      <c r="GN29" s="43" t="str">
        <f aca="false">IF(AND(Tasks[[#This Row],[_IsLeaf]]=1,Tasks[[#This Row],[_LeafProgress]]&lt;1,Tasks[[#This Row],[_ShownFcstFinish]]&gt;=StatusDate,Tasks[[#This Row],[_ShownFcstFinish]]&lt;=LookaheadEnd),Tasks[[#This Row],[_ShownFcstFinish]]+Tasks[[#This Row],[_Row]]/100000,"")</f>
        <v/>
      </c>
      <c r="GO29" s="43" t="str">
        <f aca="false">IF(Tasks[[#This Row],[_LeafCritical]],Tasks[[#This Row],[_ShownFcstStart]]+Tasks[[#This Row],[_Row]]/100000,"")</f>
        <v/>
      </c>
      <c r="GP29" s="43" t="n">
        <f aca="false">Tasks[[#This Row],[_LeafWork]]*Tasks[[#This Row],[_LeafProgress]]</f>
        <v>0</v>
      </c>
      <c r="GQ29" s="91" t="str">
        <f aca="false">IF(AND(Tasks[[#This Row],[_IsLeaf]]=1,Tasks[[#This Row],[_LeafProgress]]&gt;=1),IF(N(Tasks[[#This Row],[Actual Finish]])&gt;0,Tasks[[#This Row],[Actual Finish]],Tasks[[#This Row],[_ShownFcstFinish]]),"")</f>
        <v/>
      </c>
      <c r="GR29" s="43" t="n">
        <f aca="false">IF(Tasks[[#This Row],[_IsLeaf]]=1,N(Tasks[[#This Row],[Story Points]]),0)</f>
        <v>0</v>
      </c>
      <c r="GS29" s="43" t="str">
        <f aca="false">""</f>
        <v/>
      </c>
      <c r="GT29" s="90" t="b">
        <f aca="false">IF(Tasks[[#This Row],[Task Name]]="",FALSE(),AND(Tasks[[#This Row],[_IsLeaf]]=1,N(Tasks[[#This Row],[_Days]])=0))</f>
        <v>0</v>
      </c>
      <c r="GU29" s="91" t="n">
        <f aca="false">IF(Tasks[[#This Row],[Task Name]]="",0,IF(AND(Tasks[[#This Row],[_IsLeaf]]=1,NOT(Tasks[[#This Row],[_IsMilestone]]),N(Tasks[[#This Row],[Progress]])&gt;0),Tasks[[#This Row],[Start]],0))</f>
        <v>0</v>
      </c>
      <c r="GV29" s="91" t="n">
        <f aca="false">IF(Tasks[[#This Row],[_DoneFrom]]=0,0,IF(Tasks[[#This Row],[Progress]]&gt;=1,Tasks[[#This Row],[Finish]],MAX(Tasks[[#This Row],[_DoneFrom]],Tasks[[#This Row],[Start]]+ROUND((Tasks[[#This Row],[Finish]]-Tasks[[#This Row],[Start]]+1)*Tasks[[#This Row],[Progress]],0)-1)))</f>
        <v>0</v>
      </c>
      <c r="GW29" s="91" t="n">
        <f aca="false">IF(Tasks[[#This Row],[Task Name]]="",0,IF(OR(NOT(Tasks[[#This Row],[_IsLeaf]]=1),Tasks[[#This Row],[_IsMilestone]],N(Tasks[[#This Row],[Progress]])&gt;=1),0,IF(Tasks[[#This Row],[_DoneTo]]&gt;0,Tasks[[#This Row],[_DoneTo]]+1,Tasks[[#This Row],[Start]])))</f>
        <v>0</v>
      </c>
      <c r="GX29" s="91" t="n">
        <f aca="false">IF(Tasks[[#This Row],[_RemFrom]]=0,0,Tasks[[#This Row],[Finish]])</f>
        <v>0</v>
      </c>
      <c r="GY29" s="90" t="b">
        <f aca="false">IF(Tasks[[#This Row],[Task Name]]="",FALSE(),OR(NOT(BaselineSet),N(Tasks[[#This Row],[Baseline Start]])&gt;0))</f>
        <v>0</v>
      </c>
      <c r="GZ2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9" s="92" t="str">
        <f aca="false">IF(Tasks[[#This Row],[_IsLeaf]]=1,Tasks[[#This Row],[_Row]],"")</f>
        <v/>
      </c>
      <c r="HD29" s="92" t="str">
        <f aca="false">IFERROR(INDEX(Tasks[UID],SMALL(Tasks[_PickKey],Tasks[[#This Row],[_Row]]))&amp;" "&amp;INDEX(Tasks[Task Name],SMALL(Tasks[_PickKey],Tasks[[#This Row],[_Row]])),"")</f>
        <v/>
      </c>
      <c r="HE29" s="43" t="str">
        <f aca="false">IF(Tasks[[#This Row],[Task Name]]="","",IF(Tasks[[#This Row],[_IsSummary]],NETWORKDAYS.INTL(Tasks[[#This Row],[Start]],Tasks[[#This Row],[Finish]],WorkWeek,Holidays),N(Tasks[[#This Row],[_Days]])))</f>
        <v/>
      </c>
      <c r="HF29" s="43" t="n">
        <f aca="false">IF(Tasks[[#This Row],[Expected]]="",0,((Tasks[[#This Row],[Pessimistic]]-Tasks[[#This Row],[Optimistic]])/6)^2)</f>
        <v>0</v>
      </c>
      <c r="HG29" s="43" t="n">
        <f aca="false">IF(Tasks[[#This Row],[Expected]]="",0,Tasks[[#This Row],[Expected]]-N(Tasks[[#This Row],[_Days]]))</f>
        <v>0</v>
      </c>
    </row>
    <row r="30" customFormat="false" ht="15" hidden="false" customHeight="false" outlineLevel="0" collapsed="false">
      <c r="A30" s="21" t="str">
        <f aca="false">IF(Tasks[[#This Row],[Task Name]]="","",COUNTA(Tasks[[#Headers],[Task Name]]:Tasks[[#This Row],[Task Name]])-1)</f>
        <v/>
      </c>
      <c r="B30" s="22" t="n">
        <v>38</v>
      </c>
      <c r="C30" s="22"/>
      <c r="D30" s="23"/>
      <c r="E30" s="22"/>
      <c r="F30" s="23"/>
      <c r="G30" s="22"/>
      <c r="H30" s="22"/>
      <c r="I30" s="23"/>
      <c r="J30" s="22"/>
      <c r="K30" s="22"/>
      <c r="L30" s="23"/>
      <c r="M30" s="22"/>
      <c r="N30" s="22"/>
      <c r="O30" s="23"/>
      <c r="P30" s="22"/>
      <c r="Q30" s="22"/>
      <c r="R30" s="23"/>
      <c r="S30" s="23"/>
      <c r="T30" s="84"/>
      <c r="U30" s="23"/>
      <c r="V30" s="84"/>
      <c r="W30" s="23"/>
      <c r="X30" s="84"/>
      <c r="Y30" s="23"/>
      <c r="Z30" s="84"/>
      <c r="AA30" s="23"/>
      <c r="AB30" s="23"/>
      <c r="AC30" s="7"/>
      <c r="AD30" s="7"/>
      <c r="AE30" s="63" t="str">
        <f aca="false">IF(Tasks[[#This Row],[Task Name]]="","",IF(Tasks[[#This Row],[_IsSummary]],MIN(INDEX(Tasks[_ShownFcstStart],Tasks[[#This Row],[_Row]]+1):INDEX(Tasks[_ShownFcstStart],Tasks[[#This Row],[_Row]]+Tasks[[#This Row],[_Descendants]])),Tasks[[#This Row],[_ShownFcstStart]]))</f>
        <v/>
      </c>
      <c r="AF30" s="63" t="str">
        <f aca="false">IF(Tasks[[#This Row],[Task Name]]="","",IF(Tasks[[#This Row],[_IsSummary]],MAX(INDEX(Tasks[_ShownFcstFinish],Tasks[[#This Row],[_Row]]+1):INDEX(Tasks[_ShownFcstFinish],Tasks[[#This Row],[_Row]]+Tasks[[#This Row],[_Descendants]])),Tasks[[#This Row],[_ShownFcstFinish]]))</f>
        <v/>
      </c>
      <c r="AG30" s="21" t="str">
        <f aca="false">""</f>
        <v/>
      </c>
      <c r="AH30" s="23"/>
      <c r="AI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0" s="7"/>
      <c r="AK30" s="22"/>
      <c r="AL30" s="23"/>
      <c r="AM30" s="7"/>
      <c r="AN30" s="47" t="str">
        <f aca="false">IF(Tasks[[#This Row],[Task Name]]="","",IF(Tasks[[#This Row],[Finish]]&gt;=Tasks[[#This Row],[Planned Finish]],NETWORKDAYS.INTL(Tasks[[#This Row],[Planned Finish]],Tasks[[#This Row],[Finish]],WorkWeek,Holidays)-1,1-NETWORKDAYS.INTL(Tasks[[#This Row],[Finish]],Tasks[[#This Row],[Planned Finish]],WorkWeek,Holidays)))</f>
        <v/>
      </c>
      <c r="AO30" s="21" t="str">
        <f aca="false">IF(Tasks[[#This Row],[Task Name]]="","",IF(Tasks[[#This Row],[Progress]]&gt;=1,"Complete",IF(OR(N(Tasks[[#This Row],[Actual Start]])&gt;0,Tasks[[#This Row],[Progress]]&gt;0),IF(Tasks[[#This Row],[Finish Var]]&gt;0,"Behind","In Progress"),IF(Tasks[[#This Row],[Planned Start]]&lt;StatusDate,"Late Start","Not Started"))))</f>
        <v/>
      </c>
      <c r="AP30" s="21" t="str">
        <f aca="false">IF(Tasks[[#This Row],[Task Name]]="","",IF(IF(Tasks[[#This Row],[_IsSummary]],COUNTIF(INDEX(Tasks[_LeafCritical],Tasks[[#This Row],[_Row]]+1):INDEX(Tasks[_LeafCritical],Tasks[[#This Row],[_Row]]+Tasks[[#This Row],[_Descendants]]),TRUE())&gt;0,Tasks[[#This Row],[_LeafCritical]]),"Yes",""))</f>
        <v/>
      </c>
      <c r="AQ30" s="63" t="str">
        <f aca="false">IF(Tasks[[#This Row],[Task Name]]="","",IF(N(Tasks[[#This Row],[Baseline Start]])&gt;0,Tasks[[#This Row],[Baseline Start]],Tasks[[#This Row],[_CalcStart]]))</f>
        <v/>
      </c>
      <c r="AR30" s="63" t="str">
        <f aca="false">IF(Tasks[[#This Row],[Task Name]]="","",IF(N(Tasks[[#This Row],[Baseline Finish]])&gt;0,Tasks[[#This Row],[Baseline Finish]],Tasks[[#This Row],[_CalcFinish]]))</f>
        <v/>
      </c>
      <c r="AS30" s="47" t="str">
        <f aca="false">IF(Tasks[[#This Row],[Task Name]]="","",IF(Tasks[[#This Row],[Start]]&gt;=Tasks[[#This Row],[Planned Start]],NETWORKDAYS.INTL(Tasks[[#This Row],[Planned Start]],Tasks[[#This Row],[Start]],WorkWeek,Holidays)-1,1-NETWORKDAYS.INTL(Tasks[[#This Row],[Start]],Tasks[[#This Row],[Planned Start]],WorkWeek,Holidays)))</f>
        <v/>
      </c>
      <c r="AT30" s="63" t="str">
        <f aca="false">IF(Tasks[[#This Row],[Task Name]]="","",IF(Tasks[[#This Row],[_IsSummary]],MIN(INDEX(Tasks[_LeafLateStart],Tasks[[#This Row],[_Row]]+1):INDEX(Tasks[_LeafLateStart],Tasks[[#This Row],[_Row]]+Tasks[[#This Row],[_Descendants]])),Tasks[[#This Row],[_LeafLateStart]]))</f>
        <v/>
      </c>
      <c r="AU30" s="63" t="str">
        <f aca="false">IF(Tasks[[#This Row],[Task Name]]="","",IF(Tasks[[#This Row],[_IsSummary]],MAX(INDEX(Tasks[_LeafLateFinish],Tasks[[#This Row],[_Row]]+1):INDEX(Tasks[_LeafLateFinish],Tasks[[#This Row],[_Row]]+Tasks[[#This Row],[_Descendants]])),Tasks[[#This Row],[_LeafLateFinish]]))</f>
        <v/>
      </c>
      <c r="AV30" s="47" t="str">
        <f aca="false">IF(Tasks[[#This Row],[Task Name]]="","",IF(Tasks[[#This Row],[_IsSummary]],MIN(INDEX(Tasks[_LeafTotalSlack],Tasks[[#This Row],[_Row]]+1):INDEX(Tasks[_LeafTotalSlack],Tasks[[#This Row],[_Row]]+Tasks[[#This Row],[_Descendants]])),Tasks[[#This Row],[_LeafTotalSlack]]))</f>
        <v/>
      </c>
      <c r="AW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5"/>
      <c r="BA3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1" t="str">
        <f aca="false">IF(Tasks[[#This Row],[Task Name]]="","",IF(Tasks[[#This Row],[_Level]]&lt;=OutlineShowLevel,"Yes","No"))</f>
        <v/>
      </c>
      <c r="BE30" s="86" t="str">
        <f aca="false">IF(Tasks[[#This Row],[Task Name]]="","",IF(Tasks[[#This Row],[_IsSummary]],SUM(INDEX(Tasks[_LeafTotalWork],Tasks[[#This Row],[_Row]]+1):INDEX(Tasks[_LeafTotalWork],Tasks[[#This Row],[_Row]]+Tasks[[#This Row],[_Descendants]])),Tasks[[#This Row],[_LeafTotalWork]]))</f>
        <v/>
      </c>
      <c r="BF30" s="23"/>
      <c r="BG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0" s="21" t="str">
        <f aca="false">""</f>
        <v/>
      </c>
      <c r="BI30" s="87"/>
      <c r="BJ30" s="22"/>
      <c r="BK30" s="47" t="str">
        <f aca="false">IF(OR(Tasks[[#This Row],[Task Name]]="",Tasks[[#This Row],[Baseline Duration]]=""),"",Tasks[[#This Row],[_SpanDays]]-N(Tasks[[#This Row],[Baseline Duration]]))</f>
        <v/>
      </c>
      <c r="BL30" s="86" t="str">
        <f aca="false">IF(OR(Tasks[[#This Row],[Task Name]]="",Tasks[[#This Row],[Baseline Work]]=""),"",Tasks[[#This Row],[Work]]-N(Tasks[[#This Row],[Baseline Work]]))</f>
        <v/>
      </c>
      <c r="BM30" s="63" t="str">
        <f aca="false">IF(Tasks[[#This Row],[Task Name]]="","",IF(OR(TakeBaseline="Yes",N(Tasks[[#This Row],[Baseline Start]])=0),Tasks[[#This Row],[Start]],Tasks[[#This Row],[Baseline Start]]))</f>
        <v/>
      </c>
      <c r="BN30" s="63" t="str">
        <f aca="false">IF(Tasks[[#This Row],[Task Name]]="","",IF(OR(TakeBaseline="Yes",N(Tasks[[#This Row],[Baseline Finish]])=0),Tasks[[#This Row],[Finish]],Tasks[[#This Row],[Baseline Finish]]))</f>
        <v/>
      </c>
      <c r="BO30" s="21" t="str">
        <f aca="false">IF(Tasks[[#This Row],[Task Name]]="","",IF(OR(TakeBaseline="Yes",N(Tasks[[#This Row],[Baseline Duration]])=0),Tasks[[#This Row],[_SpanDays]],Tasks[[#This Row],[Baseline Duration]]))</f>
        <v/>
      </c>
      <c r="BP30" s="86" t="str">
        <f aca="false">IF(Tasks[[#This Row],[Task Name]]="","",IF(OR(TakeBaseline="Yes",N(Tasks[[#This Row],[Baseline Work]])=0),Tasks[[#This Row],[Work]],Tasks[[#This Row],[Baseline Work]]))</f>
        <v/>
      </c>
      <c r="BQ30" s="7"/>
      <c r="BR30" s="7"/>
      <c r="BS30" s="22"/>
      <c r="BT30" s="88"/>
      <c r="BU30" s="23"/>
      <c r="BV30" s="23"/>
      <c r="BW30" s="23"/>
      <c r="BX30" s="89" t="str">
        <f aca="false">IF(AND(Tasks[[#This Row],[_IsLeaf]]=1,ISNUMBER(Tasks[[#This Row],[Optimistic]]),ISNUMBER(Tasks[[#This Row],[Pessimistic]])),ROUND((Tasks[[#This Row],[Optimistic]]+4*N(Tasks[[#This Row],[_Days]])+Tasks[[#This Row],[Pessimistic]])/6,1),"")</f>
        <v/>
      </c>
      <c r="BY30" s="87"/>
      <c r="BZ30" s="87"/>
      <c r="CA30" s="22"/>
      <c r="CB30" s="43" t="str">
        <f aca="false">IF(Tasks[[#This Row],[Task Name]]="","",MAX(1,N(Tasks[[#This Row],[Level]])))</f>
        <v/>
      </c>
      <c r="CC30" s="43" t="n">
        <f aca="false">ROW()-ROW(Tasks[[#Headers],[ID]])</f>
        <v>25</v>
      </c>
      <c r="CD30" s="43" t="n">
        <f aca="false">IF(OR(Tasks[[#This Row],[Task Name]]="",Tasks[[#This Row],[_Level]]&lt;=1),0,IFERROR(LOOKUP(2,1/(Tasks[[#Headers],[_Level]]:Tasks[[#This Row],[_Level]]=Tasks[[#This Row],[_Level]]-1),ROW(Tasks[[#Headers],[_Level]]:Tasks[[#This Row],[_Level]])),0))</f>
        <v>0</v>
      </c>
      <c r="CE30" s="43" t="n">
        <f aca="false">IFERROR(N(INDEX(Tasks[_Level],Tasks[[#This Row],[_Row]]+1)),0)</f>
        <v>0</v>
      </c>
      <c r="CF30" s="90" t="b">
        <f aca="false">AND(Tasks[[#This Row],[Task Name]]&lt;&gt;"",Tasks[[#This Row],[_NextLevel]]&gt;Tasks[[#This Row],[_Level]])</f>
        <v>0</v>
      </c>
      <c r="CG30" s="43" t="n">
        <f aca="false">IF(Tasks[[#This Row],[_IsSummary]],COUNTIF(Tasks[WBS],Tasks[[#This Row],[WBS]]&amp;".*"),0)</f>
        <v>0</v>
      </c>
      <c r="CH30" s="43" t="n">
        <f aca="false">IF(AND(Tasks[[#This Row],[Task Name]]&lt;&gt;"",NOT(Tasks[[#This Row],[_IsSummary]])),1,0)</f>
        <v>0</v>
      </c>
      <c r="CI30" s="43" t="n">
        <f aca="false">IF(N(Tasks[[#This Row],[_Pred1UID]])=0,0,IFERROR(MATCH(Tasks[[#This Row],[_Pred1UID]],Tasks[UID],0),-1))</f>
        <v>0</v>
      </c>
      <c r="CJ30" s="43" t="n">
        <f aca="false">IF(N(Tasks[[#This Row],[_Pred2UID]])=0,0,IFERROR(MATCH(Tasks[[#This Row],[_Pred2UID]],Tasks[UID],0),-1))</f>
        <v>0</v>
      </c>
      <c r="CK30" s="43" t="n">
        <f aca="false">IF(N(Tasks[[#This Row],[_Pred3UID]])=0,0,IFERROR(MATCH(Tasks[[#This Row],[_Pred3UID]],Tasks[UID],0),-1))</f>
        <v>0</v>
      </c>
      <c r="CL30" s="43" t="n">
        <f aca="false">IF(N(Tasks[[#This Row],[_Pred4UID]])=0,0,IFERROR(MATCH(Tasks[[#This Row],[_Pred4UID]],Tasks[UID],0),-1))</f>
        <v>0</v>
      </c>
      <c r="CM3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0" s="91" t="n">
        <f aca="false">IF(OR(Tasks[[#This Row],[_ConstraintCode]]=2,Tasks[[#This Row],[_ConstraintCode]]=3,Tasks[[#This Row],[_ConstraintCode]]=4,Tasks[[#This Row],[_ConstraintCode]]=6),Tasks[[#This Row],[_ConstraintStart]],0)</f>
        <v>0</v>
      </c>
      <c r="CP30" s="91" t="n">
        <f aca="false">IF(OR(Tasks[[#This Row],[_ConstraintCode]]=2,Tasks[[#This Row],[_ConstraintCode]]=3,Tasks[[#This Row],[_ConstraintCode]]=5,Tasks[[#This Row],[_ConstraintCode]]=7),Tasks[[#This Row],[_ConstraintStart]],2958465)</f>
        <v>2958465</v>
      </c>
      <c r="CQ3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0" s="91" t="str">
        <f aca="false">IF(NOT(Tasks[[#This Row],[_IsLeaf]]=1),"",IF(N(Tasks[[#This Row],[_Days]])&lt;=0,Tasks[[#This Row],[_LeafCalcStart]],WORKDAY.INTL(Tasks[[#This Row],[_LeafCalcStart]],Tasks[[#This Row],[_Days]]-1,WorkWeek,Holidays)))</f>
        <v/>
      </c>
      <c r="CS3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0" s="43" t="str">
        <f aca="false">IF(Tasks[[#This Row],[_Predecessors]]="","",TRIM(MID(SUBSTITUTE(SUBSTITUTE(SUBSTITUTE(UPPER(Tasks[[#This Row],[_Predecessors]]),";",",")," ",""),",",REPT(" ",99)),1,99)))</f>
        <v/>
      </c>
      <c r="CV30" s="43" t="str">
        <f aca="false">IF(Tasks[[#This Row],[_Pred1Text]]="","",IFERROR(VALUE(LEFT(Tasks[[#This Row],[_Pred1Text]],MIN(FIND("F",Tasks[[#This Row],[_Pred1Text]]&amp;"F"),FIND("S",Tasks[[#This Row],[_Pred1Text]]&amp;"S"),FIND("+",Tasks[[#This Row],[_Pred1Text]]&amp;"+"),FIND("-",Tasks[[#This Row],[_Pred1Text]]&amp;"-"))-1)),""))</f>
        <v/>
      </c>
      <c r="CW3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0" s="43" t="str">
        <f aca="false">IF(Tasks[[#This Row],[_Pred1Text]]="","",TRIM(MID(SUBSTITUTE(SUBSTITUTE(SUBSTITUTE(UPPER(Tasks[[#This Row],[_Predecessors]]),";",",")," ",""),",",REPT(" ",99)),100,99)))</f>
        <v/>
      </c>
      <c r="CZ30" s="43" t="str">
        <f aca="false">IF(Tasks[[#This Row],[_Pred2Text]]="","",IFERROR(VALUE(LEFT(Tasks[[#This Row],[_Pred2Text]],MIN(FIND("F",Tasks[[#This Row],[_Pred2Text]]&amp;"F"),FIND("S",Tasks[[#This Row],[_Pred2Text]]&amp;"S"),FIND("+",Tasks[[#This Row],[_Pred2Text]]&amp;"+"),FIND("-",Tasks[[#This Row],[_Pred2Text]]&amp;"-"))-1)),""))</f>
        <v/>
      </c>
      <c r="DA3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0" s="43" t="str">
        <f aca="false">IF(Tasks[[#This Row],[_Pred2Text]]="","",TRIM(MID(SUBSTITUTE(SUBSTITUTE(SUBSTITUTE(UPPER(Tasks[[#This Row],[_Predecessors]]),";",",")," ",""),",",REPT(" ",99)),199,99)))</f>
        <v/>
      </c>
      <c r="DD30" s="43" t="str">
        <f aca="false">IF(Tasks[[#This Row],[_Pred3Text]]="","",IFERROR(VALUE(LEFT(Tasks[[#This Row],[_Pred3Text]],MIN(FIND("F",Tasks[[#This Row],[_Pred3Text]]&amp;"F"),FIND("S",Tasks[[#This Row],[_Pred3Text]]&amp;"S"),FIND("+",Tasks[[#This Row],[_Pred3Text]]&amp;"+"),FIND("-",Tasks[[#This Row],[_Pred3Text]]&amp;"-"))-1)),""))</f>
        <v/>
      </c>
      <c r="DE3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0" s="43" t="str">
        <f aca="false">IF(Tasks[[#This Row],[_Pred3Text]]="","",TRIM(MID(SUBSTITUTE(SUBSTITUTE(SUBSTITUTE(UPPER(Tasks[[#This Row],[_Predecessors]]),";",",")," ",""),",",REPT(" ",99)),298,99)))</f>
        <v/>
      </c>
      <c r="DH30" s="43" t="str">
        <f aca="false">IF(Tasks[[#This Row],[_Pred4Text]]="","",IFERROR(VALUE(LEFT(Tasks[[#This Row],[_Pred4Text]],MIN(FIND("F",Tasks[[#This Row],[_Pred4Text]]&amp;"F"),FIND("S",Tasks[[#This Row],[_Pred4Text]]&amp;"S"),FIND("+",Tasks[[#This Row],[_Pred4Text]]&amp;"+"),FIND("-",Tasks[[#This Row],[_Pred4Text]]&amp;"-"))-1)),""))</f>
        <v/>
      </c>
      <c r="DI3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0" s="43" t="str">
        <f aca="false">IF(OR(Tasks[[#This Row],[Task Name]]="",Tasks[[#This Row],[_Resources]]=""),"",TRIM(MID(SUBSTITUTE(Tasks[[#This Row],[_Resources]],",",REPT(" ",99)),1,99)))</f>
        <v/>
      </c>
      <c r="DL30" s="43" t="str">
        <f aca="false">IF(Tasks[[#This Row],[_Res1Text]]="","",TRIM(MID(SUBSTITUTE(Tasks[[#This Row],[_Resources]],",",REPT(" ",99)),100,99)))</f>
        <v/>
      </c>
      <c r="DM30" s="43" t="str">
        <f aca="false">IF(Tasks[[#This Row],[_Res2Text]]="","",TRIM(MID(SUBSTITUTE(Tasks[[#This Row],[_Resources]],",",REPT(" ",99)),199,99)))</f>
        <v/>
      </c>
      <c r="DN30" s="43" t="str">
        <f aca="false">IF(Tasks[[#This Row],[_Res3Text]]="","",TRIM(MID(SUBSTITUTE(Tasks[[#This Row],[_Resources]],",",REPT(" ",99)),298,99)))</f>
        <v/>
      </c>
      <c r="DO30" s="43" t="n">
        <f aca="false">IF(Tasks[[#This Row],[_Res1Text]]="",0,IFERROR(MATCH(TRIM(LEFT(Tasks[[#This Row],[_Res1Text]],FIND("[",Tasks[[#This Row],[_Res1Text]]&amp;"[")-1)),res_Name,0),IFERROR(MATCH(TRIM(LEFT(Tasks[[#This Row],[_Res1Text]],FIND("[",Tasks[[#This Row],[_Res1Text]]&amp;"[")-1)),res_Initials,0),0)))</f>
        <v>0</v>
      </c>
      <c r="DP30" s="43" t="n">
        <f aca="false">IF(Tasks[[#This Row],[_Res2Text]]="",0,IFERROR(MATCH(TRIM(LEFT(Tasks[[#This Row],[_Res2Text]],FIND("[",Tasks[[#This Row],[_Res2Text]]&amp;"[")-1)),res_Name,0),IFERROR(MATCH(TRIM(LEFT(Tasks[[#This Row],[_Res2Text]],FIND("[",Tasks[[#This Row],[_Res2Text]]&amp;"[")-1)),res_Initials,0),0)))</f>
        <v>0</v>
      </c>
      <c r="DQ30" s="43" t="n">
        <f aca="false">IF(Tasks[[#This Row],[_Res3Text]]="",0,IFERROR(MATCH(TRIM(LEFT(Tasks[[#This Row],[_Res3Text]],FIND("[",Tasks[[#This Row],[_Res3Text]]&amp;"[")-1)),res_Name,0),IFERROR(MATCH(TRIM(LEFT(Tasks[[#This Row],[_Res3Text]],FIND("[",Tasks[[#This Row],[_Res3Text]]&amp;"[")-1)),res_Initials,0),0)))</f>
        <v>0</v>
      </c>
      <c r="DR30" s="43" t="n">
        <f aca="false">IF(Tasks[[#This Row],[_Res4Text]]="",0,IFERROR(MATCH(TRIM(LEFT(Tasks[[#This Row],[_Res4Text]],FIND("[",Tasks[[#This Row],[_Res4Text]]&amp;"[")-1)),res_Name,0),IFERROR(MATCH(TRIM(LEFT(Tasks[[#This Row],[_Res4Text]],FIND("[",Tasks[[#This Row],[_Res4Text]]&amp;"[")-1)),res_Initials,0),0)))</f>
        <v>0</v>
      </c>
      <c r="DS30" s="43" t="str">
        <f aca="false">IF(Tasks[[#This Row],[_Res1Text]]="","",IF(Tasks[[#This Row],[_Res1Row]]&gt;0,INDEX(res_Name,Tasks[[#This Row],[_Res1Row]]),TRIM(LEFT(Tasks[[#This Row],[_Res1Text]],FIND("[",Tasks[[#This Row],[_Res1Text]]&amp;"[")-1))))</f>
        <v/>
      </c>
      <c r="DT3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0" s="43" t="n">
        <f aca="false">IF(NOT(Tasks[[#This Row],[_IsLeaf]]=1),0,(Tasks[[#This Row],[_Resource1]]&lt;&gt;"")+(Tasks[[#This Row],[_Res2]]&lt;&gt;"")+(Tasks[[#This Row],[_Res3]]&lt;&gt;"")+(Tasks[[#This Row],[_Res4]]&lt;&gt;""))</f>
        <v>0</v>
      </c>
      <c r="DV30" s="43" t="str">
        <f aca="false">IF(Tasks[[#This Row],[_Res2Text]]="","",IF(Tasks[[#This Row],[_Res2Row]]&gt;0,INDEX(res_Name,Tasks[[#This Row],[_Res2Row]]),TRIM(LEFT(Tasks[[#This Row],[_Res2Text]],FIND("[",Tasks[[#This Row],[_Res2Text]]&amp;"[")-1))))</f>
        <v/>
      </c>
      <c r="DW3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0" s="43" t="n">
        <f aca="false">IF(OR(NOT(Tasks[[#This Row],[_IsLeaf]]=1),Tasks[[#This Row],[_Res2Row]]=0),0,N(Tasks[[#This Row],[_Days]])*HoursPerDay*IF(Tasks[[#This Row],[_Res2Units]]="",DefaultUnits,Tasks[[#This Row],[_Res2Units]]))</f>
        <v>0</v>
      </c>
      <c r="DY30" s="43" t="n">
        <f aca="false">IF(AND(AND(Tasks[[#This Row],[_IsLeaf]]=1,Tasks[[#This Row],[_LeafTotalWork]]&gt;0),Tasks[[#This Row],[_Res2Work]]&gt;0),Tasks[[#This Row],[_Res2Work]]/(Tasks[[#This Row],[_FinishWorkday]]-Tasks[[#This Row],[_StartWorkday]]+1),0)</f>
        <v>0</v>
      </c>
      <c r="DZ30" s="43" t="n">
        <f aca="false">Tasks[[#This Row],[_Res2WorkPerWD]]*MAX(0,Tasks[[#This Row],[_StartWorkday]]-1)</f>
        <v>0</v>
      </c>
      <c r="EA30" s="43" t="n">
        <f aca="false">Tasks[[#This Row],[_Res2Work]]*Tasks[[#This Row],[_LeafProgress]]</f>
        <v>0</v>
      </c>
      <c r="EB30" s="43" t="str">
        <f aca="false">IF(Tasks[[#This Row],[_Res3Text]]="","",IF(Tasks[[#This Row],[_Res3Row]]&gt;0,INDEX(res_Name,Tasks[[#This Row],[_Res3Row]]),TRIM(LEFT(Tasks[[#This Row],[_Res3Text]],FIND("[",Tasks[[#This Row],[_Res3Text]]&amp;"[")-1))))</f>
        <v/>
      </c>
      <c r="EC3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0" s="43" t="n">
        <f aca="false">IF(OR(NOT(Tasks[[#This Row],[_IsLeaf]]=1),Tasks[[#This Row],[_Res3Row]]=0),0,N(Tasks[[#This Row],[_Days]])*HoursPerDay*IF(Tasks[[#This Row],[_Res3Units]]="",DefaultUnits,Tasks[[#This Row],[_Res3Units]]))</f>
        <v>0</v>
      </c>
      <c r="EE30" s="43" t="n">
        <f aca="false">IF(AND(AND(Tasks[[#This Row],[_IsLeaf]]=1,Tasks[[#This Row],[_LeafTotalWork]]&gt;0),Tasks[[#This Row],[_Res3Work]]&gt;0),Tasks[[#This Row],[_Res3Work]]/(Tasks[[#This Row],[_FinishWorkday]]-Tasks[[#This Row],[_StartWorkday]]+1),0)</f>
        <v>0</v>
      </c>
      <c r="EF30" s="43" t="n">
        <f aca="false">Tasks[[#This Row],[_Res3WorkPerWD]]*MAX(0,Tasks[[#This Row],[_StartWorkday]]-1)</f>
        <v>0</v>
      </c>
      <c r="EG30" s="43" t="n">
        <f aca="false">Tasks[[#This Row],[_Res3Work]]*Tasks[[#This Row],[_LeafProgress]]</f>
        <v>0</v>
      </c>
      <c r="EH30" s="43" t="str">
        <f aca="false">IF(Tasks[[#This Row],[_Res4Text]]="","",IF(Tasks[[#This Row],[_Res4Row]]&gt;0,INDEX(res_Name,Tasks[[#This Row],[_Res4Row]]),TRIM(LEFT(Tasks[[#This Row],[_Res4Text]],FIND("[",Tasks[[#This Row],[_Res4Text]]&amp;"[")-1))))</f>
        <v/>
      </c>
      <c r="EI3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0" s="43" t="n">
        <f aca="false">IF(OR(NOT(Tasks[[#This Row],[_IsLeaf]]=1),Tasks[[#This Row],[_Res4Row]]=0),0,N(Tasks[[#This Row],[_Days]])*HoursPerDay*IF(Tasks[[#This Row],[_Res4Units]]="",DefaultUnits,Tasks[[#This Row],[_Res4Units]]))</f>
        <v>0</v>
      </c>
      <c r="EK30" s="43" t="n">
        <f aca="false">IF(AND(AND(Tasks[[#This Row],[_IsLeaf]]=1,Tasks[[#This Row],[_LeafTotalWork]]&gt;0),Tasks[[#This Row],[_Res4Work]]&gt;0),Tasks[[#This Row],[_Res4Work]]/(Tasks[[#This Row],[_FinishWorkday]]-Tasks[[#This Row],[_StartWorkday]]+1),0)</f>
        <v>0</v>
      </c>
      <c r="EL30" s="43" t="n">
        <f aca="false">Tasks[[#This Row],[_Res4WorkPerWD]]*MAX(0,Tasks[[#This Row],[_StartWorkday]]-1)</f>
        <v>0</v>
      </c>
      <c r="EM30" s="43" t="n">
        <f aca="false">Tasks[[#This Row],[_Res4Work]]*Tasks[[#This Row],[_LeafProgress]]</f>
        <v>0</v>
      </c>
      <c r="EN30" s="43" t="n">
        <f aca="false">IF(ISNUMBER(Tasks[[#This Row],[% Complete]]),Tasks[[#This Row],[% Complete]],IF(Tasks[[#This Row],[Stage]]="",0,IFERROR(INDEX(stg_Pct,MATCH(Tasks[[#This Row],[Stage]],stg_Name,0)),0)))</f>
        <v>0</v>
      </c>
      <c r="EO30" s="43" t="n">
        <f aca="false">IF(NOT(Tasks[[#This Row],[_IsLeaf]]=1),0,IF(N(Tasks[[#This Row],[Actual Finish]])&gt;0,1,MIN(1,Tasks[[#This Row],[_Pct]])))</f>
        <v>0</v>
      </c>
      <c r="EP30" s="43" t="n">
        <f aca="false">IF(OR(NOT(Tasks[[#This Row],[_IsLeaf]]=1),Tasks[[#This Row],[_Res1Row]]=0),0,N(Tasks[[#This Row],[_Days]])*HoursPerDay*IF(Tasks[[#This Row],[_Units1]]="",DefaultUnits,Tasks[[#This Row],[_Units1]]))</f>
        <v>0</v>
      </c>
      <c r="EQ30" s="43" t="n">
        <f aca="false">Tasks[[#This Row],[_LeafWork]]+Tasks[[#This Row],[_Res2Work]]+Tasks[[#This Row],[_Res3Work]]+Tasks[[#This Row],[_Res4Work]]</f>
        <v>0</v>
      </c>
      <c r="ER3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0" s="43" t="n">
        <f aca="false">IF(NOT(Tasks[[#This Row],[_IsLeaf]]=1),0,MAX(_xlfn.MAXIFS(Tasks[_Row],Tasks[_Pred1UID],Tasks[[#This Row],[UID]]),_xlfn.MAXIFS(Tasks[_Row],Tasks[_Pred2UID],Tasks[[#This Row],[UID]]),_xlfn.MAXIFS(Tasks[_Row],Tasks[_Pred3UID],Tasks[[#This Row],[UID]]),_xlfn.MAXIFS(Tasks[_Row],Tasks[_Pred4UID],Tasks[[#This Row],[UID]])))</f>
        <v>0</v>
      </c>
      <c r="FA3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0" s="91" t="str">
        <f aca="false">IF(NOT(Tasks[[#This Row],[_IsLeaf]]=1),"",IF(N(Tasks[[#This Row],[_Days]])&lt;=0,Tasks[[#This Row],[_LeafLateFinish]],WORKDAY.INTL(Tasks[[#This Row],[_LeafLateFinish]],-(Tasks[[#This Row],[_Days]]-1),WorkWeek,Holidays)))</f>
        <v/>
      </c>
      <c r="FD3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0" s="90" t="b">
        <f aca="false">AND(Tasks[[#This Row],[_IsLeaf]]=1,Tasks[[#This Row],[_LeafProgress]]&lt;1,N(Tasks[[#This Row],[_LeafTotalSlack]])&lt;=CriticalSlackDays)</f>
        <v>0</v>
      </c>
      <c r="FF30" s="43" t="n">
        <f aca="false">IF(AND(Tasks[[#This Row],[_IsLeaf]]=1,Tasks[[#This Row],[_ConstraintCode]]=1,Tasks[[#This Row],[Mode]]&lt;&gt;"Manual",N(Tasks[[#This Row],[Actual Start]])=0),MAX(0,N(Tasks[[#This Row],[Free Slack]])),0)</f>
        <v>0</v>
      </c>
      <c r="FG30" s="91" t="str">
        <f aca="false">IF(NOT(Tasks[[#This Row],[_IsLeaf]]=1),"",IF(Tasks[[#This Row],[_AlapShift]]=0,Tasks[[#This Row],[_LeafCalcStart]],WORKDAY.INTL(Tasks[[#This Row],[_LeafCalcStart]],Tasks[[#This Row],[_AlapShift]],WorkWeek,Holidays)))</f>
        <v/>
      </c>
      <c r="FH30" s="91" t="str">
        <f aca="false">IF(NOT(Tasks[[#This Row],[_IsLeaf]]=1),"",IF(Tasks[[#This Row],[_AlapShift]]=0,Tasks[[#This Row],[_LeafCalcFinish]],WORKDAY.INTL(Tasks[[#This Row],[_LeafCalcFinish]],Tasks[[#This Row],[_AlapShift]],WorkWeek,Holidays)))</f>
        <v/>
      </c>
      <c r="FI30" s="91" t="str">
        <f aca="false">IF(NOT(Tasks[[#This Row],[_IsLeaf]]=1),"",IF(Tasks[[#This Row],[_AlapShift]]=0,Tasks[[#This Row],[_LeafFcstStart]],WORKDAY.INTL(Tasks[[#This Row],[_LeafFcstStart]],Tasks[[#This Row],[_AlapShift]],WorkWeek,Holidays)))</f>
        <v/>
      </c>
      <c r="FJ30" s="91" t="str">
        <f aca="false">IF(NOT(Tasks[[#This Row],[_IsLeaf]]=1),"",IF(Tasks[[#This Row],[_AlapShift]]=0,Tasks[[#This Row],[_LeafFcstFinish]],WORKDAY.INTL(Tasks[[#This Row],[_LeafFcstFinish]],Tasks[[#This Row],[_AlapShift]],WorkWeek,Holidays)))</f>
        <v/>
      </c>
      <c r="FK30" s="91" t="str">
        <f aca="false">IF(Tasks[[#This Row],[Task Name]]="","",IF(Tasks[[#This Row],[_IsSummary]],MIN(INDEX(Tasks[_ShownCalcStart],Tasks[[#This Row],[_Row]]+1):INDEX(Tasks[_ShownCalcStart],Tasks[[#This Row],[_Row]]+Tasks[[#This Row],[_Descendants]])),Tasks[[#This Row],[_ShownCalcStart]]))</f>
        <v/>
      </c>
      <c r="FL30" s="91" t="str">
        <f aca="false">IF(Tasks[[#This Row],[Task Name]]="","",IF(Tasks[[#This Row],[_IsSummary]],MAX(INDEX(Tasks[_ShownCalcFinish],Tasks[[#This Row],[_Row]]+1):INDEX(Tasks[_ShownCalcFinish],Tasks[[#This Row],[_Row]]+Tasks[[#This Row],[_Descendants]])),Tasks[[#This Row],[_ShownCalcFinish]]))</f>
        <v/>
      </c>
      <c r="FM3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0" s="43" t="n">
        <f aca="false">IF(AND(Tasks[[#This Row],[_IsLeaf]]=1,Tasks[[#This Row],[_LeafTotalWork]]&gt;0),NETWORKDAYS.INTL(ProjectStart,Tasks[[#This Row],[_ShownFcstStart]],WorkWeek,Holidays),0)</f>
        <v>0</v>
      </c>
      <c r="FZ30" s="43" t="n">
        <f aca="false">IF(AND(Tasks[[#This Row],[_IsLeaf]]=1,Tasks[[#This Row],[_LeafTotalWork]]&gt;0),MAX(Tasks[[#This Row],[_StartWorkday]],NETWORKDAYS.INTL(ProjectStart,Tasks[[#This Row],[_ShownFcstFinish]],WorkWeek,Holidays)),0)</f>
        <v>0</v>
      </c>
      <c r="GA30" s="43" t="n">
        <f aca="false">IF(AND(Tasks[[#This Row],[_IsLeaf]]=1,Tasks[[#This Row],[_LeafTotalWork]]&gt;0),Tasks[[#This Row],[_LeafWork]]/(Tasks[[#This Row],[_FinishWorkday]]-Tasks[[#This Row],[_StartWorkday]]+1),0)</f>
        <v>0</v>
      </c>
      <c r="GB30" s="43" t="n">
        <f aca="false">Tasks[[#This Row],[_WorkPerWorkday]]*(Tasks[[#This Row],[_StartWorkday]]-1)</f>
        <v>-0</v>
      </c>
      <c r="GC30" s="43" t="n">
        <f aca="false">IF(Tasks[[#This Row],[_IsLeaf]]=1,MAX(N(Tasks[[#This Row],[_Days]]),0.1),0)</f>
        <v>0</v>
      </c>
      <c r="GD30" s="43" t="n">
        <f aca="false">Tasks[[#This Row],[_WeightDur]]*Tasks[[#This Row],[_LeafProgress]]</f>
        <v>0</v>
      </c>
      <c r="GE30" s="43" t="n">
        <f aca="false">Tasks[[#This Row],[_WeightDur]]*Tasks[[#This Row],[_PlannedPct]]</f>
        <v>0</v>
      </c>
      <c r="GF3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0" s="43" t="str">
        <f aca="false">IF(AND(Tasks[[#This Row],[_IsLeaf]]=1,N(Tasks[[#This Row],[_Days]])=0,Tasks[[#This Row],[_LeafProgress]]&lt;1),Tasks[[#This Row],[_ShownFcstFinish]]+Tasks[[#This Row],[_Row]]/100000,"")</f>
        <v/>
      </c>
      <c r="GH3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0" s="43" t="str">
        <f aca="false">IF(Tasks[[#This Row],[Task Name]]="","",LEFT(Tasks[[#This Row],[WBS]],FIND(".",Tasks[[#This Row],[WBS]]&amp;".")-1))</f>
        <v/>
      </c>
      <c r="GJ30" s="43" t="str">
        <f aca="false">IF(AND(Tasks[[#This Row],[Task Name]]&lt;&gt;"",Tasks[[#This Row],[_Level]]=1),Tasks[[#This Row],[_Row]],"")</f>
        <v/>
      </c>
      <c r="GK30" s="43" t="str">
        <f aca="false">IF(AND(Tasks[[#This Row],[_IsLeaf]]=1,N(Tasks[[#This Row],[_Days]])=0),Tasks[[#This Row],[Planned Finish]]+Tasks[[#This Row],[_Row]]/100000,"")</f>
        <v/>
      </c>
      <c r="GL30" s="43" t="str">
        <f aca="false">IF(AND(Tasks[[#This Row],[_IsLeaf]]=1,Tasks[[#This Row],[_LeafProgress]]&lt;1,OR(N(Tasks[[#This Row],[Finish Var]])&gt;0,Tasks[[#This Row],[Status]]="Late Start")),MAX(0,Tasks[[#This Row],[Finish Var]])+1-Tasks[[#This Row],[_Row]]/1000000,"")</f>
        <v/>
      </c>
      <c r="GM30" s="43" t="str">
        <f aca="false">IF(AND(Tasks[[#This Row],[_IsLeaf]]=1,N(Tasks[[#This Row],[Actual Start]])=0,Tasks[[#This Row],[_ShownFcstStart]]&gt;=StatusDate,Tasks[[#This Row],[_ShownFcstStart]]&lt;=LookaheadEnd),Tasks[[#This Row],[_ShownFcstStart]]+Tasks[[#This Row],[_Row]]/100000,"")</f>
        <v/>
      </c>
      <c r="GN30" s="43" t="str">
        <f aca="false">IF(AND(Tasks[[#This Row],[_IsLeaf]]=1,Tasks[[#This Row],[_LeafProgress]]&lt;1,Tasks[[#This Row],[_ShownFcstFinish]]&gt;=StatusDate,Tasks[[#This Row],[_ShownFcstFinish]]&lt;=LookaheadEnd),Tasks[[#This Row],[_ShownFcstFinish]]+Tasks[[#This Row],[_Row]]/100000,"")</f>
        <v/>
      </c>
      <c r="GO30" s="43" t="str">
        <f aca="false">IF(Tasks[[#This Row],[_LeafCritical]],Tasks[[#This Row],[_ShownFcstStart]]+Tasks[[#This Row],[_Row]]/100000,"")</f>
        <v/>
      </c>
      <c r="GP30" s="43" t="n">
        <f aca="false">Tasks[[#This Row],[_LeafWork]]*Tasks[[#This Row],[_LeafProgress]]</f>
        <v>0</v>
      </c>
      <c r="GQ30" s="91" t="str">
        <f aca="false">IF(AND(Tasks[[#This Row],[_IsLeaf]]=1,Tasks[[#This Row],[_LeafProgress]]&gt;=1),IF(N(Tasks[[#This Row],[Actual Finish]])&gt;0,Tasks[[#This Row],[Actual Finish]],Tasks[[#This Row],[_ShownFcstFinish]]),"")</f>
        <v/>
      </c>
      <c r="GR30" s="43" t="n">
        <f aca="false">IF(Tasks[[#This Row],[_IsLeaf]]=1,N(Tasks[[#This Row],[Story Points]]),0)</f>
        <v>0</v>
      </c>
      <c r="GS30" s="43" t="str">
        <f aca="false">""</f>
        <v/>
      </c>
      <c r="GT30" s="90" t="b">
        <f aca="false">IF(Tasks[[#This Row],[Task Name]]="",FALSE(),AND(Tasks[[#This Row],[_IsLeaf]]=1,N(Tasks[[#This Row],[_Days]])=0))</f>
        <v>0</v>
      </c>
      <c r="GU30" s="91" t="n">
        <f aca="false">IF(Tasks[[#This Row],[Task Name]]="",0,IF(AND(Tasks[[#This Row],[_IsLeaf]]=1,NOT(Tasks[[#This Row],[_IsMilestone]]),N(Tasks[[#This Row],[Progress]])&gt;0),Tasks[[#This Row],[Start]],0))</f>
        <v>0</v>
      </c>
      <c r="GV30" s="91" t="n">
        <f aca="false">IF(Tasks[[#This Row],[_DoneFrom]]=0,0,IF(Tasks[[#This Row],[Progress]]&gt;=1,Tasks[[#This Row],[Finish]],MAX(Tasks[[#This Row],[_DoneFrom]],Tasks[[#This Row],[Start]]+ROUND((Tasks[[#This Row],[Finish]]-Tasks[[#This Row],[Start]]+1)*Tasks[[#This Row],[Progress]],0)-1)))</f>
        <v>0</v>
      </c>
      <c r="GW30" s="91" t="n">
        <f aca="false">IF(Tasks[[#This Row],[Task Name]]="",0,IF(OR(NOT(Tasks[[#This Row],[_IsLeaf]]=1),Tasks[[#This Row],[_IsMilestone]],N(Tasks[[#This Row],[Progress]])&gt;=1),0,IF(Tasks[[#This Row],[_DoneTo]]&gt;0,Tasks[[#This Row],[_DoneTo]]+1,Tasks[[#This Row],[Start]])))</f>
        <v>0</v>
      </c>
      <c r="GX30" s="91" t="n">
        <f aca="false">IF(Tasks[[#This Row],[_RemFrom]]=0,0,Tasks[[#This Row],[Finish]])</f>
        <v>0</v>
      </c>
      <c r="GY30" s="90" t="b">
        <f aca="false">IF(Tasks[[#This Row],[Task Name]]="",FALSE(),OR(NOT(BaselineSet),N(Tasks[[#This Row],[Baseline Start]])&gt;0))</f>
        <v>0</v>
      </c>
      <c r="GZ3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0" s="92" t="str">
        <f aca="false">IF(Tasks[[#This Row],[_IsLeaf]]=1,Tasks[[#This Row],[_Row]],"")</f>
        <v/>
      </c>
      <c r="HD30" s="92" t="str">
        <f aca="false">IFERROR(INDEX(Tasks[UID],SMALL(Tasks[_PickKey],Tasks[[#This Row],[_Row]]))&amp;" "&amp;INDEX(Tasks[Task Name],SMALL(Tasks[_PickKey],Tasks[[#This Row],[_Row]])),"")</f>
        <v/>
      </c>
      <c r="HE30" s="43" t="str">
        <f aca="false">IF(Tasks[[#This Row],[Task Name]]="","",IF(Tasks[[#This Row],[_IsSummary]],NETWORKDAYS.INTL(Tasks[[#This Row],[Start]],Tasks[[#This Row],[Finish]],WorkWeek,Holidays),N(Tasks[[#This Row],[_Days]])))</f>
        <v/>
      </c>
      <c r="HF30" s="43" t="n">
        <f aca="false">IF(Tasks[[#This Row],[Expected]]="",0,((Tasks[[#This Row],[Pessimistic]]-Tasks[[#This Row],[Optimistic]])/6)^2)</f>
        <v>0</v>
      </c>
      <c r="HG30" s="43" t="n">
        <f aca="false">IF(Tasks[[#This Row],[Expected]]="",0,Tasks[[#This Row],[Expected]]-N(Tasks[[#This Row],[_Days]]))</f>
        <v>0</v>
      </c>
    </row>
    <row r="31" customFormat="false" ht="15" hidden="false" customHeight="false" outlineLevel="0" collapsed="false">
      <c r="A31" s="21" t="str">
        <f aca="false">IF(Tasks[[#This Row],[Task Name]]="","",COUNTA(Tasks[[#Headers],[Task Name]]:Tasks[[#This Row],[Task Name]])-1)</f>
        <v/>
      </c>
      <c r="B31" s="22" t="n">
        <v>39</v>
      </c>
      <c r="C31" s="22"/>
      <c r="D31" s="23"/>
      <c r="E31" s="22"/>
      <c r="F31" s="23"/>
      <c r="G31" s="22"/>
      <c r="H31" s="22"/>
      <c r="I31" s="23"/>
      <c r="J31" s="22"/>
      <c r="K31" s="22"/>
      <c r="L31" s="23"/>
      <c r="M31" s="22"/>
      <c r="N31" s="22"/>
      <c r="O31" s="23"/>
      <c r="P31" s="22"/>
      <c r="Q31" s="22"/>
      <c r="R31" s="23"/>
      <c r="S31" s="23"/>
      <c r="T31" s="84"/>
      <c r="U31" s="23"/>
      <c r="V31" s="84"/>
      <c r="W31" s="23"/>
      <c r="X31" s="84"/>
      <c r="Y31" s="23"/>
      <c r="Z31" s="84"/>
      <c r="AA31" s="23"/>
      <c r="AB31" s="23"/>
      <c r="AC31" s="7"/>
      <c r="AD31" s="7"/>
      <c r="AE31" s="63" t="str">
        <f aca="false">IF(Tasks[[#This Row],[Task Name]]="","",IF(Tasks[[#This Row],[_IsSummary]],MIN(INDEX(Tasks[_ShownFcstStart],Tasks[[#This Row],[_Row]]+1):INDEX(Tasks[_ShownFcstStart],Tasks[[#This Row],[_Row]]+Tasks[[#This Row],[_Descendants]])),Tasks[[#This Row],[_ShownFcstStart]]))</f>
        <v/>
      </c>
      <c r="AF31" s="63" t="str">
        <f aca="false">IF(Tasks[[#This Row],[Task Name]]="","",IF(Tasks[[#This Row],[_IsSummary]],MAX(INDEX(Tasks[_ShownFcstFinish],Tasks[[#This Row],[_Row]]+1):INDEX(Tasks[_ShownFcstFinish],Tasks[[#This Row],[_Row]]+Tasks[[#This Row],[_Descendants]])),Tasks[[#This Row],[_ShownFcstFinish]]))</f>
        <v/>
      </c>
      <c r="AG31" s="21" t="str">
        <f aca="false">""</f>
        <v/>
      </c>
      <c r="AH31" s="23"/>
      <c r="AI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1" s="7"/>
      <c r="AK31" s="22"/>
      <c r="AL31" s="23"/>
      <c r="AM31" s="7"/>
      <c r="AN31" s="47" t="str">
        <f aca="false">IF(Tasks[[#This Row],[Task Name]]="","",IF(Tasks[[#This Row],[Finish]]&gt;=Tasks[[#This Row],[Planned Finish]],NETWORKDAYS.INTL(Tasks[[#This Row],[Planned Finish]],Tasks[[#This Row],[Finish]],WorkWeek,Holidays)-1,1-NETWORKDAYS.INTL(Tasks[[#This Row],[Finish]],Tasks[[#This Row],[Planned Finish]],WorkWeek,Holidays)))</f>
        <v/>
      </c>
      <c r="AO31" s="21" t="str">
        <f aca="false">IF(Tasks[[#This Row],[Task Name]]="","",IF(Tasks[[#This Row],[Progress]]&gt;=1,"Complete",IF(OR(N(Tasks[[#This Row],[Actual Start]])&gt;0,Tasks[[#This Row],[Progress]]&gt;0),IF(Tasks[[#This Row],[Finish Var]]&gt;0,"Behind","In Progress"),IF(Tasks[[#This Row],[Planned Start]]&lt;StatusDate,"Late Start","Not Started"))))</f>
        <v/>
      </c>
      <c r="AP31" s="21" t="str">
        <f aca="false">IF(Tasks[[#This Row],[Task Name]]="","",IF(IF(Tasks[[#This Row],[_IsSummary]],COUNTIF(INDEX(Tasks[_LeafCritical],Tasks[[#This Row],[_Row]]+1):INDEX(Tasks[_LeafCritical],Tasks[[#This Row],[_Row]]+Tasks[[#This Row],[_Descendants]]),TRUE())&gt;0,Tasks[[#This Row],[_LeafCritical]]),"Yes",""))</f>
        <v/>
      </c>
      <c r="AQ31" s="63" t="str">
        <f aca="false">IF(Tasks[[#This Row],[Task Name]]="","",IF(N(Tasks[[#This Row],[Baseline Start]])&gt;0,Tasks[[#This Row],[Baseline Start]],Tasks[[#This Row],[_CalcStart]]))</f>
        <v/>
      </c>
      <c r="AR31" s="63" t="str">
        <f aca="false">IF(Tasks[[#This Row],[Task Name]]="","",IF(N(Tasks[[#This Row],[Baseline Finish]])&gt;0,Tasks[[#This Row],[Baseline Finish]],Tasks[[#This Row],[_CalcFinish]]))</f>
        <v/>
      </c>
      <c r="AS31" s="47" t="str">
        <f aca="false">IF(Tasks[[#This Row],[Task Name]]="","",IF(Tasks[[#This Row],[Start]]&gt;=Tasks[[#This Row],[Planned Start]],NETWORKDAYS.INTL(Tasks[[#This Row],[Planned Start]],Tasks[[#This Row],[Start]],WorkWeek,Holidays)-1,1-NETWORKDAYS.INTL(Tasks[[#This Row],[Start]],Tasks[[#This Row],[Planned Start]],WorkWeek,Holidays)))</f>
        <v/>
      </c>
      <c r="AT31" s="63" t="str">
        <f aca="false">IF(Tasks[[#This Row],[Task Name]]="","",IF(Tasks[[#This Row],[_IsSummary]],MIN(INDEX(Tasks[_LeafLateStart],Tasks[[#This Row],[_Row]]+1):INDEX(Tasks[_LeafLateStart],Tasks[[#This Row],[_Row]]+Tasks[[#This Row],[_Descendants]])),Tasks[[#This Row],[_LeafLateStart]]))</f>
        <v/>
      </c>
      <c r="AU31" s="63" t="str">
        <f aca="false">IF(Tasks[[#This Row],[Task Name]]="","",IF(Tasks[[#This Row],[_IsSummary]],MAX(INDEX(Tasks[_LeafLateFinish],Tasks[[#This Row],[_Row]]+1):INDEX(Tasks[_LeafLateFinish],Tasks[[#This Row],[_Row]]+Tasks[[#This Row],[_Descendants]])),Tasks[[#This Row],[_LeafLateFinish]]))</f>
        <v/>
      </c>
      <c r="AV31" s="47" t="str">
        <f aca="false">IF(Tasks[[#This Row],[Task Name]]="","",IF(Tasks[[#This Row],[_IsSummary]],MIN(INDEX(Tasks[_LeafTotalSlack],Tasks[[#This Row],[_Row]]+1):INDEX(Tasks[_LeafTotalSlack],Tasks[[#This Row],[_Row]]+Tasks[[#This Row],[_Descendants]])),Tasks[[#This Row],[_LeafTotalSlack]]))</f>
        <v/>
      </c>
      <c r="AW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5"/>
      <c r="BA3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1" t="str">
        <f aca="false">IF(Tasks[[#This Row],[Task Name]]="","",IF(Tasks[[#This Row],[_Level]]&lt;=OutlineShowLevel,"Yes","No"))</f>
        <v/>
      </c>
      <c r="BE31" s="86" t="str">
        <f aca="false">IF(Tasks[[#This Row],[Task Name]]="","",IF(Tasks[[#This Row],[_IsSummary]],SUM(INDEX(Tasks[_LeafTotalWork],Tasks[[#This Row],[_Row]]+1):INDEX(Tasks[_LeafTotalWork],Tasks[[#This Row],[_Row]]+Tasks[[#This Row],[_Descendants]])),Tasks[[#This Row],[_LeafTotalWork]]))</f>
        <v/>
      </c>
      <c r="BF31" s="23"/>
      <c r="BG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1" s="21" t="str">
        <f aca="false">""</f>
        <v/>
      </c>
      <c r="BI31" s="87"/>
      <c r="BJ31" s="22"/>
      <c r="BK31" s="47" t="str">
        <f aca="false">IF(OR(Tasks[[#This Row],[Task Name]]="",Tasks[[#This Row],[Baseline Duration]]=""),"",Tasks[[#This Row],[_SpanDays]]-N(Tasks[[#This Row],[Baseline Duration]]))</f>
        <v/>
      </c>
      <c r="BL31" s="86" t="str">
        <f aca="false">IF(OR(Tasks[[#This Row],[Task Name]]="",Tasks[[#This Row],[Baseline Work]]=""),"",Tasks[[#This Row],[Work]]-N(Tasks[[#This Row],[Baseline Work]]))</f>
        <v/>
      </c>
      <c r="BM31" s="63" t="str">
        <f aca="false">IF(Tasks[[#This Row],[Task Name]]="","",IF(OR(TakeBaseline="Yes",N(Tasks[[#This Row],[Baseline Start]])=0),Tasks[[#This Row],[Start]],Tasks[[#This Row],[Baseline Start]]))</f>
        <v/>
      </c>
      <c r="BN31" s="63" t="str">
        <f aca="false">IF(Tasks[[#This Row],[Task Name]]="","",IF(OR(TakeBaseline="Yes",N(Tasks[[#This Row],[Baseline Finish]])=0),Tasks[[#This Row],[Finish]],Tasks[[#This Row],[Baseline Finish]]))</f>
        <v/>
      </c>
      <c r="BO31" s="21" t="str">
        <f aca="false">IF(Tasks[[#This Row],[Task Name]]="","",IF(OR(TakeBaseline="Yes",N(Tasks[[#This Row],[Baseline Duration]])=0),Tasks[[#This Row],[_SpanDays]],Tasks[[#This Row],[Baseline Duration]]))</f>
        <v/>
      </c>
      <c r="BP31" s="86" t="str">
        <f aca="false">IF(Tasks[[#This Row],[Task Name]]="","",IF(OR(TakeBaseline="Yes",N(Tasks[[#This Row],[Baseline Work]])=0),Tasks[[#This Row],[Work]],Tasks[[#This Row],[Baseline Work]]))</f>
        <v/>
      </c>
      <c r="BQ31" s="7"/>
      <c r="BR31" s="7"/>
      <c r="BS31" s="22"/>
      <c r="BT31" s="88"/>
      <c r="BU31" s="23"/>
      <c r="BV31" s="23"/>
      <c r="BW31" s="23"/>
      <c r="BX31" s="89" t="str">
        <f aca="false">IF(AND(Tasks[[#This Row],[_IsLeaf]]=1,ISNUMBER(Tasks[[#This Row],[Optimistic]]),ISNUMBER(Tasks[[#This Row],[Pessimistic]])),ROUND((Tasks[[#This Row],[Optimistic]]+4*N(Tasks[[#This Row],[_Days]])+Tasks[[#This Row],[Pessimistic]])/6,1),"")</f>
        <v/>
      </c>
      <c r="BY31" s="87"/>
      <c r="BZ31" s="87"/>
      <c r="CA31" s="22"/>
      <c r="CB31" s="43" t="str">
        <f aca="false">IF(Tasks[[#This Row],[Task Name]]="","",MAX(1,N(Tasks[[#This Row],[Level]])))</f>
        <v/>
      </c>
      <c r="CC31" s="43" t="n">
        <f aca="false">ROW()-ROW(Tasks[[#Headers],[ID]])</f>
        <v>26</v>
      </c>
      <c r="CD31" s="43" t="n">
        <f aca="false">IF(OR(Tasks[[#This Row],[Task Name]]="",Tasks[[#This Row],[_Level]]&lt;=1),0,IFERROR(LOOKUP(2,1/(Tasks[[#Headers],[_Level]]:Tasks[[#This Row],[_Level]]=Tasks[[#This Row],[_Level]]-1),ROW(Tasks[[#Headers],[_Level]]:Tasks[[#This Row],[_Level]])),0))</f>
        <v>0</v>
      </c>
      <c r="CE31" s="43" t="n">
        <f aca="false">IFERROR(N(INDEX(Tasks[_Level],Tasks[[#This Row],[_Row]]+1)),0)</f>
        <v>0</v>
      </c>
      <c r="CF31" s="90" t="b">
        <f aca="false">AND(Tasks[[#This Row],[Task Name]]&lt;&gt;"",Tasks[[#This Row],[_NextLevel]]&gt;Tasks[[#This Row],[_Level]])</f>
        <v>0</v>
      </c>
      <c r="CG31" s="43" t="n">
        <f aca="false">IF(Tasks[[#This Row],[_IsSummary]],COUNTIF(Tasks[WBS],Tasks[[#This Row],[WBS]]&amp;".*"),0)</f>
        <v>0</v>
      </c>
      <c r="CH31" s="43" t="n">
        <f aca="false">IF(AND(Tasks[[#This Row],[Task Name]]&lt;&gt;"",NOT(Tasks[[#This Row],[_IsSummary]])),1,0)</f>
        <v>0</v>
      </c>
      <c r="CI31" s="43" t="n">
        <f aca="false">IF(N(Tasks[[#This Row],[_Pred1UID]])=0,0,IFERROR(MATCH(Tasks[[#This Row],[_Pred1UID]],Tasks[UID],0),-1))</f>
        <v>0</v>
      </c>
      <c r="CJ31" s="43" t="n">
        <f aca="false">IF(N(Tasks[[#This Row],[_Pred2UID]])=0,0,IFERROR(MATCH(Tasks[[#This Row],[_Pred2UID]],Tasks[UID],0),-1))</f>
        <v>0</v>
      </c>
      <c r="CK31" s="43" t="n">
        <f aca="false">IF(N(Tasks[[#This Row],[_Pred3UID]])=0,0,IFERROR(MATCH(Tasks[[#This Row],[_Pred3UID]],Tasks[UID],0),-1))</f>
        <v>0</v>
      </c>
      <c r="CL31" s="43" t="n">
        <f aca="false">IF(N(Tasks[[#This Row],[_Pred4UID]])=0,0,IFERROR(MATCH(Tasks[[#This Row],[_Pred4UID]],Tasks[UID],0),-1))</f>
        <v>0</v>
      </c>
      <c r="CM3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1" s="91" t="n">
        <f aca="false">IF(OR(Tasks[[#This Row],[_ConstraintCode]]=2,Tasks[[#This Row],[_ConstraintCode]]=3,Tasks[[#This Row],[_ConstraintCode]]=4,Tasks[[#This Row],[_ConstraintCode]]=6),Tasks[[#This Row],[_ConstraintStart]],0)</f>
        <v>0</v>
      </c>
      <c r="CP31" s="91" t="n">
        <f aca="false">IF(OR(Tasks[[#This Row],[_ConstraintCode]]=2,Tasks[[#This Row],[_ConstraintCode]]=3,Tasks[[#This Row],[_ConstraintCode]]=5,Tasks[[#This Row],[_ConstraintCode]]=7),Tasks[[#This Row],[_ConstraintStart]],2958465)</f>
        <v>2958465</v>
      </c>
      <c r="CQ3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1" s="91" t="str">
        <f aca="false">IF(NOT(Tasks[[#This Row],[_IsLeaf]]=1),"",IF(N(Tasks[[#This Row],[_Days]])&lt;=0,Tasks[[#This Row],[_LeafCalcStart]],WORKDAY.INTL(Tasks[[#This Row],[_LeafCalcStart]],Tasks[[#This Row],[_Days]]-1,WorkWeek,Holidays)))</f>
        <v/>
      </c>
      <c r="CS3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1" s="43" t="str">
        <f aca="false">IF(Tasks[[#This Row],[_Predecessors]]="","",TRIM(MID(SUBSTITUTE(SUBSTITUTE(SUBSTITUTE(UPPER(Tasks[[#This Row],[_Predecessors]]),";",",")," ",""),",",REPT(" ",99)),1,99)))</f>
        <v/>
      </c>
      <c r="CV31" s="43" t="str">
        <f aca="false">IF(Tasks[[#This Row],[_Pred1Text]]="","",IFERROR(VALUE(LEFT(Tasks[[#This Row],[_Pred1Text]],MIN(FIND("F",Tasks[[#This Row],[_Pred1Text]]&amp;"F"),FIND("S",Tasks[[#This Row],[_Pred1Text]]&amp;"S"),FIND("+",Tasks[[#This Row],[_Pred1Text]]&amp;"+"),FIND("-",Tasks[[#This Row],[_Pred1Text]]&amp;"-"))-1)),""))</f>
        <v/>
      </c>
      <c r="CW3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1" s="43" t="str">
        <f aca="false">IF(Tasks[[#This Row],[_Pred1Text]]="","",TRIM(MID(SUBSTITUTE(SUBSTITUTE(SUBSTITUTE(UPPER(Tasks[[#This Row],[_Predecessors]]),";",",")," ",""),",",REPT(" ",99)),100,99)))</f>
        <v/>
      </c>
      <c r="CZ31" s="43" t="str">
        <f aca="false">IF(Tasks[[#This Row],[_Pred2Text]]="","",IFERROR(VALUE(LEFT(Tasks[[#This Row],[_Pred2Text]],MIN(FIND("F",Tasks[[#This Row],[_Pred2Text]]&amp;"F"),FIND("S",Tasks[[#This Row],[_Pred2Text]]&amp;"S"),FIND("+",Tasks[[#This Row],[_Pred2Text]]&amp;"+"),FIND("-",Tasks[[#This Row],[_Pred2Text]]&amp;"-"))-1)),""))</f>
        <v/>
      </c>
      <c r="DA3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1" s="43" t="str">
        <f aca="false">IF(Tasks[[#This Row],[_Pred2Text]]="","",TRIM(MID(SUBSTITUTE(SUBSTITUTE(SUBSTITUTE(UPPER(Tasks[[#This Row],[_Predecessors]]),";",",")," ",""),",",REPT(" ",99)),199,99)))</f>
        <v/>
      </c>
      <c r="DD31" s="43" t="str">
        <f aca="false">IF(Tasks[[#This Row],[_Pred3Text]]="","",IFERROR(VALUE(LEFT(Tasks[[#This Row],[_Pred3Text]],MIN(FIND("F",Tasks[[#This Row],[_Pred3Text]]&amp;"F"),FIND("S",Tasks[[#This Row],[_Pred3Text]]&amp;"S"),FIND("+",Tasks[[#This Row],[_Pred3Text]]&amp;"+"),FIND("-",Tasks[[#This Row],[_Pred3Text]]&amp;"-"))-1)),""))</f>
        <v/>
      </c>
      <c r="DE3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1" s="43" t="str">
        <f aca="false">IF(Tasks[[#This Row],[_Pred3Text]]="","",TRIM(MID(SUBSTITUTE(SUBSTITUTE(SUBSTITUTE(UPPER(Tasks[[#This Row],[_Predecessors]]),";",",")," ",""),",",REPT(" ",99)),298,99)))</f>
        <v/>
      </c>
      <c r="DH31" s="43" t="str">
        <f aca="false">IF(Tasks[[#This Row],[_Pred4Text]]="","",IFERROR(VALUE(LEFT(Tasks[[#This Row],[_Pred4Text]],MIN(FIND("F",Tasks[[#This Row],[_Pred4Text]]&amp;"F"),FIND("S",Tasks[[#This Row],[_Pred4Text]]&amp;"S"),FIND("+",Tasks[[#This Row],[_Pred4Text]]&amp;"+"),FIND("-",Tasks[[#This Row],[_Pred4Text]]&amp;"-"))-1)),""))</f>
        <v/>
      </c>
      <c r="DI3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1" s="43" t="str">
        <f aca="false">IF(OR(Tasks[[#This Row],[Task Name]]="",Tasks[[#This Row],[_Resources]]=""),"",TRIM(MID(SUBSTITUTE(Tasks[[#This Row],[_Resources]],",",REPT(" ",99)),1,99)))</f>
        <v/>
      </c>
      <c r="DL31" s="43" t="str">
        <f aca="false">IF(Tasks[[#This Row],[_Res1Text]]="","",TRIM(MID(SUBSTITUTE(Tasks[[#This Row],[_Resources]],",",REPT(" ",99)),100,99)))</f>
        <v/>
      </c>
      <c r="DM31" s="43" t="str">
        <f aca="false">IF(Tasks[[#This Row],[_Res2Text]]="","",TRIM(MID(SUBSTITUTE(Tasks[[#This Row],[_Resources]],",",REPT(" ",99)),199,99)))</f>
        <v/>
      </c>
      <c r="DN31" s="43" t="str">
        <f aca="false">IF(Tasks[[#This Row],[_Res3Text]]="","",TRIM(MID(SUBSTITUTE(Tasks[[#This Row],[_Resources]],",",REPT(" ",99)),298,99)))</f>
        <v/>
      </c>
      <c r="DO31" s="43" t="n">
        <f aca="false">IF(Tasks[[#This Row],[_Res1Text]]="",0,IFERROR(MATCH(TRIM(LEFT(Tasks[[#This Row],[_Res1Text]],FIND("[",Tasks[[#This Row],[_Res1Text]]&amp;"[")-1)),res_Name,0),IFERROR(MATCH(TRIM(LEFT(Tasks[[#This Row],[_Res1Text]],FIND("[",Tasks[[#This Row],[_Res1Text]]&amp;"[")-1)),res_Initials,0),0)))</f>
        <v>0</v>
      </c>
      <c r="DP31" s="43" t="n">
        <f aca="false">IF(Tasks[[#This Row],[_Res2Text]]="",0,IFERROR(MATCH(TRIM(LEFT(Tasks[[#This Row],[_Res2Text]],FIND("[",Tasks[[#This Row],[_Res2Text]]&amp;"[")-1)),res_Name,0),IFERROR(MATCH(TRIM(LEFT(Tasks[[#This Row],[_Res2Text]],FIND("[",Tasks[[#This Row],[_Res2Text]]&amp;"[")-1)),res_Initials,0),0)))</f>
        <v>0</v>
      </c>
      <c r="DQ31" s="43" t="n">
        <f aca="false">IF(Tasks[[#This Row],[_Res3Text]]="",0,IFERROR(MATCH(TRIM(LEFT(Tasks[[#This Row],[_Res3Text]],FIND("[",Tasks[[#This Row],[_Res3Text]]&amp;"[")-1)),res_Name,0),IFERROR(MATCH(TRIM(LEFT(Tasks[[#This Row],[_Res3Text]],FIND("[",Tasks[[#This Row],[_Res3Text]]&amp;"[")-1)),res_Initials,0),0)))</f>
        <v>0</v>
      </c>
      <c r="DR31" s="43" t="n">
        <f aca="false">IF(Tasks[[#This Row],[_Res4Text]]="",0,IFERROR(MATCH(TRIM(LEFT(Tasks[[#This Row],[_Res4Text]],FIND("[",Tasks[[#This Row],[_Res4Text]]&amp;"[")-1)),res_Name,0),IFERROR(MATCH(TRIM(LEFT(Tasks[[#This Row],[_Res4Text]],FIND("[",Tasks[[#This Row],[_Res4Text]]&amp;"[")-1)),res_Initials,0),0)))</f>
        <v>0</v>
      </c>
      <c r="DS31" s="43" t="str">
        <f aca="false">IF(Tasks[[#This Row],[_Res1Text]]="","",IF(Tasks[[#This Row],[_Res1Row]]&gt;0,INDEX(res_Name,Tasks[[#This Row],[_Res1Row]]),TRIM(LEFT(Tasks[[#This Row],[_Res1Text]],FIND("[",Tasks[[#This Row],[_Res1Text]]&amp;"[")-1))))</f>
        <v/>
      </c>
      <c r="DT3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1" s="43" t="n">
        <f aca="false">IF(NOT(Tasks[[#This Row],[_IsLeaf]]=1),0,(Tasks[[#This Row],[_Resource1]]&lt;&gt;"")+(Tasks[[#This Row],[_Res2]]&lt;&gt;"")+(Tasks[[#This Row],[_Res3]]&lt;&gt;"")+(Tasks[[#This Row],[_Res4]]&lt;&gt;""))</f>
        <v>0</v>
      </c>
      <c r="DV31" s="43" t="str">
        <f aca="false">IF(Tasks[[#This Row],[_Res2Text]]="","",IF(Tasks[[#This Row],[_Res2Row]]&gt;0,INDEX(res_Name,Tasks[[#This Row],[_Res2Row]]),TRIM(LEFT(Tasks[[#This Row],[_Res2Text]],FIND("[",Tasks[[#This Row],[_Res2Text]]&amp;"[")-1))))</f>
        <v/>
      </c>
      <c r="DW3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1" s="43" t="n">
        <f aca="false">IF(OR(NOT(Tasks[[#This Row],[_IsLeaf]]=1),Tasks[[#This Row],[_Res2Row]]=0),0,N(Tasks[[#This Row],[_Days]])*HoursPerDay*IF(Tasks[[#This Row],[_Res2Units]]="",DefaultUnits,Tasks[[#This Row],[_Res2Units]]))</f>
        <v>0</v>
      </c>
      <c r="DY31" s="43" t="n">
        <f aca="false">IF(AND(AND(Tasks[[#This Row],[_IsLeaf]]=1,Tasks[[#This Row],[_LeafTotalWork]]&gt;0),Tasks[[#This Row],[_Res2Work]]&gt;0),Tasks[[#This Row],[_Res2Work]]/(Tasks[[#This Row],[_FinishWorkday]]-Tasks[[#This Row],[_StartWorkday]]+1),0)</f>
        <v>0</v>
      </c>
      <c r="DZ31" s="43" t="n">
        <f aca="false">Tasks[[#This Row],[_Res2WorkPerWD]]*MAX(0,Tasks[[#This Row],[_StartWorkday]]-1)</f>
        <v>0</v>
      </c>
      <c r="EA31" s="43" t="n">
        <f aca="false">Tasks[[#This Row],[_Res2Work]]*Tasks[[#This Row],[_LeafProgress]]</f>
        <v>0</v>
      </c>
      <c r="EB31" s="43" t="str">
        <f aca="false">IF(Tasks[[#This Row],[_Res3Text]]="","",IF(Tasks[[#This Row],[_Res3Row]]&gt;0,INDEX(res_Name,Tasks[[#This Row],[_Res3Row]]),TRIM(LEFT(Tasks[[#This Row],[_Res3Text]],FIND("[",Tasks[[#This Row],[_Res3Text]]&amp;"[")-1))))</f>
        <v/>
      </c>
      <c r="EC3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1" s="43" t="n">
        <f aca="false">IF(OR(NOT(Tasks[[#This Row],[_IsLeaf]]=1),Tasks[[#This Row],[_Res3Row]]=0),0,N(Tasks[[#This Row],[_Days]])*HoursPerDay*IF(Tasks[[#This Row],[_Res3Units]]="",DefaultUnits,Tasks[[#This Row],[_Res3Units]]))</f>
        <v>0</v>
      </c>
      <c r="EE31" s="43" t="n">
        <f aca="false">IF(AND(AND(Tasks[[#This Row],[_IsLeaf]]=1,Tasks[[#This Row],[_LeafTotalWork]]&gt;0),Tasks[[#This Row],[_Res3Work]]&gt;0),Tasks[[#This Row],[_Res3Work]]/(Tasks[[#This Row],[_FinishWorkday]]-Tasks[[#This Row],[_StartWorkday]]+1),0)</f>
        <v>0</v>
      </c>
      <c r="EF31" s="43" t="n">
        <f aca="false">Tasks[[#This Row],[_Res3WorkPerWD]]*MAX(0,Tasks[[#This Row],[_StartWorkday]]-1)</f>
        <v>0</v>
      </c>
      <c r="EG31" s="43" t="n">
        <f aca="false">Tasks[[#This Row],[_Res3Work]]*Tasks[[#This Row],[_LeafProgress]]</f>
        <v>0</v>
      </c>
      <c r="EH31" s="43" t="str">
        <f aca="false">IF(Tasks[[#This Row],[_Res4Text]]="","",IF(Tasks[[#This Row],[_Res4Row]]&gt;0,INDEX(res_Name,Tasks[[#This Row],[_Res4Row]]),TRIM(LEFT(Tasks[[#This Row],[_Res4Text]],FIND("[",Tasks[[#This Row],[_Res4Text]]&amp;"[")-1))))</f>
        <v/>
      </c>
      <c r="EI3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1" s="43" t="n">
        <f aca="false">IF(OR(NOT(Tasks[[#This Row],[_IsLeaf]]=1),Tasks[[#This Row],[_Res4Row]]=0),0,N(Tasks[[#This Row],[_Days]])*HoursPerDay*IF(Tasks[[#This Row],[_Res4Units]]="",DefaultUnits,Tasks[[#This Row],[_Res4Units]]))</f>
        <v>0</v>
      </c>
      <c r="EK31" s="43" t="n">
        <f aca="false">IF(AND(AND(Tasks[[#This Row],[_IsLeaf]]=1,Tasks[[#This Row],[_LeafTotalWork]]&gt;0),Tasks[[#This Row],[_Res4Work]]&gt;0),Tasks[[#This Row],[_Res4Work]]/(Tasks[[#This Row],[_FinishWorkday]]-Tasks[[#This Row],[_StartWorkday]]+1),0)</f>
        <v>0</v>
      </c>
      <c r="EL31" s="43" t="n">
        <f aca="false">Tasks[[#This Row],[_Res4WorkPerWD]]*MAX(0,Tasks[[#This Row],[_StartWorkday]]-1)</f>
        <v>0</v>
      </c>
      <c r="EM31" s="43" t="n">
        <f aca="false">Tasks[[#This Row],[_Res4Work]]*Tasks[[#This Row],[_LeafProgress]]</f>
        <v>0</v>
      </c>
      <c r="EN31" s="43" t="n">
        <f aca="false">IF(ISNUMBER(Tasks[[#This Row],[% Complete]]),Tasks[[#This Row],[% Complete]],IF(Tasks[[#This Row],[Stage]]="",0,IFERROR(INDEX(stg_Pct,MATCH(Tasks[[#This Row],[Stage]],stg_Name,0)),0)))</f>
        <v>0</v>
      </c>
      <c r="EO31" s="43" t="n">
        <f aca="false">IF(NOT(Tasks[[#This Row],[_IsLeaf]]=1),0,IF(N(Tasks[[#This Row],[Actual Finish]])&gt;0,1,MIN(1,Tasks[[#This Row],[_Pct]])))</f>
        <v>0</v>
      </c>
      <c r="EP31" s="43" t="n">
        <f aca="false">IF(OR(NOT(Tasks[[#This Row],[_IsLeaf]]=1),Tasks[[#This Row],[_Res1Row]]=0),0,N(Tasks[[#This Row],[_Days]])*HoursPerDay*IF(Tasks[[#This Row],[_Units1]]="",DefaultUnits,Tasks[[#This Row],[_Units1]]))</f>
        <v>0</v>
      </c>
      <c r="EQ31" s="43" t="n">
        <f aca="false">Tasks[[#This Row],[_LeafWork]]+Tasks[[#This Row],[_Res2Work]]+Tasks[[#This Row],[_Res3Work]]+Tasks[[#This Row],[_Res4Work]]</f>
        <v>0</v>
      </c>
      <c r="ER3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1" s="43" t="n">
        <f aca="false">IF(NOT(Tasks[[#This Row],[_IsLeaf]]=1),0,MAX(_xlfn.MAXIFS(Tasks[_Row],Tasks[_Pred1UID],Tasks[[#This Row],[UID]]),_xlfn.MAXIFS(Tasks[_Row],Tasks[_Pred2UID],Tasks[[#This Row],[UID]]),_xlfn.MAXIFS(Tasks[_Row],Tasks[_Pred3UID],Tasks[[#This Row],[UID]]),_xlfn.MAXIFS(Tasks[_Row],Tasks[_Pred4UID],Tasks[[#This Row],[UID]])))</f>
        <v>0</v>
      </c>
      <c r="FA3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1" s="91" t="str">
        <f aca="false">IF(NOT(Tasks[[#This Row],[_IsLeaf]]=1),"",IF(N(Tasks[[#This Row],[_Days]])&lt;=0,Tasks[[#This Row],[_LeafLateFinish]],WORKDAY.INTL(Tasks[[#This Row],[_LeafLateFinish]],-(Tasks[[#This Row],[_Days]]-1),WorkWeek,Holidays)))</f>
        <v/>
      </c>
      <c r="FD3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1" s="90" t="b">
        <f aca="false">AND(Tasks[[#This Row],[_IsLeaf]]=1,Tasks[[#This Row],[_LeafProgress]]&lt;1,N(Tasks[[#This Row],[_LeafTotalSlack]])&lt;=CriticalSlackDays)</f>
        <v>0</v>
      </c>
      <c r="FF31" s="43" t="n">
        <f aca="false">IF(AND(Tasks[[#This Row],[_IsLeaf]]=1,Tasks[[#This Row],[_ConstraintCode]]=1,Tasks[[#This Row],[Mode]]&lt;&gt;"Manual",N(Tasks[[#This Row],[Actual Start]])=0),MAX(0,N(Tasks[[#This Row],[Free Slack]])),0)</f>
        <v>0</v>
      </c>
      <c r="FG31" s="91" t="str">
        <f aca="false">IF(NOT(Tasks[[#This Row],[_IsLeaf]]=1),"",IF(Tasks[[#This Row],[_AlapShift]]=0,Tasks[[#This Row],[_LeafCalcStart]],WORKDAY.INTL(Tasks[[#This Row],[_LeafCalcStart]],Tasks[[#This Row],[_AlapShift]],WorkWeek,Holidays)))</f>
        <v/>
      </c>
      <c r="FH31" s="91" t="str">
        <f aca="false">IF(NOT(Tasks[[#This Row],[_IsLeaf]]=1),"",IF(Tasks[[#This Row],[_AlapShift]]=0,Tasks[[#This Row],[_LeafCalcFinish]],WORKDAY.INTL(Tasks[[#This Row],[_LeafCalcFinish]],Tasks[[#This Row],[_AlapShift]],WorkWeek,Holidays)))</f>
        <v/>
      </c>
      <c r="FI31" s="91" t="str">
        <f aca="false">IF(NOT(Tasks[[#This Row],[_IsLeaf]]=1),"",IF(Tasks[[#This Row],[_AlapShift]]=0,Tasks[[#This Row],[_LeafFcstStart]],WORKDAY.INTL(Tasks[[#This Row],[_LeafFcstStart]],Tasks[[#This Row],[_AlapShift]],WorkWeek,Holidays)))</f>
        <v/>
      </c>
      <c r="FJ31" s="91" t="str">
        <f aca="false">IF(NOT(Tasks[[#This Row],[_IsLeaf]]=1),"",IF(Tasks[[#This Row],[_AlapShift]]=0,Tasks[[#This Row],[_LeafFcstFinish]],WORKDAY.INTL(Tasks[[#This Row],[_LeafFcstFinish]],Tasks[[#This Row],[_AlapShift]],WorkWeek,Holidays)))</f>
        <v/>
      </c>
      <c r="FK31" s="91" t="str">
        <f aca="false">IF(Tasks[[#This Row],[Task Name]]="","",IF(Tasks[[#This Row],[_IsSummary]],MIN(INDEX(Tasks[_ShownCalcStart],Tasks[[#This Row],[_Row]]+1):INDEX(Tasks[_ShownCalcStart],Tasks[[#This Row],[_Row]]+Tasks[[#This Row],[_Descendants]])),Tasks[[#This Row],[_ShownCalcStart]]))</f>
        <v/>
      </c>
      <c r="FL31" s="91" t="str">
        <f aca="false">IF(Tasks[[#This Row],[Task Name]]="","",IF(Tasks[[#This Row],[_IsSummary]],MAX(INDEX(Tasks[_ShownCalcFinish],Tasks[[#This Row],[_Row]]+1):INDEX(Tasks[_ShownCalcFinish],Tasks[[#This Row],[_Row]]+Tasks[[#This Row],[_Descendants]])),Tasks[[#This Row],[_ShownCalcFinish]]))</f>
        <v/>
      </c>
      <c r="FM3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1" s="43" t="n">
        <f aca="false">IF(AND(Tasks[[#This Row],[_IsLeaf]]=1,Tasks[[#This Row],[_LeafTotalWork]]&gt;0),NETWORKDAYS.INTL(ProjectStart,Tasks[[#This Row],[_ShownFcstStart]],WorkWeek,Holidays),0)</f>
        <v>0</v>
      </c>
      <c r="FZ31" s="43" t="n">
        <f aca="false">IF(AND(Tasks[[#This Row],[_IsLeaf]]=1,Tasks[[#This Row],[_LeafTotalWork]]&gt;0),MAX(Tasks[[#This Row],[_StartWorkday]],NETWORKDAYS.INTL(ProjectStart,Tasks[[#This Row],[_ShownFcstFinish]],WorkWeek,Holidays)),0)</f>
        <v>0</v>
      </c>
      <c r="GA31" s="43" t="n">
        <f aca="false">IF(AND(Tasks[[#This Row],[_IsLeaf]]=1,Tasks[[#This Row],[_LeafTotalWork]]&gt;0),Tasks[[#This Row],[_LeafWork]]/(Tasks[[#This Row],[_FinishWorkday]]-Tasks[[#This Row],[_StartWorkday]]+1),0)</f>
        <v>0</v>
      </c>
      <c r="GB31" s="43" t="n">
        <f aca="false">Tasks[[#This Row],[_WorkPerWorkday]]*(Tasks[[#This Row],[_StartWorkday]]-1)</f>
        <v>-0</v>
      </c>
      <c r="GC31" s="43" t="n">
        <f aca="false">IF(Tasks[[#This Row],[_IsLeaf]]=1,MAX(N(Tasks[[#This Row],[_Days]]),0.1),0)</f>
        <v>0</v>
      </c>
      <c r="GD31" s="43" t="n">
        <f aca="false">Tasks[[#This Row],[_WeightDur]]*Tasks[[#This Row],[_LeafProgress]]</f>
        <v>0</v>
      </c>
      <c r="GE31" s="43" t="n">
        <f aca="false">Tasks[[#This Row],[_WeightDur]]*Tasks[[#This Row],[_PlannedPct]]</f>
        <v>0</v>
      </c>
      <c r="GF3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1" s="43" t="str">
        <f aca="false">IF(AND(Tasks[[#This Row],[_IsLeaf]]=1,N(Tasks[[#This Row],[_Days]])=0,Tasks[[#This Row],[_LeafProgress]]&lt;1),Tasks[[#This Row],[_ShownFcstFinish]]+Tasks[[#This Row],[_Row]]/100000,"")</f>
        <v/>
      </c>
      <c r="GH3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1" s="43" t="str">
        <f aca="false">IF(Tasks[[#This Row],[Task Name]]="","",LEFT(Tasks[[#This Row],[WBS]],FIND(".",Tasks[[#This Row],[WBS]]&amp;".")-1))</f>
        <v/>
      </c>
      <c r="GJ31" s="43" t="str">
        <f aca="false">IF(AND(Tasks[[#This Row],[Task Name]]&lt;&gt;"",Tasks[[#This Row],[_Level]]=1),Tasks[[#This Row],[_Row]],"")</f>
        <v/>
      </c>
      <c r="GK31" s="43" t="str">
        <f aca="false">IF(AND(Tasks[[#This Row],[_IsLeaf]]=1,N(Tasks[[#This Row],[_Days]])=0),Tasks[[#This Row],[Planned Finish]]+Tasks[[#This Row],[_Row]]/100000,"")</f>
        <v/>
      </c>
      <c r="GL31" s="43" t="str">
        <f aca="false">IF(AND(Tasks[[#This Row],[_IsLeaf]]=1,Tasks[[#This Row],[_LeafProgress]]&lt;1,OR(N(Tasks[[#This Row],[Finish Var]])&gt;0,Tasks[[#This Row],[Status]]="Late Start")),MAX(0,Tasks[[#This Row],[Finish Var]])+1-Tasks[[#This Row],[_Row]]/1000000,"")</f>
        <v/>
      </c>
      <c r="GM31" s="43" t="str">
        <f aca="false">IF(AND(Tasks[[#This Row],[_IsLeaf]]=1,N(Tasks[[#This Row],[Actual Start]])=0,Tasks[[#This Row],[_ShownFcstStart]]&gt;=StatusDate,Tasks[[#This Row],[_ShownFcstStart]]&lt;=LookaheadEnd),Tasks[[#This Row],[_ShownFcstStart]]+Tasks[[#This Row],[_Row]]/100000,"")</f>
        <v/>
      </c>
      <c r="GN31" s="43" t="str">
        <f aca="false">IF(AND(Tasks[[#This Row],[_IsLeaf]]=1,Tasks[[#This Row],[_LeafProgress]]&lt;1,Tasks[[#This Row],[_ShownFcstFinish]]&gt;=StatusDate,Tasks[[#This Row],[_ShownFcstFinish]]&lt;=LookaheadEnd),Tasks[[#This Row],[_ShownFcstFinish]]+Tasks[[#This Row],[_Row]]/100000,"")</f>
        <v/>
      </c>
      <c r="GO31" s="43" t="str">
        <f aca="false">IF(Tasks[[#This Row],[_LeafCritical]],Tasks[[#This Row],[_ShownFcstStart]]+Tasks[[#This Row],[_Row]]/100000,"")</f>
        <v/>
      </c>
      <c r="GP31" s="43" t="n">
        <f aca="false">Tasks[[#This Row],[_LeafWork]]*Tasks[[#This Row],[_LeafProgress]]</f>
        <v>0</v>
      </c>
      <c r="GQ31" s="91" t="str">
        <f aca="false">IF(AND(Tasks[[#This Row],[_IsLeaf]]=1,Tasks[[#This Row],[_LeafProgress]]&gt;=1),IF(N(Tasks[[#This Row],[Actual Finish]])&gt;0,Tasks[[#This Row],[Actual Finish]],Tasks[[#This Row],[_ShownFcstFinish]]),"")</f>
        <v/>
      </c>
      <c r="GR31" s="43" t="n">
        <f aca="false">IF(Tasks[[#This Row],[_IsLeaf]]=1,N(Tasks[[#This Row],[Story Points]]),0)</f>
        <v>0</v>
      </c>
      <c r="GS31" s="43" t="str">
        <f aca="false">""</f>
        <v/>
      </c>
      <c r="GT31" s="90" t="b">
        <f aca="false">IF(Tasks[[#This Row],[Task Name]]="",FALSE(),AND(Tasks[[#This Row],[_IsLeaf]]=1,N(Tasks[[#This Row],[_Days]])=0))</f>
        <v>0</v>
      </c>
      <c r="GU31" s="91" t="n">
        <f aca="false">IF(Tasks[[#This Row],[Task Name]]="",0,IF(AND(Tasks[[#This Row],[_IsLeaf]]=1,NOT(Tasks[[#This Row],[_IsMilestone]]),N(Tasks[[#This Row],[Progress]])&gt;0),Tasks[[#This Row],[Start]],0))</f>
        <v>0</v>
      </c>
      <c r="GV31" s="91" t="n">
        <f aca="false">IF(Tasks[[#This Row],[_DoneFrom]]=0,0,IF(Tasks[[#This Row],[Progress]]&gt;=1,Tasks[[#This Row],[Finish]],MAX(Tasks[[#This Row],[_DoneFrom]],Tasks[[#This Row],[Start]]+ROUND((Tasks[[#This Row],[Finish]]-Tasks[[#This Row],[Start]]+1)*Tasks[[#This Row],[Progress]],0)-1)))</f>
        <v>0</v>
      </c>
      <c r="GW31" s="91" t="n">
        <f aca="false">IF(Tasks[[#This Row],[Task Name]]="",0,IF(OR(NOT(Tasks[[#This Row],[_IsLeaf]]=1),Tasks[[#This Row],[_IsMilestone]],N(Tasks[[#This Row],[Progress]])&gt;=1),0,IF(Tasks[[#This Row],[_DoneTo]]&gt;0,Tasks[[#This Row],[_DoneTo]]+1,Tasks[[#This Row],[Start]])))</f>
        <v>0</v>
      </c>
      <c r="GX31" s="91" t="n">
        <f aca="false">IF(Tasks[[#This Row],[_RemFrom]]=0,0,Tasks[[#This Row],[Finish]])</f>
        <v>0</v>
      </c>
      <c r="GY31" s="90" t="b">
        <f aca="false">IF(Tasks[[#This Row],[Task Name]]="",FALSE(),OR(NOT(BaselineSet),N(Tasks[[#This Row],[Baseline Start]])&gt;0))</f>
        <v>0</v>
      </c>
      <c r="GZ3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1" s="92" t="str">
        <f aca="false">IF(Tasks[[#This Row],[_IsLeaf]]=1,Tasks[[#This Row],[_Row]],"")</f>
        <v/>
      </c>
      <c r="HD31" s="92" t="str">
        <f aca="false">IFERROR(INDEX(Tasks[UID],SMALL(Tasks[_PickKey],Tasks[[#This Row],[_Row]]))&amp;" "&amp;INDEX(Tasks[Task Name],SMALL(Tasks[_PickKey],Tasks[[#This Row],[_Row]])),"")</f>
        <v/>
      </c>
      <c r="HE31" s="43" t="str">
        <f aca="false">IF(Tasks[[#This Row],[Task Name]]="","",IF(Tasks[[#This Row],[_IsSummary]],NETWORKDAYS.INTL(Tasks[[#This Row],[Start]],Tasks[[#This Row],[Finish]],WorkWeek,Holidays),N(Tasks[[#This Row],[_Days]])))</f>
        <v/>
      </c>
      <c r="HF31" s="43" t="n">
        <f aca="false">IF(Tasks[[#This Row],[Expected]]="",0,((Tasks[[#This Row],[Pessimistic]]-Tasks[[#This Row],[Optimistic]])/6)^2)</f>
        <v>0</v>
      </c>
      <c r="HG31" s="43" t="n">
        <f aca="false">IF(Tasks[[#This Row],[Expected]]="",0,Tasks[[#This Row],[Expected]]-N(Tasks[[#This Row],[_Days]]))</f>
        <v>0</v>
      </c>
    </row>
    <row r="32" customFormat="false" ht="15" hidden="false" customHeight="false" outlineLevel="0" collapsed="false">
      <c r="A32" s="21" t="str">
        <f aca="false">IF(Tasks[[#This Row],[Task Name]]="","",COUNTA(Tasks[[#Headers],[Task Name]]:Tasks[[#This Row],[Task Name]])-1)</f>
        <v/>
      </c>
      <c r="B32" s="22" t="n">
        <v>40</v>
      </c>
      <c r="C32" s="22"/>
      <c r="D32" s="23"/>
      <c r="E32" s="22"/>
      <c r="F32" s="23"/>
      <c r="G32" s="22"/>
      <c r="H32" s="22"/>
      <c r="I32" s="23"/>
      <c r="J32" s="22"/>
      <c r="K32" s="22"/>
      <c r="L32" s="23"/>
      <c r="M32" s="22"/>
      <c r="N32" s="22"/>
      <c r="O32" s="23"/>
      <c r="P32" s="22"/>
      <c r="Q32" s="22"/>
      <c r="R32" s="23"/>
      <c r="S32" s="23"/>
      <c r="T32" s="84"/>
      <c r="U32" s="23"/>
      <c r="V32" s="84"/>
      <c r="W32" s="23"/>
      <c r="X32" s="84"/>
      <c r="Y32" s="23"/>
      <c r="Z32" s="84"/>
      <c r="AA32" s="23"/>
      <c r="AB32" s="23"/>
      <c r="AC32" s="7"/>
      <c r="AD32" s="7"/>
      <c r="AE32" s="63" t="str">
        <f aca="false">IF(Tasks[[#This Row],[Task Name]]="","",IF(Tasks[[#This Row],[_IsSummary]],MIN(INDEX(Tasks[_ShownFcstStart],Tasks[[#This Row],[_Row]]+1):INDEX(Tasks[_ShownFcstStart],Tasks[[#This Row],[_Row]]+Tasks[[#This Row],[_Descendants]])),Tasks[[#This Row],[_ShownFcstStart]]))</f>
        <v/>
      </c>
      <c r="AF32" s="63" t="str">
        <f aca="false">IF(Tasks[[#This Row],[Task Name]]="","",IF(Tasks[[#This Row],[_IsSummary]],MAX(INDEX(Tasks[_ShownFcstFinish],Tasks[[#This Row],[_Row]]+1):INDEX(Tasks[_ShownFcstFinish],Tasks[[#This Row],[_Row]]+Tasks[[#This Row],[_Descendants]])),Tasks[[#This Row],[_ShownFcstFinish]]))</f>
        <v/>
      </c>
      <c r="AG32" s="21" t="str">
        <f aca="false">""</f>
        <v/>
      </c>
      <c r="AH32" s="23"/>
      <c r="AI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2" s="7"/>
      <c r="AK32" s="22"/>
      <c r="AL32" s="23"/>
      <c r="AM32" s="7"/>
      <c r="AN32" s="47" t="str">
        <f aca="false">IF(Tasks[[#This Row],[Task Name]]="","",IF(Tasks[[#This Row],[Finish]]&gt;=Tasks[[#This Row],[Planned Finish]],NETWORKDAYS.INTL(Tasks[[#This Row],[Planned Finish]],Tasks[[#This Row],[Finish]],WorkWeek,Holidays)-1,1-NETWORKDAYS.INTL(Tasks[[#This Row],[Finish]],Tasks[[#This Row],[Planned Finish]],WorkWeek,Holidays)))</f>
        <v/>
      </c>
      <c r="AO32" s="21" t="str">
        <f aca="false">IF(Tasks[[#This Row],[Task Name]]="","",IF(Tasks[[#This Row],[Progress]]&gt;=1,"Complete",IF(OR(N(Tasks[[#This Row],[Actual Start]])&gt;0,Tasks[[#This Row],[Progress]]&gt;0),IF(Tasks[[#This Row],[Finish Var]]&gt;0,"Behind","In Progress"),IF(Tasks[[#This Row],[Planned Start]]&lt;StatusDate,"Late Start","Not Started"))))</f>
        <v/>
      </c>
      <c r="AP32" s="21" t="str">
        <f aca="false">IF(Tasks[[#This Row],[Task Name]]="","",IF(IF(Tasks[[#This Row],[_IsSummary]],COUNTIF(INDEX(Tasks[_LeafCritical],Tasks[[#This Row],[_Row]]+1):INDEX(Tasks[_LeafCritical],Tasks[[#This Row],[_Row]]+Tasks[[#This Row],[_Descendants]]),TRUE())&gt;0,Tasks[[#This Row],[_LeafCritical]]),"Yes",""))</f>
        <v/>
      </c>
      <c r="AQ32" s="63" t="str">
        <f aca="false">IF(Tasks[[#This Row],[Task Name]]="","",IF(N(Tasks[[#This Row],[Baseline Start]])&gt;0,Tasks[[#This Row],[Baseline Start]],Tasks[[#This Row],[_CalcStart]]))</f>
        <v/>
      </c>
      <c r="AR32" s="63" t="str">
        <f aca="false">IF(Tasks[[#This Row],[Task Name]]="","",IF(N(Tasks[[#This Row],[Baseline Finish]])&gt;0,Tasks[[#This Row],[Baseline Finish]],Tasks[[#This Row],[_CalcFinish]]))</f>
        <v/>
      </c>
      <c r="AS32" s="47" t="str">
        <f aca="false">IF(Tasks[[#This Row],[Task Name]]="","",IF(Tasks[[#This Row],[Start]]&gt;=Tasks[[#This Row],[Planned Start]],NETWORKDAYS.INTL(Tasks[[#This Row],[Planned Start]],Tasks[[#This Row],[Start]],WorkWeek,Holidays)-1,1-NETWORKDAYS.INTL(Tasks[[#This Row],[Start]],Tasks[[#This Row],[Planned Start]],WorkWeek,Holidays)))</f>
        <v/>
      </c>
      <c r="AT32" s="63" t="str">
        <f aca="false">IF(Tasks[[#This Row],[Task Name]]="","",IF(Tasks[[#This Row],[_IsSummary]],MIN(INDEX(Tasks[_LeafLateStart],Tasks[[#This Row],[_Row]]+1):INDEX(Tasks[_LeafLateStart],Tasks[[#This Row],[_Row]]+Tasks[[#This Row],[_Descendants]])),Tasks[[#This Row],[_LeafLateStart]]))</f>
        <v/>
      </c>
      <c r="AU32" s="63" t="str">
        <f aca="false">IF(Tasks[[#This Row],[Task Name]]="","",IF(Tasks[[#This Row],[_IsSummary]],MAX(INDEX(Tasks[_LeafLateFinish],Tasks[[#This Row],[_Row]]+1):INDEX(Tasks[_LeafLateFinish],Tasks[[#This Row],[_Row]]+Tasks[[#This Row],[_Descendants]])),Tasks[[#This Row],[_LeafLateFinish]]))</f>
        <v/>
      </c>
      <c r="AV32" s="47" t="str">
        <f aca="false">IF(Tasks[[#This Row],[Task Name]]="","",IF(Tasks[[#This Row],[_IsSummary]],MIN(INDEX(Tasks[_LeafTotalSlack],Tasks[[#This Row],[_Row]]+1):INDEX(Tasks[_LeafTotalSlack],Tasks[[#This Row],[_Row]]+Tasks[[#This Row],[_Descendants]])),Tasks[[#This Row],[_LeafTotalSlack]]))</f>
        <v/>
      </c>
      <c r="AW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5"/>
      <c r="BA3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1" t="str">
        <f aca="false">IF(Tasks[[#This Row],[Task Name]]="","",IF(Tasks[[#This Row],[_Level]]&lt;=OutlineShowLevel,"Yes","No"))</f>
        <v/>
      </c>
      <c r="BE32" s="86" t="str">
        <f aca="false">IF(Tasks[[#This Row],[Task Name]]="","",IF(Tasks[[#This Row],[_IsSummary]],SUM(INDEX(Tasks[_LeafTotalWork],Tasks[[#This Row],[_Row]]+1):INDEX(Tasks[_LeafTotalWork],Tasks[[#This Row],[_Row]]+Tasks[[#This Row],[_Descendants]])),Tasks[[#This Row],[_LeafTotalWork]]))</f>
        <v/>
      </c>
      <c r="BF32" s="23"/>
      <c r="BG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2" s="21" t="str">
        <f aca="false">""</f>
        <v/>
      </c>
      <c r="BI32" s="87"/>
      <c r="BJ32" s="22"/>
      <c r="BK32" s="47" t="str">
        <f aca="false">IF(OR(Tasks[[#This Row],[Task Name]]="",Tasks[[#This Row],[Baseline Duration]]=""),"",Tasks[[#This Row],[_SpanDays]]-N(Tasks[[#This Row],[Baseline Duration]]))</f>
        <v/>
      </c>
      <c r="BL32" s="86" t="str">
        <f aca="false">IF(OR(Tasks[[#This Row],[Task Name]]="",Tasks[[#This Row],[Baseline Work]]=""),"",Tasks[[#This Row],[Work]]-N(Tasks[[#This Row],[Baseline Work]]))</f>
        <v/>
      </c>
      <c r="BM32" s="63" t="str">
        <f aca="false">IF(Tasks[[#This Row],[Task Name]]="","",IF(OR(TakeBaseline="Yes",N(Tasks[[#This Row],[Baseline Start]])=0),Tasks[[#This Row],[Start]],Tasks[[#This Row],[Baseline Start]]))</f>
        <v/>
      </c>
      <c r="BN32" s="63" t="str">
        <f aca="false">IF(Tasks[[#This Row],[Task Name]]="","",IF(OR(TakeBaseline="Yes",N(Tasks[[#This Row],[Baseline Finish]])=0),Tasks[[#This Row],[Finish]],Tasks[[#This Row],[Baseline Finish]]))</f>
        <v/>
      </c>
      <c r="BO32" s="21" t="str">
        <f aca="false">IF(Tasks[[#This Row],[Task Name]]="","",IF(OR(TakeBaseline="Yes",N(Tasks[[#This Row],[Baseline Duration]])=0),Tasks[[#This Row],[_SpanDays]],Tasks[[#This Row],[Baseline Duration]]))</f>
        <v/>
      </c>
      <c r="BP32" s="86" t="str">
        <f aca="false">IF(Tasks[[#This Row],[Task Name]]="","",IF(OR(TakeBaseline="Yes",N(Tasks[[#This Row],[Baseline Work]])=0),Tasks[[#This Row],[Work]],Tasks[[#This Row],[Baseline Work]]))</f>
        <v/>
      </c>
      <c r="BQ32" s="7"/>
      <c r="BR32" s="7"/>
      <c r="BS32" s="22"/>
      <c r="BT32" s="88"/>
      <c r="BU32" s="23"/>
      <c r="BV32" s="23"/>
      <c r="BW32" s="23"/>
      <c r="BX32" s="89" t="str">
        <f aca="false">IF(AND(Tasks[[#This Row],[_IsLeaf]]=1,ISNUMBER(Tasks[[#This Row],[Optimistic]]),ISNUMBER(Tasks[[#This Row],[Pessimistic]])),ROUND((Tasks[[#This Row],[Optimistic]]+4*N(Tasks[[#This Row],[_Days]])+Tasks[[#This Row],[Pessimistic]])/6,1),"")</f>
        <v/>
      </c>
      <c r="BY32" s="87"/>
      <c r="BZ32" s="87"/>
      <c r="CA32" s="22"/>
      <c r="CB32" s="43" t="str">
        <f aca="false">IF(Tasks[[#This Row],[Task Name]]="","",MAX(1,N(Tasks[[#This Row],[Level]])))</f>
        <v/>
      </c>
      <c r="CC32" s="43" t="n">
        <f aca="false">ROW()-ROW(Tasks[[#Headers],[ID]])</f>
        <v>27</v>
      </c>
      <c r="CD32" s="43" t="n">
        <f aca="false">IF(OR(Tasks[[#This Row],[Task Name]]="",Tasks[[#This Row],[_Level]]&lt;=1),0,IFERROR(LOOKUP(2,1/(Tasks[[#Headers],[_Level]]:Tasks[[#This Row],[_Level]]=Tasks[[#This Row],[_Level]]-1),ROW(Tasks[[#Headers],[_Level]]:Tasks[[#This Row],[_Level]])),0))</f>
        <v>0</v>
      </c>
      <c r="CE32" s="43" t="n">
        <f aca="false">IFERROR(N(INDEX(Tasks[_Level],Tasks[[#This Row],[_Row]]+1)),0)</f>
        <v>0</v>
      </c>
      <c r="CF32" s="90" t="b">
        <f aca="false">AND(Tasks[[#This Row],[Task Name]]&lt;&gt;"",Tasks[[#This Row],[_NextLevel]]&gt;Tasks[[#This Row],[_Level]])</f>
        <v>0</v>
      </c>
      <c r="CG32" s="43" t="n">
        <f aca="false">IF(Tasks[[#This Row],[_IsSummary]],COUNTIF(Tasks[WBS],Tasks[[#This Row],[WBS]]&amp;".*"),0)</f>
        <v>0</v>
      </c>
      <c r="CH32" s="43" t="n">
        <f aca="false">IF(AND(Tasks[[#This Row],[Task Name]]&lt;&gt;"",NOT(Tasks[[#This Row],[_IsSummary]])),1,0)</f>
        <v>0</v>
      </c>
      <c r="CI32" s="43" t="n">
        <f aca="false">IF(N(Tasks[[#This Row],[_Pred1UID]])=0,0,IFERROR(MATCH(Tasks[[#This Row],[_Pred1UID]],Tasks[UID],0),-1))</f>
        <v>0</v>
      </c>
      <c r="CJ32" s="43" t="n">
        <f aca="false">IF(N(Tasks[[#This Row],[_Pred2UID]])=0,0,IFERROR(MATCH(Tasks[[#This Row],[_Pred2UID]],Tasks[UID],0),-1))</f>
        <v>0</v>
      </c>
      <c r="CK32" s="43" t="n">
        <f aca="false">IF(N(Tasks[[#This Row],[_Pred3UID]])=0,0,IFERROR(MATCH(Tasks[[#This Row],[_Pred3UID]],Tasks[UID],0),-1))</f>
        <v>0</v>
      </c>
      <c r="CL32" s="43" t="n">
        <f aca="false">IF(N(Tasks[[#This Row],[_Pred4UID]])=0,0,IFERROR(MATCH(Tasks[[#This Row],[_Pred4UID]],Tasks[UID],0),-1))</f>
        <v>0</v>
      </c>
      <c r="CM3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2" s="91" t="n">
        <f aca="false">IF(OR(Tasks[[#This Row],[_ConstraintCode]]=2,Tasks[[#This Row],[_ConstraintCode]]=3,Tasks[[#This Row],[_ConstraintCode]]=4,Tasks[[#This Row],[_ConstraintCode]]=6),Tasks[[#This Row],[_ConstraintStart]],0)</f>
        <v>0</v>
      </c>
      <c r="CP32" s="91" t="n">
        <f aca="false">IF(OR(Tasks[[#This Row],[_ConstraintCode]]=2,Tasks[[#This Row],[_ConstraintCode]]=3,Tasks[[#This Row],[_ConstraintCode]]=5,Tasks[[#This Row],[_ConstraintCode]]=7),Tasks[[#This Row],[_ConstraintStart]],2958465)</f>
        <v>2958465</v>
      </c>
      <c r="CQ3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2" s="91" t="str">
        <f aca="false">IF(NOT(Tasks[[#This Row],[_IsLeaf]]=1),"",IF(N(Tasks[[#This Row],[_Days]])&lt;=0,Tasks[[#This Row],[_LeafCalcStart]],WORKDAY.INTL(Tasks[[#This Row],[_LeafCalcStart]],Tasks[[#This Row],[_Days]]-1,WorkWeek,Holidays)))</f>
        <v/>
      </c>
      <c r="CS3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2" s="43" t="str">
        <f aca="false">IF(Tasks[[#This Row],[_Predecessors]]="","",TRIM(MID(SUBSTITUTE(SUBSTITUTE(SUBSTITUTE(UPPER(Tasks[[#This Row],[_Predecessors]]),";",",")," ",""),",",REPT(" ",99)),1,99)))</f>
        <v/>
      </c>
      <c r="CV32" s="43" t="str">
        <f aca="false">IF(Tasks[[#This Row],[_Pred1Text]]="","",IFERROR(VALUE(LEFT(Tasks[[#This Row],[_Pred1Text]],MIN(FIND("F",Tasks[[#This Row],[_Pred1Text]]&amp;"F"),FIND("S",Tasks[[#This Row],[_Pred1Text]]&amp;"S"),FIND("+",Tasks[[#This Row],[_Pred1Text]]&amp;"+"),FIND("-",Tasks[[#This Row],[_Pred1Text]]&amp;"-"))-1)),""))</f>
        <v/>
      </c>
      <c r="CW3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2" s="43" t="str">
        <f aca="false">IF(Tasks[[#This Row],[_Pred1Text]]="","",TRIM(MID(SUBSTITUTE(SUBSTITUTE(SUBSTITUTE(UPPER(Tasks[[#This Row],[_Predecessors]]),";",",")," ",""),",",REPT(" ",99)),100,99)))</f>
        <v/>
      </c>
      <c r="CZ32" s="43" t="str">
        <f aca="false">IF(Tasks[[#This Row],[_Pred2Text]]="","",IFERROR(VALUE(LEFT(Tasks[[#This Row],[_Pred2Text]],MIN(FIND("F",Tasks[[#This Row],[_Pred2Text]]&amp;"F"),FIND("S",Tasks[[#This Row],[_Pred2Text]]&amp;"S"),FIND("+",Tasks[[#This Row],[_Pred2Text]]&amp;"+"),FIND("-",Tasks[[#This Row],[_Pred2Text]]&amp;"-"))-1)),""))</f>
        <v/>
      </c>
      <c r="DA3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2" s="43" t="str">
        <f aca="false">IF(Tasks[[#This Row],[_Pred2Text]]="","",TRIM(MID(SUBSTITUTE(SUBSTITUTE(SUBSTITUTE(UPPER(Tasks[[#This Row],[_Predecessors]]),";",",")," ",""),",",REPT(" ",99)),199,99)))</f>
        <v/>
      </c>
      <c r="DD32" s="43" t="str">
        <f aca="false">IF(Tasks[[#This Row],[_Pred3Text]]="","",IFERROR(VALUE(LEFT(Tasks[[#This Row],[_Pred3Text]],MIN(FIND("F",Tasks[[#This Row],[_Pred3Text]]&amp;"F"),FIND("S",Tasks[[#This Row],[_Pred3Text]]&amp;"S"),FIND("+",Tasks[[#This Row],[_Pred3Text]]&amp;"+"),FIND("-",Tasks[[#This Row],[_Pred3Text]]&amp;"-"))-1)),""))</f>
        <v/>
      </c>
      <c r="DE3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2" s="43" t="str">
        <f aca="false">IF(Tasks[[#This Row],[_Pred3Text]]="","",TRIM(MID(SUBSTITUTE(SUBSTITUTE(SUBSTITUTE(UPPER(Tasks[[#This Row],[_Predecessors]]),";",",")," ",""),",",REPT(" ",99)),298,99)))</f>
        <v/>
      </c>
      <c r="DH32" s="43" t="str">
        <f aca="false">IF(Tasks[[#This Row],[_Pred4Text]]="","",IFERROR(VALUE(LEFT(Tasks[[#This Row],[_Pred4Text]],MIN(FIND("F",Tasks[[#This Row],[_Pred4Text]]&amp;"F"),FIND("S",Tasks[[#This Row],[_Pred4Text]]&amp;"S"),FIND("+",Tasks[[#This Row],[_Pred4Text]]&amp;"+"),FIND("-",Tasks[[#This Row],[_Pred4Text]]&amp;"-"))-1)),""))</f>
        <v/>
      </c>
      <c r="DI3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2" s="43" t="str">
        <f aca="false">IF(OR(Tasks[[#This Row],[Task Name]]="",Tasks[[#This Row],[_Resources]]=""),"",TRIM(MID(SUBSTITUTE(Tasks[[#This Row],[_Resources]],",",REPT(" ",99)),1,99)))</f>
        <v/>
      </c>
      <c r="DL32" s="43" t="str">
        <f aca="false">IF(Tasks[[#This Row],[_Res1Text]]="","",TRIM(MID(SUBSTITUTE(Tasks[[#This Row],[_Resources]],",",REPT(" ",99)),100,99)))</f>
        <v/>
      </c>
      <c r="DM32" s="43" t="str">
        <f aca="false">IF(Tasks[[#This Row],[_Res2Text]]="","",TRIM(MID(SUBSTITUTE(Tasks[[#This Row],[_Resources]],",",REPT(" ",99)),199,99)))</f>
        <v/>
      </c>
      <c r="DN32" s="43" t="str">
        <f aca="false">IF(Tasks[[#This Row],[_Res3Text]]="","",TRIM(MID(SUBSTITUTE(Tasks[[#This Row],[_Resources]],",",REPT(" ",99)),298,99)))</f>
        <v/>
      </c>
      <c r="DO32" s="43" t="n">
        <f aca="false">IF(Tasks[[#This Row],[_Res1Text]]="",0,IFERROR(MATCH(TRIM(LEFT(Tasks[[#This Row],[_Res1Text]],FIND("[",Tasks[[#This Row],[_Res1Text]]&amp;"[")-1)),res_Name,0),IFERROR(MATCH(TRIM(LEFT(Tasks[[#This Row],[_Res1Text]],FIND("[",Tasks[[#This Row],[_Res1Text]]&amp;"[")-1)),res_Initials,0),0)))</f>
        <v>0</v>
      </c>
      <c r="DP32" s="43" t="n">
        <f aca="false">IF(Tasks[[#This Row],[_Res2Text]]="",0,IFERROR(MATCH(TRIM(LEFT(Tasks[[#This Row],[_Res2Text]],FIND("[",Tasks[[#This Row],[_Res2Text]]&amp;"[")-1)),res_Name,0),IFERROR(MATCH(TRIM(LEFT(Tasks[[#This Row],[_Res2Text]],FIND("[",Tasks[[#This Row],[_Res2Text]]&amp;"[")-1)),res_Initials,0),0)))</f>
        <v>0</v>
      </c>
      <c r="DQ32" s="43" t="n">
        <f aca="false">IF(Tasks[[#This Row],[_Res3Text]]="",0,IFERROR(MATCH(TRIM(LEFT(Tasks[[#This Row],[_Res3Text]],FIND("[",Tasks[[#This Row],[_Res3Text]]&amp;"[")-1)),res_Name,0),IFERROR(MATCH(TRIM(LEFT(Tasks[[#This Row],[_Res3Text]],FIND("[",Tasks[[#This Row],[_Res3Text]]&amp;"[")-1)),res_Initials,0),0)))</f>
        <v>0</v>
      </c>
      <c r="DR32" s="43" t="n">
        <f aca="false">IF(Tasks[[#This Row],[_Res4Text]]="",0,IFERROR(MATCH(TRIM(LEFT(Tasks[[#This Row],[_Res4Text]],FIND("[",Tasks[[#This Row],[_Res4Text]]&amp;"[")-1)),res_Name,0),IFERROR(MATCH(TRIM(LEFT(Tasks[[#This Row],[_Res4Text]],FIND("[",Tasks[[#This Row],[_Res4Text]]&amp;"[")-1)),res_Initials,0),0)))</f>
        <v>0</v>
      </c>
      <c r="DS32" s="43" t="str">
        <f aca="false">IF(Tasks[[#This Row],[_Res1Text]]="","",IF(Tasks[[#This Row],[_Res1Row]]&gt;0,INDEX(res_Name,Tasks[[#This Row],[_Res1Row]]),TRIM(LEFT(Tasks[[#This Row],[_Res1Text]],FIND("[",Tasks[[#This Row],[_Res1Text]]&amp;"[")-1))))</f>
        <v/>
      </c>
      <c r="DT3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2" s="43" t="n">
        <f aca="false">IF(NOT(Tasks[[#This Row],[_IsLeaf]]=1),0,(Tasks[[#This Row],[_Resource1]]&lt;&gt;"")+(Tasks[[#This Row],[_Res2]]&lt;&gt;"")+(Tasks[[#This Row],[_Res3]]&lt;&gt;"")+(Tasks[[#This Row],[_Res4]]&lt;&gt;""))</f>
        <v>0</v>
      </c>
      <c r="DV32" s="43" t="str">
        <f aca="false">IF(Tasks[[#This Row],[_Res2Text]]="","",IF(Tasks[[#This Row],[_Res2Row]]&gt;0,INDEX(res_Name,Tasks[[#This Row],[_Res2Row]]),TRIM(LEFT(Tasks[[#This Row],[_Res2Text]],FIND("[",Tasks[[#This Row],[_Res2Text]]&amp;"[")-1))))</f>
        <v/>
      </c>
      <c r="DW3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2" s="43" t="n">
        <f aca="false">IF(OR(NOT(Tasks[[#This Row],[_IsLeaf]]=1),Tasks[[#This Row],[_Res2Row]]=0),0,N(Tasks[[#This Row],[_Days]])*HoursPerDay*IF(Tasks[[#This Row],[_Res2Units]]="",DefaultUnits,Tasks[[#This Row],[_Res2Units]]))</f>
        <v>0</v>
      </c>
      <c r="DY32" s="43" t="n">
        <f aca="false">IF(AND(AND(Tasks[[#This Row],[_IsLeaf]]=1,Tasks[[#This Row],[_LeafTotalWork]]&gt;0),Tasks[[#This Row],[_Res2Work]]&gt;0),Tasks[[#This Row],[_Res2Work]]/(Tasks[[#This Row],[_FinishWorkday]]-Tasks[[#This Row],[_StartWorkday]]+1),0)</f>
        <v>0</v>
      </c>
      <c r="DZ32" s="43" t="n">
        <f aca="false">Tasks[[#This Row],[_Res2WorkPerWD]]*MAX(0,Tasks[[#This Row],[_StartWorkday]]-1)</f>
        <v>0</v>
      </c>
      <c r="EA32" s="43" t="n">
        <f aca="false">Tasks[[#This Row],[_Res2Work]]*Tasks[[#This Row],[_LeafProgress]]</f>
        <v>0</v>
      </c>
      <c r="EB32" s="43" t="str">
        <f aca="false">IF(Tasks[[#This Row],[_Res3Text]]="","",IF(Tasks[[#This Row],[_Res3Row]]&gt;0,INDEX(res_Name,Tasks[[#This Row],[_Res3Row]]),TRIM(LEFT(Tasks[[#This Row],[_Res3Text]],FIND("[",Tasks[[#This Row],[_Res3Text]]&amp;"[")-1))))</f>
        <v/>
      </c>
      <c r="EC3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2" s="43" t="n">
        <f aca="false">IF(OR(NOT(Tasks[[#This Row],[_IsLeaf]]=1),Tasks[[#This Row],[_Res3Row]]=0),0,N(Tasks[[#This Row],[_Days]])*HoursPerDay*IF(Tasks[[#This Row],[_Res3Units]]="",DefaultUnits,Tasks[[#This Row],[_Res3Units]]))</f>
        <v>0</v>
      </c>
      <c r="EE32" s="43" t="n">
        <f aca="false">IF(AND(AND(Tasks[[#This Row],[_IsLeaf]]=1,Tasks[[#This Row],[_LeafTotalWork]]&gt;0),Tasks[[#This Row],[_Res3Work]]&gt;0),Tasks[[#This Row],[_Res3Work]]/(Tasks[[#This Row],[_FinishWorkday]]-Tasks[[#This Row],[_StartWorkday]]+1),0)</f>
        <v>0</v>
      </c>
      <c r="EF32" s="43" t="n">
        <f aca="false">Tasks[[#This Row],[_Res3WorkPerWD]]*MAX(0,Tasks[[#This Row],[_StartWorkday]]-1)</f>
        <v>0</v>
      </c>
      <c r="EG32" s="43" t="n">
        <f aca="false">Tasks[[#This Row],[_Res3Work]]*Tasks[[#This Row],[_LeafProgress]]</f>
        <v>0</v>
      </c>
      <c r="EH32" s="43" t="str">
        <f aca="false">IF(Tasks[[#This Row],[_Res4Text]]="","",IF(Tasks[[#This Row],[_Res4Row]]&gt;0,INDEX(res_Name,Tasks[[#This Row],[_Res4Row]]),TRIM(LEFT(Tasks[[#This Row],[_Res4Text]],FIND("[",Tasks[[#This Row],[_Res4Text]]&amp;"[")-1))))</f>
        <v/>
      </c>
      <c r="EI3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2" s="43" t="n">
        <f aca="false">IF(OR(NOT(Tasks[[#This Row],[_IsLeaf]]=1),Tasks[[#This Row],[_Res4Row]]=0),0,N(Tasks[[#This Row],[_Days]])*HoursPerDay*IF(Tasks[[#This Row],[_Res4Units]]="",DefaultUnits,Tasks[[#This Row],[_Res4Units]]))</f>
        <v>0</v>
      </c>
      <c r="EK32" s="43" t="n">
        <f aca="false">IF(AND(AND(Tasks[[#This Row],[_IsLeaf]]=1,Tasks[[#This Row],[_LeafTotalWork]]&gt;0),Tasks[[#This Row],[_Res4Work]]&gt;0),Tasks[[#This Row],[_Res4Work]]/(Tasks[[#This Row],[_FinishWorkday]]-Tasks[[#This Row],[_StartWorkday]]+1),0)</f>
        <v>0</v>
      </c>
      <c r="EL32" s="43" t="n">
        <f aca="false">Tasks[[#This Row],[_Res4WorkPerWD]]*MAX(0,Tasks[[#This Row],[_StartWorkday]]-1)</f>
        <v>0</v>
      </c>
      <c r="EM32" s="43" t="n">
        <f aca="false">Tasks[[#This Row],[_Res4Work]]*Tasks[[#This Row],[_LeafProgress]]</f>
        <v>0</v>
      </c>
      <c r="EN32" s="43" t="n">
        <f aca="false">IF(ISNUMBER(Tasks[[#This Row],[% Complete]]),Tasks[[#This Row],[% Complete]],IF(Tasks[[#This Row],[Stage]]="",0,IFERROR(INDEX(stg_Pct,MATCH(Tasks[[#This Row],[Stage]],stg_Name,0)),0)))</f>
        <v>0</v>
      </c>
      <c r="EO32" s="43" t="n">
        <f aca="false">IF(NOT(Tasks[[#This Row],[_IsLeaf]]=1),0,IF(N(Tasks[[#This Row],[Actual Finish]])&gt;0,1,MIN(1,Tasks[[#This Row],[_Pct]])))</f>
        <v>0</v>
      </c>
      <c r="EP32" s="43" t="n">
        <f aca="false">IF(OR(NOT(Tasks[[#This Row],[_IsLeaf]]=1),Tasks[[#This Row],[_Res1Row]]=0),0,N(Tasks[[#This Row],[_Days]])*HoursPerDay*IF(Tasks[[#This Row],[_Units1]]="",DefaultUnits,Tasks[[#This Row],[_Units1]]))</f>
        <v>0</v>
      </c>
      <c r="EQ32" s="43" t="n">
        <f aca="false">Tasks[[#This Row],[_LeafWork]]+Tasks[[#This Row],[_Res2Work]]+Tasks[[#This Row],[_Res3Work]]+Tasks[[#This Row],[_Res4Work]]</f>
        <v>0</v>
      </c>
      <c r="ER3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2" s="43" t="n">
        <f aca="false">IF(NOT(Tasks[[#This Row],[_IsLeaf]]=1),0,MAX(_xlfn.MAXIFS(Tasks[_Row],Tasks[_Pred1UID],Tasks[[#This Row],[UID]]),_xlfn.MAXIFS(Tasks[_Row],Tasks[_Pred2UID],Tasks[[#This Row],[UID]]),_xlfn.MAXIFS(Tasks[_Row],Tasks[_Pred3UID],Tasks[[#This Row],[UID]]),_xlfn.MAXIFS(Tasks[_Row],Tasks[_Pred4UID],Tasks[[#This Row],[UID]])))</f>
        <v>0</v>
      </c>
      <c r="FA3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2" s="91" t="str">
        <f aca="false">IF(NOT(Tasks[[#This Row],[_IsLeaf]]=1),"",IF(N(Tasks[[#This Row],[_Days]])&lt;=0,Tasks[[#This Row],[_LeafLateFinish]],WORKDAY.INTL(Tasks[[#This Row],[_LeafLateFinish]],-(Tasks[[#This Row],[_Days]]-1),WorkWeek,Holidays)))</f>
        <v/>
      </c>
      <c r="FD3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2" s="90" t="b">
        <f aca="false">AND(Tasks[[#This Row],[_IsLeaf]]=1,Tasks[[#This Row],[_LeafProgress]]&lt;1,N(Tasks[[#This Row],[_LeafTotalSlack]])&lt;=CriticalSlackDays)</f>
        <v>0</v>
      </c>
      <c r="FF32" s="43" t="n">
        <f aca="false">IF(AND(Tasks[[#This Row],[_IsLeaf]]=1,Tasks[[#This Row],[_ConstraintCode]]=1,Tasks[[#This Row],[Mode]]&lt;&gt;"Manual",N(Tasks[[#This Row],[Actual Start]])=0),MAX(0,N(Tasks[[#This Row],[Free Slack]])),0)</f>
        <v>0</v>
      </c>
      <c r="FG32" s="91" t="str">
        <f aca="false">IF(NOT(Tasks[[#This Row],[_IsLeaf]]=1),"",IF(Tasks[[#This Row],[_AlapShift]]=0,Tasks[[#This Row],[_LeafCalcStart]],WORKDAY.INTL(Tasks[[#This Row],[_LeafCalcStart]],Tasks[[#This Row],[_AlapShift]],WorkWeek,Holidays)))</f>
        <v/>
      </c>
      <c r="FH32" s="91" t="str">
        <f aca="false">IF(NOT(Tasks[[#This Row],[_IsLeaf]]=1),"",IF(Tasks[[#This Row],[_AlapShift]]=0,Tasks[[#This Row],[_LeafCalcFinish]],WORKDAY.INTL(Tasks[[#This Row],[_LeafCalcFinish]],Tasks[[#This Row],[_AlapShift]],WorkWeek,Holidays)))</f>
        <v/>
      </c>
      <c r="FI32" s="91" t="str">
        <f aca="false">IF(NOT(Tasks[[#This Row],[_IsLeaf]]=1),"",IF(Tasks[[#This Row],[_AlapShift]]=0,Tasks[[#This Row],[_LeafFcstStart]],WORKDAY.INTL(Tasks[[#This Row],[_LeafFcstStart]],Tasks[[#This Row],[_AlapShift]],WorkWeek,Holidays)))</f>
        <v/>
      </c>
      <c r="FJ32" s="91" t="str">
        <f aca="false">IF(NOT(Tasks[[#This Row],[_IsLeaf]]=1),"",IF(Tasks[[#This Row],[_AlapShift]]=0,Tasks[[#This Row],[_LeafFcstFinish]],WORKDAY.INTL(Tasks[[#This Row],[_LeafFcstFinish]],Tasks[[#This Row],[_AlapShift]],WorkWeek,Holidays)))</f>
        <v/>
      </c>
      <c r="FK32" s="91" t="str">
        <f aca="false">IF(Tasks[[#This Row],[Task Name]]="","",IF(Tasks[[#This Row],[_IsSummary]],MIN(INDEX(Tasks[_ShownCalcStart],Tasks[[#This Row],[_Row]]+1):INDEX(Tasks[_ShownCalcStart],Tasks[[#This Row],[_Row]]+Tasks[[#This Row],[_Descendants]])),Tasks[[#This Row],[_ShownCalcStart]]))</f>
        <v/>
      </c>
      <c r="FL32" s="91" t="str">
        <f aca="false">IF(Tasks[[#This Row],[Task Name]]="","",IF(Tasks[[#This Row],[_IsSummary]],MAX(INDEX(Tasks[_ShownCalcFinish],Tasks[[#This Row],[_Row]]+1):INDEX(Tasks[_ShownCalcFinish],Tasks[[#This Row],[_Row]]+Tasks[[#This Row],[_Descendants]])),Tasks[[#This Row],[_ShownCalcFinish]]))</f>
        <v/>
      </c>
      <c r="FM3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2" s="43" t="n">
        <f aca="false">IF(AND(Tasks[[#This Row],[_IsLeaf]]=1,Tasks[[#This Row],[_LeafTotalWork]]&gt;0),NETWORKDAYS.INTL(ProjectStart,Tasks[[#This Row],[_ShownFcstStart]],WorkWeek,Holidays),0)</f>
        <v>0</v>
      </c>
      <c r="FZ32" s="43" t="n">
        <f aca="false">IF(AND(Tasks[[#This Row],[_IsLeaf]]=1,Tasks[[#This Row],[_LeafTotalWork]]&gt;0),MAX(Tasks[[#This Row],[_StartWorkday]],NETWORKDAYS.INTL(ProjectStart,Tasks[[#This Row],[_ShownFcstFinish]],WorkWeek,Holidays)),0)</f>
        <v>0</v>
      </c>
      <c r="GA32" s="43" t="n">
        <f aca="false">IF(AND(Tasks[[#This Row],[_IsLeaf]]=1,Tasks[[#This Row],[_LeafTotalWork]]&gt;0),Tasks[[#This Row],[_LeafWork]]/(Tasks[[#This Row],[_FinishWorkday]]-Tasks[[#This Row],[_StartWorkday]]+1),0)</f>
        <v>0</v>
      </c>
      <c r="GB32" s="43" t="n">
        <f aca="false">Tasks[[#This Row],[_WorkPerWorkday]]*(Tasks[[#This Row],[_StartWorkday]]-1)</f>
        <v>-0</v>
      </c>
      <c r="GC32" s="43" t="n">
        <f aca="false">IF(Tasks[[#This Row],[_IsLeaf]]=1,MAX(N(Tasks[[#This Row],[_Days]]),0.1),0)</f>
        <v>0</v>
      </c>
      <c r="GD32" s="43" t="n">
        <f aca="false">Tasks[[#This Row],[_WeightDur]]*Tasks[[#This Row],[_LeafProgress]]</f>
        <v>0</v>
      </c>
      <c r="GE32" s="43" t="n">
        <f aca="false">Tasks[[#This Row],[_WeightDur]]*Tasks[[#This Row],[_PlannedPct]]</f>
        <v>0</v>
      </c>
      <c r="GF3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2" s="43" t="str">
        <f aca="false">IF(AND(Tasks[[#This Row],[_IsLeaf]]=1,N(Tasks[[#This Row],[_Days]])=0,Tasks[[#This Row],[_LeafProgress]]&lt;1),Tasks[[#This Row],[_ShownFcstFinish]]+Tasks[[#This Row],[_Row]]/100000,"")</f>
        <v/>
      </c>
      <c r="GH3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2" s="43" t="str">
        <f aca="false">IF(Tasks[[#This Row],[Task Name]]="","",LEFT(Tasks[[#This Row],[WBS]],FIND(".",Tasks[[#This Row],[WBS]]&amp;".")-1))</f>
        <v/>
      </c>
      <c r="GJ32" s="43" t="str">
        <f aca="false">IF(AND(Tasks[[#This Row],[Task Name]]&lt;&gt;"",Tasks[[#This Row],[_Level]]=1),Tasks[[#This Row],[_Row]],"")</f>
        <v/>
      </c>
      <c r="GK32" s="43" t="str">
        <f aca="false">IF(AND(Tasks[[#This Row],[_IsLeaf]]=1,N(Tasks[[#This Row],[_Days]])=0),Tasks[[#This Row],[Planned Finish]]+Tasks[[#This Row],[_Row]]/100000,"")</f>
        <v/>
      </c>
      <c r="GL32" s="43" t="str">
        <f aca="false">IF(AND(Tasks[[#This Row],[_IsLeaf]]=1,Tasks[[#This Row],[_LeafProgress]]&lt;1,OR(N(Tasks[[#This Row],[Finish Var]])&gt;0,Tasks[[#This Row],[Status]]="Late Start")),MAX(0,Tasks[[#This Row],[Finish Var]])+1-Tasks[[#This Row],[_Row]]/1000000,"")</f>
        <v/>
      </c>
      <c r="GM32" s="43" t="str">
        <f aca="false">IF(AND(Tasks[[#This Row],[_IsLeaf]]=1,N(Tasks[[#This Row],[Actual Start]])=0,Tasks[[#This Row],[_ShownFcstStart]]&gt;=StatusDate,Tasks[[#This Row],[_ShownFcstStart]]&lt;=LookaheadEnd),Tasks[[#This Row],[_ShownFcstStart]]+Tasks[[#This Row],[_Row]]/100000,"")</f>
        <v/>
      </c>
      <c r="GN32" s="43" t="str">
        <f aca="false">IF(AND(Tasks[[#This Row],[_IsLeaf]]=1,Tasks[[#This Row],[_LeafProgress]]&lt;1,Tasks[[#This Row],[_ShownFcstFinish]]&gt;=StatusDate,Tasks[[#This Row],[_ShownFcstFinish]]&lt;=LookaheadEnd),Tasks[[#This Row],[_ShownFcstFinish]]+Tasks[[#This Row],[_Row]]/100000,"")</f>
        <v/>
      </c>
      <c r="GO32" s="43" t="str">
        <f aca="false">IF(Tasks[[#This Row],[_LeafCritical]],Tasks[[#This Row],[_ShownFcstStart]]+Tasks[[#This Row],[_Row]]/100000,"")</f>
        <v/>
      </c>
      <c r="GP32" s="43" t="n">
        <f aca="false">Tasks[[#This Row],[_LeafWork]]*Tasks[[#This Row],[_LeafProgress]]</f>
        <v>0</v>
      </c>
      <c r="GQ32" s="91" t="str">
        <f aca="false">IF(AND(Tasks[[#This Row],[_IsLeaf]]=1,Tasks[[#This Row],[_LeafProgress]]&gt;=1),IF(N(Tasks[[#This Row],[Actual Finish]])&gt;0,Tasks[[#This Row],[Actual Finish]],Tasks[[#This Row],[_ShownFcstFinish]]),"")</f>
        <v/>
      </c>
      <c r="GR32" s="43" t="n">
        <f aca="false">IF(Tasks[[#This Row],[_IsLeaf]]=1,N(Tasks[[#This Row],[Story Points]]),0)</f>
        <v>0</v>
      </c>
      <c r="GS32" s="43" t="str">
        <f aca="false">""</f>
        <v/>
      </c>
      <c r="GT32" s="90" t="b">
        <f aca="false">IF(Tasks[[#This Row],[Task Name]]="",FALSE(),AND(Tasks[[#This Row],[_IsLeaf]]=1,N(Tasks[[#This Row],[_Days]])=0))</f>
        <v>0</v>
      </c>
      <c r="GU32" s="91" t="n">
        <f aca="false">IF(Tasks[[#This Row],[Task Name]]="",0,IF(AND(Tasks[[#This Row],[_IsLeaf]]=1,NOT(Tasks[[#This Row],[_IsMilestone]]),N(Tasks[[#This Row],[Progress]])&gt;0),Tasks[[#This Row],[Start]],0))</f>
        <v>0</v>
      </c>
      <c r="GV32" s="91" t="n">
        <f aca="false">IF(Tasks[[#This Row],[_DoneFrom]]=0,0,IF(Tasks[[#This Row],[Progress]]&gt;=1,Tasks[[#This Row],[Finish]],MAX(Tasks[[#This Row],[_DoneFrom]],Tasks[[#This Row],[Start]]+ROUND((Tasks[[#This Row],[Finish]]-Tasks[[#This Row],[Start]]+1)*Tasks[[#This Row],[Progress]],0)-1)))</f>
        <v>0</v>
      </c>
      <c r="GW32" s="91" t="n">
        <f aca="false">IF(Tasks[[#This Row],[Task Name]]="",0,IF(OR(NOT(Tasks[[#This Row],[_IsLeaf]]=1),Tasks[[#This Row],[_IsMilestone]],N(Tasks[[#This Row],[Progress]])&gt;=1),0,IF(Tasks[[#This Row],[_DoneTo]]&gt;0,Tasks[[#This Row],[_DoneTo]]+1,Tasks[[#This Row],[Start]])))</f>
        <v>0</v>
      </c>
      <c r="GX32" s="91" t="n">
        <f aca="false">IF(Tasks[[#This Row],[_RemFrom]]=0,0,Tasks[[#This Row],[Finish]])</f>
        <v>0</v>
      </c>
      <c r="GY32" s="90" t="b">
        <f aca="false">IF(Tasks[[#This Row],[Task Name]]="",FALSE(),OR(NOT(BaselineSet),N(Tasks[[#This Row],[Baseline Start]])&gt;0))</f>
        <v>0</v>
      </c>
      <c r="GZ3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2" s="92" t="str">
        <f aca="false">IF(Tasks[[#This Row],[_IsLeaf]]=1,Tasks[[#This Row],[_Row]],"")</f>
        <v/>
      </c>
      <c r="HD32" s="92" t="str">
        <f aca="false">IFERROR(INDEX(Tasks[UID],SMALL(Tasks[_PickKey],Tasks[[#This Row],[_Row]]))&amp;" "&amp;INDEX(Tasks[Task Name],SMALL(Tasks[_PickKey],Tasks[[#This Row],[_Row]])),"")</f>
        <v/>
      </c>
      <c r="HE32" s="43" t="str">
        <f aca="false">IF(Tasks[[#This Row],[Task Name]]="","",IF(Tasks[[#This Row],[_IsSummary]],NETWORKDAYS.INTL(Tasks[[#This Row],[Start]],Tasks[[#This Row],[Finish]],WorkWeek,Holidays),N(Tasks[[#This Row],[_Days]])))</f>
        <v/>
      </c>
      <c r="HF32" s="43" t="n">
        <f aca="false">IF(Tasks[[#This Row],[Expected]]="",0,((Tasks[[#This Row],[Pessimistic]]-Tasks[[#This Row],[Optimistic]])/6)^2)</f>
        <v>0</v>
      </c>
      <c r="HG32" s="43" t="n">
        <f aca="false">IF(Tasks[[#This Row],[Expected]]="",0,Tasks[[#This Row],[Expected]]-N(Tasks[[#This Row],[_Days]]))</f>
        <v>0</v>
      </c>
    </row>
    <row r="33" customFormat="false" ht="15" hidden="false" customHeight="false" outlineLevel="0" collapsed="false">
      <c r="A33" s="21" t="str">
        <f aca="false">IF(Tasks[[#This Row],[Task Name]]="","",COUNTA(Tasks[[#Headers],[Task Name]]:Tasks[[#This Row],[Task Name]])-1)</f>
        <v/>
      </c>
      <c r="B33" s="22" t="n">
        <v>41</v>
      </c>
      <c r="C33" s="22"/>
      <c r="D33" s="23"/>
      <c r="E33" s="22"/>
      <c r="F33" s="23"/>
      <c r="G33" s="22"/>
      <c r="H33" s="22"/>
      <c r="I33" s="23"/>
      <c r="J33" s="22"/>
      <c r="K33" s="22"/>
      <c r="L33" s="23"/>
      <c r="M33" s="22"/>
      <c r="N33" s="22"/>
      <c r="O33" s="23"/>
      <c r="P33" s="22"/>
      <c r="Q33" s="22"/>
      <c r="R33" s="23"/>
      <c r="S33" s="23"/>
      <c r="T33" s="84"/>
      <c r="U33" s="23"/>
      <c r="V33" s="84"/>
      <c r="W33" s="23"/>
      <c r="X33" s="84"/>
      <c r="Y33" s="23"/>
      <c r="Z33" s="84"/>
      <c r="AA33" s="23"/>
      <c r="AB33" s="23"/>
      <c r="AC33" s="7"/>
      <c r="AD33" s="7"/>
      <c r="AE33" s="63" t="str">
        <f aca="false">IF(Tasks[[#This Row],[Task Name]]="","",IF(Tasks[[#This Row],[_IsSummary]],MIN(INDEX(Tasks[_ShownFcstStart],Tasks[[#This Row],[_Row]]+1):INDEX(Tasks[_ShownFcstStart],Tasks[[#This Row],[_Row]]+Tasks[[#This Row],[_Descendants]])),Tasks[[#This Row],[_ShownFcstStart]]))</f>
        <v/>
      </c>
      <c r="AF33" s="63" t="str">
        <f aca="false">IF(Tasks[[#This Row],[Task Name]]="","",IF(Tasks[[#This Row],[_IsSummary]],MAX(INDEX(Tasks[_ShownFcstFinish],Tasks[[#This Row],[_Row]]+1):INDEX(Tasks[_ShownFcstFinish],Tasks[[#This Row],[_Row]]+Tasks[[#This Row],[_Descendants]])),Tasks[[#This Row],[_ShownFcstFinish]]))</f>
        <v/>
      </c>
      <c r="AG33" s="21" t="str">
        <f aca="false">""</f>
        <v/>
      </c>
      <c r="AH33" s="23"/>
      <c r="AI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3" s="7"/>
      <c r="AK33" s="22"/>
      <c r="AL33" s="23"/>
      <c r="AM33" s="7"/>
      <c r="AN33" s="47" t="str">
        <f aca="false">IF(Tasks[[#This Row],[Task Name]]="","",IF(Tasks[[#This Row],[Finish]]&gt;=Tasks[[#This Row],[Planned Finish]],NETWORKDAYS.INTL(Tasks[[#This Row],[Planned Finish]],Tasks[[#This Row],[Finish]],WorkWeek,Holidays)-1,1-NETWORKDAYS.INTL(Tasks[[#This Row],[Finish]],Tasks[[#This Row],[Planned Finish]],WorkWeek,Holidays)))</f>
        <v/>
      </c>
      <c r="AO33" s="21" t="str">
        <f aca="false">IF(Tasks[[#This Row],[Task Name]]="","",IF(Tasks[[#This Row],[Progress]]&gt;=1,"Complete",IF(OR(N(Tasks[[#This Row],[Actual Start]])&gt;0,Tasks[[#This Row],[Progress]]&gt;0),IF(Tasks[[#This Row],[Finish Var]]&gt;0,"Behind","In Progress"),IF(Tasks[[#This Row],[Planned Start]]&lt;StatusDate,"Late Start","Not Started"))))</f>
        <v/>
      </c>
      <c r="AP33" s="21" t="str">
        <f aca="false">IF(Tasks[[#This Row],[Task Name]]="","",IF(IF(Tasks[[#This Row],[_IsSummary]],COUNTIF(INDEX(Tasks[_LeafCritical],Tasks[[#This Row],[_Row]]+1):INDEX(Tasks[_LeafCritical],Tasks[[#This Row],[_Row]]+Tasks[[#This Row],[_Descendants]]),TRUE())&gt;0,Tasks[[#This Row],[_LeafCritical]]),"Yes",""))</f>
        <v/>
      </c>
      <c r="AQ33" s="63" t="str">
        <f aca="false">IF(Tasks[[#This Row],[Task Name]]="","",IF(N(Tasks[[#This Row],[Baseline Start]])&gt;0,Tasks[[#This Row],[Baseline Start]],Tasks[[#This Row],[_CalcStart]]))</f>
        <v/>
      </c>
      <c r="AR33" s="63" t="str">
        <f aca="false">IF(Tasks[[#This Row],[Task Name]]="","",IF(N(Tasks[[#This Row],[Baseline Finish]])&gt;0,Tasks[[#This Row],[Baseline Finish]],Tasks[[#This Row],[_CalcFinish]]))</f>
        <v/>
      </c>
      <c r="AS33" s="47" t="str">
        <f aca="false">IF(Tasks[[#This Row],[Task Name]]="","",IF(Tasks[[#This Row],[Start]]&gt;=Tasks[[#This Row],[Planned Start]],NETWORKDAYS.INTL(Tasks[[#This Row],[Planned Start]],Tasks[[#This Row],[Start]],WorkWeek,Holidays)-1,1-NETWORKDAYS.INTL(Tasks[[#This Row],[Start]],Tasks[[#This Row],[Planned Start]],WorkWeek,Holidays)))</f>
        <v/>
      </c>
      <c r="AT33" s="63" t="str">
        <f aca="false">IF(Tasks[[#This Row],[Task Name]]="","",IF(Tasks[[#This Row],[_IsSummary]],MIN(INDEX(Tasks[_LeafLateStart],Tasks[[#This Row],[_Row]]+1):INDEX(Tasks[_LeafLateStart],Tasks[[#This Row],[_Row]]+Tasks[[#This Row],[_Descendants]])),Tasks[[#This Row],[_LeafLateStart]]))</f>
        <v/>
      </c>
      <c r="AU33" s="63" t="str">
        <f aca="false">IF(Tasks[[#This Row],[Task Name]]="","",IF(Tasks[[#This Row],[_IsSummary]],MAX(INDEX(Tasks[_LeafLateFinish],Tasks[[#This Row],[_Row]]+1):INDEX(Tasks[_LeafLateFinish],Tasks[[#This Row],[_Row]]+Tasks[[#This Row],[_Descendants]])),Tasks[[#This Row],[_LeafLateFinish]]))</f>
        <v/>
      </c>
      <c r="AV33" s="47" t="str">
        <f aca="false">IF(Tasks[[#This Row],[Task Name]]="","",IF(Tasks[[#This Row],[_IsSummary]],MIN(INDEX(Tasks[_LeafTotalSlack],Tasks[[#This Row],[_Row]]+1):INDEX(Tasks[_LeafTotalSlack],Tasks[[#This Row],[_Row]]+Tasks[[#This Row],[_Descendants]])),Tasks[[#This Row],[_LeafTotalSlack]]))</f>
        <v/>
      </c>
      <c r="AW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5"/>
      <c r="BA3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1" t="str">
        <f aca="false">IF(Tasks[[#This Row],[Task Name]]="","",IF(Tasks[[#This Row],[_Level]]&lt;=OutlineShowLevel,"Yes","No"))</f>
        <v/>
      </c>
      <c r="BE33" s="86" t="str">
        <f aca="false">IF(Tasks[[#This Row],[Task Name]]="","",IF(Tasks[[#This Row],[_IsSummary]],SUM(INDEX(Tasks[_LeafTotalWork],Tasks[[#This Row],[_Row]]+1):INDEX(Tasks[_LeafTotalWork],Tasks[[#This Row],[_Row]]+Tasks[[#This Row],[_Descendants]])),Tasks[[#This Row],[_LeafTotalWork]]))</f>
        <v/>
      </c>
      <c r="BF33" s="23"/>
      <c r="BG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3" s="21" t="str">
        <f aca="false">""</f>
        <v/>
      </c>
      <c r="BI33" s="87"/>
      <c r="BJ33" s="22"/>
      <c r="BK33" s="47" t="str">
        <f aca="false">IF(OR(Tasks[[#This Row],[Task Name]]="",Tasks[[#This Row],[Baseline Duration]]=""),"",Tasks[[#This Row],[_SpanDays]]-N(Tasks[[#This Row],[Baseline Duration]]))</f>
        <v/>
      </c>
      <c r="BL33" s="86" t="str">
        <f aca="false">IF(OR(Tasks[[#This Row],[Task Name]]="",Tasks[[#This Row],[Baseline Work]]=""),"",Tasks[[#This Row],[Work]]-N(Tasks[[#This Row],[Baseline Work]]))</f>
        <v/>
      </c>
      <c r="BM33" s="63" t="str">
        <f aca="false">IF(Tasks[[#This Row],[Task Name]]="","",IF(OR(TakeBaseline="Yes",N(Tasks[[#This Row],[Baseline Start]])=0),Tasks[[#This Row],[Start]],Tasks[[#This Row],[Baseline Start]]))</f>
        <v/>
      </c>
      <c r="BN33" s="63" t="str">
        <f aca="false">IF(Tasks[[#This Row],[Task Name]]="","",IF(OR(TakeBaseline="Yes",N(Tasks[[#This Row],[Baseline Finish]])=0),Tasks[[#This Row],[Finish]],Tasks[[#This Row],[Baseline Finish]]))</f>
        <v/>
      </c>
      <c r="BO33" s="21" t="str">
        <f aca="false">IF(Tasks[[#This Row],[Task Name]]="","",IF(OR(TakeBaseline="Yes",N(Tasks[[#This Row],[Baseline Duration]])=0),Tasks[[#This Row],[_SpanDays]],Tasks[[#This Row],[Baseline Duration]]))</f>
        <v/>
      </c>
      <c r="BP33" s="86" t="str">
        <f aca="false">IF(Tasks[[#This Row],[Task Name]]="","",IF(OR(TakeBaseline="Yes",N(Tasks[[#This Row],[Baseline Work]])=0),Tasks[[#This Row],[Work]],Tasks[[#This Row],[Baseline Work]]))</f>
        <v/>
      </c>
      <c r="BQ33" s="7"/>
      <c r="BR33" s="7"/>
      <c r="BS33" s="22"/>
      <c r="BT33" s="88"/>
      <c r="BU33" s="23"/>
      <c r="BV33" s="23"/>
      <c r="BW33" s="23"/>
      <c r="BX33" s="89" t="str">
        <f aca="false">IF(AND(Tasks[[#This Row],[_IsLeaf]]=1,ISNUMBER(Tasks[[#This Row],[Optimistic]]),ISNUMBER(Tasks[[#This Row],[Pessimistic]])),ROUND((Tasks[[#This Row],[Optimistic]]+4*N(Tasks[[#This Row],[_Days]])+Tasks[[#This Row],[Pessimistic]])/6,1),"")</f>
        <v/>
      </c>
      <c r="BY33" s="87"/>
      <c r="BZ33" s="87"/>
      <c r="CA33" s="22"/>
      <c r="CB33" s="43" t="str">
        <f aca="false">IF(Tasks[[#This Row],[Task Name]]="","",MAX(1,N(Tasks[[#This Row],[Level]])))</f>
        <v/>
      </c>
      <c r="CC33" s="43" t="n">
        <f aca="false">ROW()-ROW(Tasks[[#Headers],[ID]])</f>
        <v>28</v>
      </c>
      <c r="CD33" s="43" t="n">
        <f aca="false">IF(OR(Tasks[[#This Row],[Task Name]]="",Tasks[[#This Row],[_Level]]&lt;=1),0,IFERROR(LOOKUP(2,1/(Tasks[[#Headers],[_Level]]:Tasks[[#This Row],[_Level]]=Tasks[[#This Row],[_Level]]-1),ROW(Tasks[[#Headers],[_Level]]:Tasks[[#This Row],[_Level]])),0))</f>
        <v>0</v>
      </c>
      <c r="CE33" s="43" t="n">
        <f aca="false">IFERROR(N(INDEX(Tasks[_Level],Tasks[[#This Row],[_Row]]+1)),0)</f>
        <v>0</v>
      </c>
      <c r="CF33" s="90" t="b">
        <f aca="false">AND(Tasks[[#This Row],[Task Name]]&lt;&gt;"",Tasks[[#This Row],[_NextLevel]]&gt;Tasks[[#This Row],[_Level]])</f>
        <v>0</v>
      </c>
      <c r="CG33" s="43" t="n">
        <f aca="false">IF(Tasks[[#This Row],[_IsSummary]],COUNTIF(Tasks[WBS],Tasks[[#This Row],[WBS]]&amp;".*"),0)</f>
        <v>0</v>
      </c>
      <c r="CH33" s="43" t="n">
        <f aca="false">IF(AND(Tasks[[#This Row],[Task Name]]&lt;&gt;"",NOT(Tasks[[#This Row],[_IsSummary]])),1,0)</f>
        <v>0</v>
      </c>
      <c r="CI33" s="43" t="n">
        <f aca="false">IF(N(Tasks[[#This Row],[_Pred1UID]])=0,0,IFERROR(MATCH(Tasks[[#This Row],[_Pred1UID]],Tasks[UID],0),-1))</f>
        <v>0</v>
      </c>
      <c r="CJ33" s="43" t="n">
        <f aca="false">IF(N(Tasks[[#This Row],[_Pred2UID]])=0,0,IFERROR(MATCH(Tasks[[#This Row],[_Pred2UID]],Tasks[UID],0),-1))</f>
        <v>0</v>
      </c>
      <c r="CK33" s="43" t="n">
        <f aca="false">IF(N(Tasks[[#This Row],[_Pred3UID]])=0,0,IFERROR(MATCH(Tasks[[#This Row],[_Pred3UID]],Tasks[UID],0),-1))</f>
        <v>0</v>
      </c>
      <c r="CL33" s="43" t="n">
        <f aca="false">IF(N(Tasks[[#This Row],[_Pred4UID]])=0,0,IFERROR(MATCH(Tasks[[#This Row],[_Pred4UID]],Tasks[UID],0),-1))</f>
        <v>0</v>
      </c>
      <c r="CM3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3" s="91" t="n">
        <f aca="false">IF(OR(Tasks[[#This Row],[_ConstraintCode]]=2,Tasks[[#This Row],[_ConstraintCode]]=3,Tasks[[#This Row],[_ConstraintCode]]=4,Tasks[[#This Row],[_ConstraintCode]]=6),Tasks[[#This Row],[_ConstraintStart]],0)</f>
        <v>0</v>
      </c>
      <c r="CP33" s="91" t="n">
        <f aca="false">IF(OR(Tasks[[#This Row],[_ConstraintCode]]=2,Tasks[[#This Row],[_ConstraintCode]]=3,Tasks[[#This Row],[_ConstraintCode]]=5,Tasks[[#This Row],[_ConstraintCode]]=7),Tasks[[#This Row],[_ConstraintStart]],2958465)</f>
        <v>2958465</v>
      </c>
      <c r="CQ3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3" s="91" t="str">
        <f aca="false">IF(NOT(Tasks[[#This Row],[_IsLeaf]]=1),"",IF(N(Tasks[[#This Row],[_Days]])&lt;=0,Tasks[[#This Row],[_LeafCalcStart]],WORKDAY.INTL(Tasks[[#This Row],[_LeafCalcStart]],Tasks[[#This Row],[_Days]]-1,WorkWeek,Holidays)))</f>
        <v/>
      </c>
      <c r="CS3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3" s="43" t="str">
        <f aca="false">IF(Tasks[[#This Row],[_Predecessors]]="","",TRIM(MID(SUBSTITUTE(SUBSTITUTE(SUBSTITUTE(UPPER(Tasks[[#This Row],[_Predecessors]]),";",",")," ",""),",",REPT(" ",99)),1,99)))</f>
        <v/>
      </c>
      <c r="CV33" s="43" t="str">
        <f aca="false">IF(Tasks[[#This Row],[_Pred1Text]]="","",IFERROR(VALUE(LEFT(Tasks[[#This Row],[_Pred1Text]],MIN(FIND("F",Tasks[[#This Row],[_Pred1Text]]&amp;"F"),FIND("S",Tasks[[#This Row],[_Pred1Text]]&amp;"S"),FIND("+",Tasks[[#This Row],[_Pred1Text]]&amp;"+"),FIND("-",Tasks[[#This Row],[_Pred1Text]]&amp;"-"))-1)),""))</f>
        <v/>
      </c>
      <c r="CW3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3" s="43" t="str">
        <f aca="false">IF(Tasks[[#This Row],[_Pred1Text]]="","",TRIM(MID(SUBSTITUTE(SUBSTITUTE(SUBSTITUTE(UPPER(Tasks[[#This Row],[_Predecessors]]),";",",")," ",""),",",REPT(" ",99)),100,99)))</f>
        <v/>
      </c>
      <c r="CZ33" s="43" t="str">
        <f aca="false">IF(Tasks[[#This Row],[_Pred2Text]]="","",IFERROR(VALUE(LEFT(Tasks[[#This Row],[_Pred2Text]],MIN(FIND("F",Tasks[[#This Row],[_Pred2Text]]&amp;"F"),FIND("S",Tasks[[#This Row],[_Pred2Text]]&amp;"S"),FIND("+",Tasks[[#This Row],[_Pred2Text]]&amp;"+"),FIND("-",Tasks[[#This Row],[_Pred2Text]]&amp;"-"))-1)),""))</f>
        <v/>
      </c>
      <c r="DA3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3" s="43" t="str">
        <f aca="false">IF(Tasks[[#This Row],[_Pred2Text]]="","",TRIM(MID(SUBSTITUTE(SUBSTITUTE(SUBSTITUTE(UPPER(Tasks[[#This Row],[_Predecessors]]),";",",")," ",""),",",REPT(" ",99)),199,99)))</f>
        <v/>
      </c>
      <c r="DD33" s="43" t="str">
        <f aca="false">IF(Tasks[[#This Row],[_Pred3Text]]="","",IFERROR(VALUE(LEFT(Tasks[[#This Row],[_Pred3Text]],MIN(FIND("F",Tasks[[#This Row],[_Pred3Text]]&amp;"F"),FIND("S",Tasks[[#This Row],[_Pred3Text]]&amp;"S"),FIND("+",Tasks[[#This Row],[_Pred3Text]]&amp;"+"),FIND("-",Tasks[[#This Row],[_Pred3Text]]&amp;"-"))-1)),""))</f>
        <v/>
      </c>
      <c r="DE3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3" s="43" t="str">
        <f aca="false">IF(Tasks[[#This Row],[_Pred3Text]]="","",TRIM(MID(SUBSTITUTE(SUBSTITUTE(SUBSTITUTE(UPPER(Tasks[[#This Row],[_Predecessors]]),";",",")," ",""),",",REPT(" ",99)),298,99)))</f>
        <v/>
      </c>
      <c r="DH33" s="43" t="str">
        <f aca="false">IF(Tasks[[#This Row],[_Pred4Text]]="","",IFERROR(VALUE(LEFT(Tasks[[#This Row],[_Pred4Text]],MIN(FIND("F",Tasks[[#This Row],[_Pred4Text]]&amp;"F"),FIND("S",Tasks[[#This Row],[_Pred4Text]]&amp;"S"),FIND("+",Tasks[[#This Row],[_Pred4Text]]&amp;"+"),FIND("-",Tasks[[#This Row],[_Pred4Text]]&amp;"-"))-1)),""))</f>
        <v/>
      </c>
      <c r="DI3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3" s="43" t="str">
        <f aca="false">IF(OR(Tasks[[#This Row],[Task Name]]="",Tasks[[#This Row],[_Resources]]=""),"",TRIM(MID(SUBSTITUTE(Tasks[[#This Row],[_Resources]],",",REPT(" ",99)),1,99)))</f>
        <v/>
      </c>
      <c r="DL33" s="43" t="str">
        <f aca="false">IF(Tasks[[#This Row],[_Res1Text]]="","",TRIM(MID(SUBSTITUTE(Tasks[[#This Row],[_Resources]],",",REPT(" ",99)),100,99)))</f>
        <v/>
      </c>
      <c r="DM33" s="43" t="str">
        <f aca="false">IF(Tasks[[#This Row],[_Res2Text]]="","",TRIM(MID(SUBSTITUTE(Tasks[[#This Row],[_Resources]],",",REPT(" ",99)),199,99)))</f>
        <v/>
      </c>
      <c r="DN33" s="43" t="str">
        <f aca="false">IF(Tasks[[#This Row],[_Res3Text]]="","",TRIM(MID(SUBSTITUTE(Tasks[[#This Row],[_Resources]],",",REPT(" ",99)),298,99)))</f>
        <v/>
      </c>
      <c r="DO33" s="43" t="n">
        <f aca="false">IF(Tasks[[#This Row],[_Res1Text]]="",0,IFERROR(MATCH(TRIM(LEFT(Tasks[[#This Row],[_Res1Text]],FIND("[",Tasks[[#This Row],[_Res1Text]]&amp;"[")-1)),res_Name,0),IFERROR(MATCH(TRIM(LEFT(Tasks[[#This Row],[_Res1Text]],FIND("[",Tasks[[#This Row],[_Res1Text]]&amp;"[")-1)),res_Initials,0),0)))</f>
        <v>0</v>
      </c>
      <c r="DP33" s="43" t="n">
        <f aca="false">IF(Tasks[[#This Row],[_Res2Text]]="",0,IFERROR(MATCH(TRIM(LEFT(Tasks[[#This Row],[_Res2Text]],FIND("[",Tasks[[#This Row],[_Res2Text]]&amp;"[")-1)),res_Name,0),IFERROR(MATCH(TRIM(LEFT(Tasks[[#This Row],[_Res2Text]],FIND("[",Tasks[[#This Row],[_Res2Text]]&amp;"[")-1)),res_Initials,0),0)))</f>
        <v>0</v>
      </c>
      <c r="DQ33" s="43" t="n">
        <f aca="false">IF(Tasks[[#This Row],[_Res3Text]]="",0,IFERROR(MATCH(TRIM(LEFT(Tasks[[#This Row],[_Res3Text]],FIND("[",Tasks[[#This Row],[_Res3Text]]&amp;"[")-1)),res_Name,0),IFERROR(MATCH(TRIM(LEFT(Tasks[[#This Row],[_Res3Text]],FIND("[",Tasks[[#This Row],[_Res3Text]]&amp;"[")-1)),res_Initials,0),0)))</f>
        <v>0</v>
      </c>
      <c r="DR33" s="43" t="n">
        <f aca="false">IF(Tasks[[#This Row],[_Res4Text]]="",0,IFERROR(MATCH(TRIM(LEFT(Tasks[[#This Row],[_Res4Text]],FIND("[",Tasks[[#This Row],[_Res4Text]]&amp;"[")-1)),res_Name,0),IFERROR(MATCH(TRIM(LEFT(Tasks[[#This Row],[_Res4Text]],FIND("[",Tasks[[#This Row],[_Res4Text]]&amp;"[")-1)),res_Initials,0),0)))</f>
        <v>0</v>
      </c>
      <c r="DS33" s="43" t="str">
        <f aca="false">IF(Tasks[[#This Row],[_Res1Text]]="","",IF(Tasks[[#This Row],[_Res1Row]]&gt;0,INDEX(res_Name,Tasks[[#This Row],[_Res1Row]]),TRIM(LEFT(Tasks[[#This Row],[_Res1Text]],FIND("[",Tasks[[#This Row],[_Res1Text]]&amp;"[")-1))))</f>
        <v/>
      </c>
      <c r="DT3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3" s="43" t="n">
        <f aca="false">IF(NOT(Tasks[[#This Row],[_IsLeaf]]=1),0,(Tasks[[#This Row],[_Resource1]]&lt;&gt;"")+(Tasks[[#This Row],[_Res2]]&lt;&gt;"")+(Tasks[[#This Row],[_Res3]]&lt;&gt;"")+(Tasks[[#This Row],[_Res4]]&lt;&gt;""))</f>
        <v>0</v>
      </c>
      <c r="DV33" s="43" t="str">
        <f aca="false">IF(Tasks[[#This Row],[_Res2Text]]="","",IF(Tasks[[#This Row],[_Res2Row]]&gt;0,INDEX(res_Name,Tasks[[#This Row],[_Res2Row]]),TRIM(LEFT(Tasks[[#This Row],[_Res2Text]],FIND("[",Tasks[[#This Row],[_Res2Text]]&amp;"[")-1))))</f>
        <v/>
      </c>
      <c r="DW3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3" s="43" t="n">
        <f aca="false">IF(OR(NOT(Tasks[[#This Row],[_IsLeaf]]=1),Tasks[[#This Row],[_Res2Row]]=0),0,N(Tasks[[#This Row],[_Days]])*HoursPerDay*IF(Tasks[[#This Row],[_Res2Units]]="",DefaultUnits,Tasks[[#This Row],[_Res2Units]]))</f>
        <v>0</v>
      </c>
      <c r="DY33" s="43" t="n">
        <f aca="false">IF(AND(AND(Tasks[[#This Row],[_IsLeaf]]=1,Tasks[[#This Row],[_LeafTotalWork]]&gt;0),Tasks[[#This Row],[_Res2Work]]&gt;0),Tasks[[#This Row],[_Res2Work]]/(Tasks[[#This Row],[_FinishWorkday]]-Tasks[[#This Row],[_StartWorkday]]+1),0)</f>
        <v>0</v>
      </c>
      <c r="DZ33" s="43" t="n">
        <f aca="false">Tasks[[#This Row],[_Res2WorkPerWD]]*MAX(0,Tasks[[#This Row],[_StartWorkday]]-1)</f>
        <v>0</v>
      </c>
      <c r="EA33" s="43" t="n">
        <f aca="false">Tasks[[#This Row],[_Res2Work]]*Tasks[[#This Row],[_LeafProgress]]</f>
        <v>0</v>
      </c>
      <c r="EB33" s="43" t="str">
        <f aca="false">IF(Tasks[[#This Row],[_Res3Text]]="","",IF(Tasks[[#This Row],[_Res3Row]]&gt;0,INDEX(res_Name,Tasks[[#This Row],[_Res3Row]]),TRIM(LEFT(Tasks[[#This Row],[_Res3Text]],FIND("[",Tasks[[#This Row],[_Res3Text]]&amp;"[")-1))))</f>
        <v/>
      </c>
      <c r="EC3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3" s="43" t="n">
        <f aca="false">IF(OR(NOT(Tasks[[#This Row],[_IsLeaf]]=1),Tasks[[#This Row],[_Res3Row]]=0),0,N(Tasks[[#This Row],[_Days]])*HoursPerDay*IF(Tasks[[#This Row],[_Res3Units]]="",DefaultUnits,Tasks[[#This Row],[_Res3Units]]))</f>
        <v>0</v>
      </c>
      <c r="EE33" s="43" t="n">
        <f aca="false">IF(AND(AND(Tasks[[#This Row],[_IsLeaf]]=1,Tasks[[#This Row],[_LeafTotalWork]]&gt;0),Tasks[[#This Row],[_Res3Work]]&gt;0),Tasks[[#This Row],[_Res3Work]]/(Tasks[[#This Row],[_FinishWorkday]]-Tasks[[#This Row],[_StartWorkday]]+1),0)</f>
        <v>0</v>
      </c>
      <c r="EF33" s="43" t="n">
        <f aca="false">Tasks[[#This Row],[_Res3WorkPerWD]]*MAX(0,Tasks[[#This Row],[_StartWorkday]]-1)</f>
        <v>0</v>
      </c>
      <c r="EG33" s="43" t="n">
        <f aca="false">Tasks[[#This Row],[_Res3Work]]*Tasks[[#This Row],[_LeafProgress]]</f>
        <v>0</v>
      </c>
      <c r="EH33" s="43" t="str">
        <f aca="false">IF(Tasks[[#This Row],[_Res4Text]]="","",IF(Tasks[[#This Row],[_Res4Row]]&gt;0,INDEX(res_Name,Tasks[[#This Row],[_Res4Row]]),TRIM(LEFT(Tasks[[#This Row],[_Res4Text]],FIND("[",Tasks[[#This Row],[_Res4Text]]&amp;"[")-1))))</f>
        <v/>
      </c>
      <c r="EI3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3" s="43" t="n">
        <f aca="false">IF(OR(NOT(Tasks[[#This Row],[_IsLeaf]]=1),Tasks[[#This Row],[_Res4Row]]=0),0,N(Tasks[[#This Row],[_Days]])*HoursPerDay*IF(Tasks[[#This Row],[_Res4Units]]="",DefaultUnits,Tasks[[#This Row],[_Res4Units]]))</f>
        <v>0</v>
      </c>
      <c r="EK33" s="43" t="n">
        <f aca="false">IF(AND(AND(Tasks[[#This Row],[_IsLeaf]]=1,Tasks[[#This Row],[_LeafTotalWork]]&gt;0),Tasks[[#This Row],[_Res4Work]]&gt;0),Tasks[[#This Row],[_Res4Work]]/(Tasks[[#This Row],[_FinishWorkday]]-Tasks[[#This Row],[_StartWorkday]]+1),0)</f>
        <v>0</v>
      </c>
      <c r="EL33" s="43" t="n">
        <f aca="false">Tasks[[#This Row],[_Res4WorkPerWD]]*MAX(0,Tasks[[#This Row],[_StartWorkday]]-1)</f>
        <v>0</v>
      </c>
      <c r="EM33" s="43" t="n">
        <f aca="false">Tasks[[#This Row],[_Res4Work]]*Tasks[[#This Row],[_LeafProgress]]</f>
        <v>0</v>
      </c>
      <c r="EN33" s="43" t="n">
        <f aca="false">IF(ISNUMBER(Tasks[[#This Row],[% Complete]]),Tasks[[#This Row],[% Complete]],IF(Tasks[[#This Row],[Stage]]="",0,IFERROR(INDEX(stg_Pct,MATCH(Tasks[[#This Row],[Stage]],stg_Name,0)),0)))</f>
        <v>0</v>
      </c>
      <c r="EO33" s="43" t="n">
        <f aca="false">IF(NOT(Tasks[[#This Row],[_IsLeaf]]=1),0,IF(N(Tasks[[#This Row],[Actual Finish]])&gt;0,1,MIN(1,Tasks[[#This Row],[_Pct]])))</f>
        <v>0</v>
      </c>
      <c r="EP33" s="43" t="n">
        <f aca="false">IF(OR(NOT(Tasks[[#This Row],[_IsLeaf]]=1),Tasks[[#This Row],[_Res1Row]]=0),0,N(Tasks[[#This Row],[_Days]])*HoursPerDay*IF(Tasks[[#This Row],[_Units1]]="",DefaultUnits,Tasks[[#This Row],[_Units1]]))</f>
        <v>0</v>
      </c>
      <c r="EQ33" s="43" t="n">
        <f aca="false">Tasks[[#This Row],[_LeafWork]]+Tasks[[#This Row],[_Res2Work]]+Tasks[[#This Row],[_Res3Work]]+Tasks[[#This Row],[_Res4Work]]</f>
        <v>0</v>
      </c>
      <c r="ER3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3" s="43" t="n">
        <f aca="false">IF(NOT(Tasks[[#This Row],[_IsLeaf]]=1),0,MAX(_xlfn.MAXIFS(Tasks[_Row],Tasks[_Pred1UID],Tasks[[#This Row],[UID]]),_xlfn.MAXIFS(Tasks[_Row],Tasks[_Pred2UID],Tasks[[#This Row],[UID]]),_xlfn.MAXIFS(Tasks[_Row],Tasks[_Pred3UID],Tasks[[#This Row],[UID]]),_xlfn.MAXIFS(Tasks[_Row],Tasks[_Pred4UID],Tasks[[#This Row],[UID]])))</f>
        <v>0</v>
      </c>
      <c r="FA3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3" s="91" t="str">
        <f aca="false">IF(NOT(Tasks[[#This Row],[_IsLeaf]]=1),"",IF(N(Tasks[[#This Row],[_Days]])&lt;=0,Tasks[[#This Row],[_LeafLateFinish]],WORKDAY.INTL(Tasks[[#This Row],[_LeafLateFinish]],-(Tasks[[#This Row],[_Days]]-1),WorkWeek,Holidays)))</f>
        <v/>
      </c>
      <c r="FD3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3" s="90" t="b">
        <f aca="false">AND(Tasks[[#This Row],[_IsLeaf]]=1,Tasks[[#This Row],[_LeafProgress]]&lt;1,N(Tasks[[#This Row],[_LeafTotalSlack]])&lt;=CriticalSlackDays)</f>
        <v>0</v>
      </c>
      <c r="FF33" s="43" t="n">
        <f aca="false">IF(AND(Tasks[[#This Row],[_IsLeaf]]=1,Tasks[[#This Row],[_ConstraintCode]]=1,Tasks[[#This Row],[Mode]]&lt;&gt;"Manual",N(Tasks[[#This Row],[Actual Start]])=0),MAX(0,N(Tasks[[#This Row],[Free Slack]])),0)</f>
        <v>0</v>
      </c>
      <c r="FG33" s="91" t="str">
        <f aca="false">IF(NOT(Tasks[[#This Row],[_IsLeaf]]=1),"",IF(Tasks[[#This Row],[_AlapShift]]=0,Tasks[[#This Row],[_LeafCalcStart]],WORKDAY.INTL(Tasks[[#This Row],[_LeafCalcStart]],Tasks[[#This Row],[_AlapShift]],WorkWeek,Holidays)))</f>
        <v/>
      </c>
      <c r="FH33" s="91" t="str">
        <f aca="false">IF(NOT(Tasks[[#This Row],[_IsLeaf]]=1),"",IF(Tasks[[#This Row],[_AlapShift]]=0,Tasks[[#This Row],[_LeafCalcFinish]],WORKDAY.INTL(Tasks[[#This Row],[_LeafCalcFinish]],Tasks[[#This Row],[_AlapShift]],WorkWeek,Holidays)))</f>
        <v/>
      </c>
      <c r="FI33" s="91" t="str">
        <f aca="false">IF(NOT(Tasks[[#This Row],[_IsLeaf]]=1),"",IF(Tasks[[#This Row],[_AlapShift]]=0,Tasks[[#This Row],[_LeafFcstStart]],WORKDAY.INTL(Tasks[[#This Row],[_LeafFcstStart]],Tasks[[#This Row],[_AlapShift]],WorkWeek,Holidays)))</f>
        <v/>
      </c>
      <c r="FJ33" s="91" t="str">
        <f aca="false">IF(NOT(Tasks[[#This Row],[_IsLeaf]]=1),"",IF(Tasks[[#This Row],[_AlapShift]]=0,Tasks[[#This Row],[_LeafFcstFinish]],WORKDAY.INTL(Tasks[[#This Row],[_LeafFcstFinish]],Tasks[[#This Row],[_AlapShift]],WorkWeek,Holidays)))</f>
        <v/>
      </c>
      <c r="FK33" s="91" t="str">
        <f aca="false">IF(Tasks[[#This Row],[Task Name]]="","",IF(Tasks[[#This Row],[_IsSummary]],MIN(INDEX(Tasks[_ShownCalcStart],Tasks[[#This Row],[_Row]]+1):INDEX(Tasks[_ShownCalcStart],Tasks[[#This Row],[_Row]]+Tasks[[#This Row],[_Descendants]])),Tasks[[#This Row],[_ShownCalcStart]]))</f>
        <v/>
      </c>
      <c r="FL33" s="91" t="str">
        <f aca="false">IF(Tasks[[#This Row],[Task Name]]="","",IF(Tasks[[#This Row],[_IsSummary]],MAX(INDEX(Tasks[_ShownCalcFinish],Tasks[[#This Row],[_Row]]+1):INDEX(Tasks[_ShownCalcFinish],Tasks[[#This Row],[_Row]]+Tasks[[#This Row],[_Descendants]])),Tasks[[#This Row],[_ShownCalcFinish]]))</f>
        <v/>
      </c>
      <c r="FM3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3" s="43" t="n">
        <f aca="false">IF(AND(Tasks[[#This Row],[_IsLeaf]]=1,Tasks[[#This Row],[_LeafTotalWork]]&gt;0),NETWORKDAYS.INTL(ProjectStart,Tasks[[#This Row],[_ShownFcstStart]],WorkWeek,Holidays),0)</f>
        <v>0</v>
      </c>
      <c r="FZ33" s="43" t="n">
        <f aca="false">IF(AND(Tasks[[#This Row],[_IsLeaf]]=1,Tasks[[#This Row],[_LeafTotalWork]]&gt;0),MAX(Tasks[[#This Row],[_StartWorkday]],NETWORKDAYS.INTL(ProjectStart,Tasks[[#This Row],[_ShownFcstFinish]],WorkWeek,Holidays)),0)</f>
        <v>0</v>
      </c>
      <c r="GA33" s="43" t="n">
        <f aca="false">IF(AND(Tasks[[#This Row],[_IsLeaf]]=1,Tasks[[#This Row],[_LeafTotalWork]]&gt;0),Tasks[[#This Row],[_LeafWork]]/(Tasks[[#This Row],[_FinishWorkday]]-Tasks[[#This Row],[_StartWorkday]]+1),0)</f>
        <v>0</v>
      </c>
      <c r="GB33" s="43" t="n">
        <f aca="false">Tasks[[#This Row],[_WorkPerWorkday]]*(Tasks[[#This Row],[_StartWorkday]]-1)</f>
        <v>-0</v>
      </c>
      <c r="GC33" s="43" t="n">
        <f aca="false">IF(Tasks[[#This Row],[_IsLeaf]]=1,MAX(N(Tasks[[#This Row],[_Days]]),0.1),0)</f>
        <v>0</v>
      </c>
      <c r="GD33" s="43" t="n">
        <f aca="false">Tasks[[#This Row],[_WeightDur]]*Tasks[[#This Row],[_LeafProgress]]</f>
        <v>0</v>
      </c>
      <c r="GE33" s="43" t="n">
        <f aca="false">Tasks[[#This Row],[_WeightDur]]*Tasks[[#This Row],[_PlannedPct]]</f>
        <v>0</v>
      </c>
      <c r="GF3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3" s="43" t="str">
        <f aca="false">IF(AND(Tasks[[#This Row],[_IsLeaf]]=1,N(Tasks[[#This Row],[_Days]])=0,Tasks[[#This Row],[_LeafProgress]]&lt;1),Tasks[[#This Row],[_ShownFcstFinish]]+Tasks[[#This Row],[_Row]]/100000,"")</f>
        <v/>
      </c>
      <c r="GH3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3" s="43" t="str">
        <f aca="false">IF(Tasks[[#This Row],[Task Name]]="","",LEFT(Tasks[[#This Row],[WBS]],FIND(".",Tasks[[#This Row],[WBS]]&amp;".")-1))</f>
        <v/>
      </c>
      <c r="GJ33" s="43" t="str">
        <f aca="false">IF(AND(Tasks[[#This Row],[Task Name]]&lt;&gt;"",Tasks[[#This Row],[_Level]]=1),Tasks[[#This Row],[_Row]],"")</f>
        <v/>
      </c>
      <c r="GK33" s="43" t="str">
        <f aca="false">IF(AND(Tasks[[#This Row],[_IsLeaf]]=1,N(Tasks[[#This Row],[_Days]])=0),Tasks[[#This Row],[Planned Finish]]+Tasks[[#This Row],[_Row]]/100000,"")</f>
        <v/>
      </c>
      <c r="GL33" s="43" t="str">
        <f aca="false">IF(AND(Tasks[[#This Row],[_IsLeaf]]=1,Tasks[[#This Row],[_LeafProgress]]&lt;1,OR(N(Tasks[[#This Row],[Finish Var]])&gt;0,Tasks[[#This Row],[Status]]="Late Start")),MAX(0,Tasks[[#This Row],[Finish Var]])+1-Tasks[[#This Row],[_Row]]/1000000,"")</f>
        <v/>
      </c>
      <c r="GM33" s="43" t="str">
        <f aca="false">IF(AND(Tasks[[#This Row],[_IsLeaf]]=1,N(Tasks[[#This Row],[Actual Start]])=0,Tasks[[#This Row],[_ShownFcstStart]]&gt;=StatusDate,Tasks[[#This Row],[_ShownFcstStart]]&lt;=LookaheadEnd),Tasks[[#This Row],[_ShownFcstStart]]+Tasks[[#This Row],[_Row]]/100000,"")</f>
        <v/>
      </c>
      <c r="GN33" s="43" t="str">
        <f aca="false">IF(AND(Tasks[[#This Row],[_IsLeaf]]=1,Tasks[[#This Row],[_LeafProgress]]&lt;1,Tasks[[#This Row],[_ShownFcstFinish]]&gt;=StatusDate,Tasks[[#This Row],[_ShownFcstFinish]]&lt;=LookaheadEnd),Tasks[[#This Row],[_ShownFcstFinish]]+Tasks[[#This Row],[_Row]]/100000,"")</f>
        <v/>
      </c>
      <c r="GO33" s="43" t="str">
        <f aca="false">IF(Tasks[[#This Row],[_LeafCritical]],Tasks[[#This Row],[_ShownFcstStart]]+Tasks[[#This Row],[_Row]]/100000,"")</f>
        <v/>
      </c>
      <c r="GP33" s="43" t="n">
        <f aca="false">Tasks[[#This Row],[_LeafWork]]*Tasks[[#This Row],[_LeafProgress]]</f>
        <v>0</v>
      </c>
      <c r="GQ33" s="91" t="str">
        <f aca="false">IF(AND(Tasks[[#This Row],[_IsLeaf]]=1,Tasks[[#This Row],[_LeafProgress]]&gt;=1),IF(N(Tasks[[#This Row],[Actual Finish]])&gt;0,Tasks[[#This Row],[Actual Finish]],Tasks[[#This Row],[_ShownFcstFinish]]),"")</f>
        <v/>
      </c>
      <c r="GR33" s="43" t="n">
        <f aca="false">IF(Tasks[[#This Row],[_IsLeaf]]=1,N(Tasks[[#This Row],[Story Points]]),0)</f>
        <v>0</v>
      </c>
      <c r="GS33" s="43" t="str">
        <f aca="false">""</f>
        <v/>
      </c>
      <c r="GT33" s="90" t="b">
        <f aca="false">IF(Tasks[[#This Row],[Task Name]]="",FALSE(),AND(Tasks[[#This Row],[_IsLeaf]]=1,N(Tasks[[#This Row],[_Days]])=0))</f>
        <v>0</v>
      </c>
      <c r="GU33" s="91" t="n">
        <f aca="false">IF(Tasks[[#This Row],[Task Name]]="",0,IF(AND(Tasks[[#This Row],[_IsLeaf]]=1,NOT(Tasks[[#This Row],[_IsMilestone]]),N(Tasks[[#This Row],[Progress]])&gt;0),Tasks[[#This Row],[Start]],0))</f>
        <v>0</v>
      </c>
      <c r="GV33" s="91" t="n">
        <f aca="false">IF(Tasks[[#This Row],[_DoneFrom]]=0,0,IF(Tasks[[#This Row],[Progress]]&gt;=1,Tasks[[#This Row],[Finish]],MAX(Tasks[[#This Row],[_DoneFrom]],Tasks[[#This Row],[Start]]+ROUND((Tasks[[#This Row],[Finish]]-Tasks[[#This Row],[Start]]+1)*Tasks[[#This Row],[Progress]],0)-1)))</f>
        <v>0</v>
      </c>
      <c r="GW33" s="91" t="n">
        <f aca="false">IF(Tasks[[#This Row],[Task Name]]="",0,IF(OR(NOT(Tasks[[#This Row],[_IsLeaf]]=1),Tasks[[#This Row],[_IsMilestone]],N(Tasks[[#This Row],[Progress]])&gt;=1),0,IF(Tasks[[#This Row],[_DoneTo]]&gt;0,Tasks[[#This Row],[_DoneTo]]+1,Tasks[[#This Row],[Start]])))</f>
        <v>0</v>
      </c>
      <c r="GX33" s="91" t="n">
        <f aca="false">IF(Tasks[[#This Row],[_RemFrom]]=0,0,Tasks[[#This Row],[Finish]])</f>
        <v>0</v>
      </c>
      <c r="GY33" s="90" t="b">
        <f aca="false">IF(Tasks[[#This Row],[Task Name]]="",FALSE(),OR(NOT(BaselineSet),N(Tasks[[#This Row],[Baseline Start]])&gt;0))</f>
        <v>0</v>
      </c>
      <c r="GZ3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3" s="92" t="str">
        <f aca="false">IF(Tasks[[#This Row],[_IsLeaf]]=1,Tasks[[#This Row],[_Row]],"")</f>
        <v/>
      </c>
      <c r="HD33" s="92" t="str">
        <f aca="false">IFERROR(INDEX(Tasks[UID],SMALL(Tasks[_PickKey],Tasks[[#This Row],[_Row]]))&amp;" "&amp;INDEX(Tasks[Task Name],SMALL(Tasks[_PickKey],Tasks[[#This Row],[_Row]])),"")</f>
        <v/>
      </c>
      <c r="HE33" s="43" t="str">
        <f aca="false">IF(Tasks[[#This Row],[Task Name]]="","",IF(Tasks[[#This Row],[_IsSummary]],NETWORKDAYS.INTL(Tasks[[#This Row],[Start]],Tasks[[#This Row],[Finish]],WorkWeek,Holidays),N(Tasks[[#This Row],[_Days]])))</f>
        <v/>
      </c>
      <c r="HF33" s="43" t="n">
        <f aca="false">IF(Tasks[[#This Row],[Expected]]="",0,((Tasks[[#This Row],[Pessimistic]]-Tasks[[#This Row],[Optimistic]])/6)^2)</f>
        <v>0</v>
      </c>
      <c r="HG33" s="43" t="n">
        <f aca="false">IF(Tasks[[#This Row],[Expected]]="",0,Tasks[[#This Row],[Expected]]-N(Tasks[[#This Row],[_Days]]))</f>
        <v>0</v>
      </c>
    </row>
    <row r="34" customFormat="false" ht="15" hidden="false" customHeight="false" outlineLevel="0" collapsed="false">
      <c r="A34" s="21" t="str">
        <f aca="false">IF(Tasks[[#This Row],[Task Name]]="","",COUNTA(Tasks[[#Headers],[Task Name]]:Tasks[[#This Row],[Task Name]])-1)</f>
        <v/>
      </c>
      <c r="B34" s="22" t="n">
        <v>42</v>
      </c>
      <c r="C34" s="22"/>
      <c r="D34" s="23"/>
      <c r="E34" s="22"/>
      <c r="F34" s="23"/>
      <c r="G34" s="22"/>
      <c r="H34" s="22"/>
      <c r="I34" s="23"/>
      <c r="J34" s="22"/>
      <c r="K34" s="22"/>
      <c r="L34" s="23"/>
      <c r="M34" s="22"/>
      <c r="N34" s="22"/>
      <c r="O34" s="23"/>
      <c r="P34" s="22"/>
      <c r="Q34" s="22"/>
      <c r="R34" s="23"/>
      <c r="S34" s="23"/>
      <c r="T34" s="84"/>
      <c r="U34" s="23"/>
      <c r="V34" s="84"/>
      <c r="W34" s="23"/>
      <c r="X34" s="84"/>
      <c r="Y34" s="23"/>
      <c r="Z34" s="84"/>
      <c r="AA34" s="23"/>
      <c r="AB34" s="23"/>
      <c r="AC34" s="7"/>
      <c r="AD34" s="7"/>
      <c r="AE34" s="63" t="str">
        <f aca="false">IF(Tasks[[#This Row],[Task Name]]="","",IF(Tasks[[#This Row],[_IsSummary]],MIN(INDEX(Tasks[_ShownFcstStart],Tasks[[#This Row],[_Row]]+1):INDEX(Tasks[_ShownFcstStart],Tasks[[#This Row],[_Row]]+Tasks[[#This Row],[_Descendants]])),Tasks[[#This Row],[_ShownFcstStart]]))</f>
        <v/>
      </c>
      <c r="AF34" s="63" t="str">
        <f aca="false">IF(Tasks[[#This Row],[Task Name]]="","",IF(Tasks[[#This Row],[_IsSummary]],MAX(INDEX(Tasks[_ShownFcstFinish],Tasks[[#This Row],[_Row]]+1):INDEX(Tasks[_ShownFcstFinish],Tasks[[#This Row],[_Row]]+Tasks[[#This Row],[_Descendants]])),Tasks[[#This Row],[_ShownFcstFinish]]))</f>
        <v/>
      </c>
      <c r="AG34" s="21" t="str">
        <f aca="false">""</f>
        <v/>
      </c>
      <c r="AH34" s="23"/>
      <c r="AI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4" s="7"/>
      <c r="AK34" s="22"/>
      <c r="AL34" s="23"/>
      <c r="AM34" s="7"/>
      <c r="AN34" s="47" t="str">
        <f aca="false">IF(Tasks[[#This Row],[Task Name]]="","",IF(Tasks[[#This Row],[Finish]]&gt;=Tasks[[#This Row],[Planned Finish]],NETWORKDAYS.INTL(Tasks[[#This Row],[Planned Finish]],Tasks[[#This Row],[Finish]],WorkWeek,Holidays)-1,1-NETWORKDAYS.INTL(Tasks[[#This Row],[Finish]],Tasks[[#This Row],[Planned Finish]],WorkWeek,Holidays)))</f>
        <v/>
      </c>
      <c r="AO34" s="21" t="str">
        <f aca="false">IF(Tasks[[#This Row],[Task Name]]="","",IF(Tasks[[#This Row],[Progress]]&gt;=1,"Complete",IF(OR(N(Tasks[[#This Row],[Actual Start]])&gt;0,Tasks[[#This Row],[Progress]]&gt;0),IF(Tasks[[#This Row],[Finish Var]]&gt;0,"Behind","In Progress"),IF(Tasks[[#This Row],[Planned Start]]&lt;StatusDate,"Late Start","Not Started"))))</f>
        <v/>
      </c>
      <c r="AP34" s="21" t="str">
        <f aca="false">IF(Tasks[[#This Row],[Task Name]]="","",IF(IF(Tasks[[#This Row],[_IsSummary]],COUNTIF(INDEX(Tasks[_LeafCritical],Tasks[[#This Row],[_Row]]+1):INDEX(Tasks[_LeafCritical],Tasks[[#This Row],[_Row]]+Tasks[[#This Row],[_Descendants]]),TRUE())&gt;0,Tasks[[#This Row],[_LeafCritical]]),"Yes",""))</f>
        <v/>
      </c>
      <c r="AQ34" s="63" t="str">
        <f aca="false">IF(Tasks[[#This Row],[Task Name]]="","",IF(N(Tasks[[#This Row],[Baseline Start]])&gt;0,Tasks[[#This Row],[Baseline Start]],Tasks[[#This Row],[_CalcStart]]))</f>
        <v/>
      </c>
      <c r="AR34" s="63" t="str">
        <f aca="false">IF(Tasks[[#This Row],[Task Name]]="","",IF(N(Tasks[[#This Row],[Baseline Finish]])&gt;0,Tasks[[#This Row],[Baseline Finish]],Tasks[[#This Row],[_CalcFinish]]))</f>
        <v/>
      </c>
      <c r="AS34" s="47" t="str">
        <f aca="false">IF(Tasks[[#This Row],[Task Name]]="","",IF(Tasks[[#This Row],[Start]]&gt;=Tasks[[#This Row],[Planned Start]],NETWORKDAYS.INTL(Tasks[[#This Row],[Planned Start]],Tasks[[#This Row],[Start]],WorkWeek,Holidays)-1,1-NETWORKDAYS.INTL(Tasks[[#This Row],[Start]],Tasks[[#This Row],[Planned Start]],WorkWeek,Holidays)))</f>
        <v/>
      </c>
      <c r="AT34" s="63" t="str">
        <f aca="false">IF(Tasks[[#This Row],[Task Name]]="","",IF(Tasks[[#This Row],[_IsSummary]],MIN(INDEX(Tasks[_LeafLateStart],Tasks[[#This Row],[_Row]]+1):INDEX(Tasks[_LeafLateStart],Tasks[[#This Row],[_Row]]+Tasks[[#This Row],[_Descendants]])),Tasks[[#This Row],[_LeafLateStart]]))</f>
        <v/>
      </c>
      <c r="AU34" s="63" t="str">
        <f aca="false">IF(Tasks[[#This Row],[Task Name]]="","",IF(Tasks[[#This Row],[_IsSummary]],MAX(INDEX(Tasks[_LeafLateFinish],Tasks[[#This Row],[_Row]]+1):INDEX(Tasks[_LeafLateFinish],Tasks[[#This Row],[_Row]]+Tasks[[#This Row],[_Descendants]])),Tasks[[#This Row],[_LeafLateFinish]]))</f>
        <v/>
      </c>
      <c r="AV34" s="47" t="str">
        <f aca="false">IF(Tasks[[#This Row],[Task Name]]="","",IF(Tasks[[#This Row],[_IsSummary]],MIN(INDEX(Tasks[_LeafTotalSlack],Tasks[[#This Row],[_Row]]+1):INDEX(Tasks[_LeafTotalSlack],Tasks[[#This Row],[_Row]]+Tasks[[#This Row],[_Descendants]])),Tasks[[#This Row],[_LeafTotalSlack]]))</f>
        <v/>
      </c>
      <c r="AW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5"/>
      <c r="BA3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1" t="str">
        <f aca="false">IF(Tasks[[#This Row],[Task Name]]="","",IF(Tasks[[#This Row],[_Level]]&lt;=OutlineShowLevel,"Yes","No"))</f>
        <v/>
      </c>
      <c r="BE34" s="86" t="str">
        <f aca="false">IF(Tasks[[#This Row],[Task Name]]="","",IF(Tasks[[#This Row],[_IsSummary]],SUM(INDEX(Tasks[_LeafTotalWork],Tasks[[#This Row],[_Row]]+1):INDEX(Tasks[_LeafTotalWork],Tasks[[#This Row],[_Row]]+Tasks[[#This Row],[_Descendants]])),Tasks[[#This Row],[_LeafTotalWork]]))</f>
        <v/>
      </c>
      <c r="BF34" s="23"/>
      <c r="BG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4" s="21" t="str">
        <f aca="false">""</f>
        <v/>
      </c>
      <c r="BI34" s="87"/>
      <c r="BJ34" s="22"/>
      <c r="BK34" s="47" t="str">
        <f aca="false">IF(OR(Tasks[[#This Row],[Task Name]]="",Tasks[[#This Row],[Baseline Duration]]=""),"",Tasks[[#This Row],[_SpanDays]]-N(Tasks[[#This Row],[Baseline Duration]]))</f>
        <v/>
      </c>
      <c r="BL34" s="86" t="str">
        <f aca="false">IF(OR(Tasks[[#This Row],[Task Name]]="",Tasks[[#This Row],[Baseline Work]]=""),"",Tasks[[#This Row],[Work]]-N(Tasks[[#This Row],[Baseline Work]]))</f>
        <v/>
      </c>
      <c r="BM34" s="63" t="str">
        <f aca="false">IF(Tasks[[#This Row],[Task Name]]="","",IF(OR(TakeBaseline="Yes",N(Tasks[[#This Row],[Baseline Start]])=0),Tasks[[#This Row],[Start]],Tasks[[#This Row],[Baseline Start]]))</f>
        <v/>
      </c>
      <c r="BN34" s="63" t="str">
        <f aca="false">IF(Tasks[[#This Row],[Task Name]]="","",IF(OR(TakeBaseline="Yes",N(Tasks[[#This Row],[Baseline Finish]])=0),Tasks[[#This Row],[Finish]],Tasks[[#This Row],[Baseline Finish]]))</f>
        <v/>
      </c>
      <c r="BO34" s="21" t="str">
        <f aca="false">IF(Tasks[[#This Row],[Task Name]]="","",IF(OR(TakeBaseline="Yes",N(Tasks[[#This Row],[Baseline Duration]])=0),Tasks[[#This Row],[_SpanDays]],Tasks[[#This Row],[Baseline Duration]]))</f>
        <v/>
      </c>
      <c r="BP34" s="86" t="str">
        <f aca="false">IF(Tasks[[#This Row],[Task Name]]="","",IF(OR(TakeBaseline="Yes",N(Tasks[[#This Row],[Baseline Work]])=0),Tasks[[#This Row],[Work]],Tasks[[#This Row],[Baseline Work]]))</f>
        <v/>
      </c>
      <c r="BQ34" s="7"/>
      <c r="BR34" s="7"/>
      <c r="BS34" s="22"/>
      <c r="BT34" s="88"/>
      <c r="BU34" s="23"/>
      <c r="BV34" s="23"/>
      <c r="BW34" s="23"/>
      <c r="BX34" s="89" t="str">
        <f aca="false">IF(AND(Tasks[[#This Row],[_IsLeaf]]=1,ISNUMBER(Tasks[[#This Row],[Optimistic]]),ISNUMBER(Tasks[[#This Row],[Pessimistic]])),ROUND((Tasks[[#This Row],[Optimistic]]+4*N(Tasks[[#This Row],[_Days]])+Tasks[[#This Row],[Pessimistic]])/6,1),"")</f>
        <v/>
      </c>
      <c r="BY34" s="87"/>
      <c r="BZ34" s="87"/>
      <c r="CA34" s="22"/>
      <c r="CB34" s="43" t="str">
        <f aca="false">IF(Tasks[[#This Row],[Task Name]]="","",MAX(1,N(Tasks[[#This Row],[Level]])))</f>
        <v/>
      </c>
      <c r="CC34" s="43" t="n">
        <f aca="false">ROW()-ROW(Tasks[[#Headers],[ID]])</f>
        <v>29</v>
      </c>
      <c r="CD34" s="43" t="n">
        <f aca="false">IF(OR(Tasks[[#This Row],[Task Name]]="",Tasks[[#This Row],[_Level]]&lt;=1),0,IFERROR(LOOKUP(2,1/(Tasks[[#Headers],[_Level]]:Tasks[[#This Row],[_Level]]=Tasks[[#This Row],[_Level]]-1),ROW(Tasks[[#Headers],[_Level]]:Tasks[[#This Row],[_Level]])),0))</f>
        <v>0</v>
      </c>
      <c r="CE34" s="43" t="n">
        <f aca="false">IFERROR(N(INDEX(Tasks[_Level],Tasks[[#This Row],[_Row]]+1)),0)</f>
        <v>0</v>
      </c>
      <c r="CF34" s="90" t="b">
        <f aca="false">AND(Tasks[[#This Row],[Task Name]]&lt;&gt;"",Tasks[[#This Row],[_NextLevel]]&gt;Tasks[[#This Row],[_Level]])</f>
        <v>0</v>
      </c>
      <c r="CG34" s="43" t="n">
        <f aca="false">IF(Tasks[[#This Row],[_IsSummary]],COUNTIF(Tasks[WBS],Tasks[[#This Row],[WBS]]&amp;".*"),0)</f>
        <v>0</v>
      </c>
      <c r="CH34" s="43" t="n">
        <f aca="false">IF(AND(Tasks[[#This Row],[Task Name]]&lt;&gt;"",NOT(Tasks[[#This Row],[_IsSummary]])),1,0)</f>
        <v>0</v>
      </c>
      <c r="CI34" s="43" t="n">
        <f aca="false">IF(N(Tasks[[#This Row],[_Pred1UID]])=0,0,IFERROR(MATCH(Tasks[[#This Row],[_Pred1UID]],Tasks[UID],0),-1))</f>
        <v>0</v>
      </c>
      <c r="CJ34" s="43" t="n">
        <f aca="false">IF(N(Tasks[[#This Row],[_Pred2UID]])=0,0,IFERROR(MATCH(Tasks[[#This Row],[_Pred2UID]],Tasks[UID],0),-1))</f>
        <v>0</v>
      </c>
      <c r="CK34" s="43" t="n">
        <f aca="false">IF(N(Tasks[[#This Row],[_Pred3UID]])=0,0,IFERROR(MATCH(Tasks[[#This Row],[_Pred3UID]],Tasks[UID],0),-1))</f>
        <v>0</v>
      </c>
      <c r="CL34" s="43" t="n">
        <f aca="false">IF(N(Tasks[[#This Row],[_Pred4UID]])=0,0,IFERROR(MATCH(Tasks[[#This Row],[_Pred4UID]],Tasks[UID],0),-1))</f>
        <v>0</v>
      </c>
      <c r="CM3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4" s="91" t="n">
        <f aca="false">IF(OR(Tasks[[#This Row],[_ConstraintCode]]=2,Tasks[[#This Row],[_ConstraintCode]]=3,Tasks[[#This Row],[_ConstraintCode]]=4,Tasks[[#This Row],[_ConstraintCode]]=6),Tasks[[#This Row],[_ConstraintStart]],0)</f>
        <v>0</v>
      </c>
      <c r="CP34" s="91" t="n">
        <f aca="false">IF(OR(Tasks[[#This Row],[_ConstraintCode]]=2,Tasks[[#This Row],[_ConstraintCode]]=3,Tasks[[#This Row],[_ConstraintCode]]=5,Tasks[[#This Row],[_ConstraintCode]]=7),Tasks[[#This Row],[_ConstraintStart]],2958465)</f>
        <v>2958465</v>
      </c>
      <c r="CQ3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4" s="91" t="str">
        <f aca="false">IF(NOT(Tasks[[#This Row],[_IsLeaf]]=1),"",IF(N(Tasks[[#This Row],[_Days]])&lt;=0,Tasks[[#This Row],[_LeafCalcStart]],WORKDAY.INTL(Tasks[[#This Row],[_LeafCalcStart]],Tasks[[#This Row],[_Days]]-1,WorkWeek,Holidays)))</f>
        <v/>
      </c>
      <c r="CS3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4" s="43" t="str">
        <f aca="false">IF(Tasks[[#This Row],[_Predecessors]]="","",TRIM(MID(SUBSTITUTE(SUBSTITUTE(SUBSTITUTE(UPPER(Tasks[[#This Row],[_Predecessors]]),";",",")," ",""),",",REPT(" ",99)),1,99)))</f>
        <v/>
      </c>
      <c r="CV34" s="43" t="str">
        <f aca="false">IF(Tasks[[#This Row],[_Pred1Text]]="","",IFERROR(VALUE(LEFT(Tasks[[#This Row],[_Pred1Text]],MIN(FIND("F",Tasks[[#This Row],[_Pred1Text]]&amp;"F"),FIND("S",Tasks[[#This Row],[_Pred1Text]]&amp;"S"),FIND("+",Tasks[[#This Row],[_Pred1Text]]&amp;"+"),FIND("-",Tasks[[#This Row],[_Pred1Text]]&amp;"-"))-1)),""))</f>
        <v/>
      </c>
      <c r="CW3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4" s="43" t="str">
        <f aca="false">IF(Tasks[[#This Row],[_Pred1Text]]="","",TRIM(MID(SUBSTITUTE(SUBSTITUTE(SUBSTITUTE(UPPER(Tasks[[#This Row],[_Predecessors]]),";",",")," ",""),",",REPT(" ",99)),100,99)))</f>
        <v/>
      </c>
      <c r="CZ34" s="43" t="str">
        <f aca="false">IF(Tasks[[#This Row],[_Pred2Text]]="","",IFERROR(VALUE(LEFT(Tasks[[#This Row],[_Pred2Text]],MIN(FIND("F",Tasks[[#This Row],[_Pred2Text]]&amp;"F"),FIND("S",Tasks[[#This Row],[_Pred2Text]]&amp;"S"),FIND("+",Tasks[[#This Row],[_Pred2Text]]&amp;"+"),FIND("-",Tasks[[#This Row],[_Pred2Text]]&amp;"-"))-1)),""))</f>
        <v/>
      </c>
      <c r="DA3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4" s="43" t="str">
        <f aca="false">IF(Tasks[[#This Row],[_Pred2Text]]="","",TRIM(MID(SUBSTITUTE(SUBSTITUTE(SUBSTITUTE(UPPER(Tasks[[#This Row],[_Predecessors]]),";",",")," ",""),",",REPT(" ",99)),199,99)))</f>
        <v/>
      </c>
      <c r="DD34" s="43" t="str">
        <f aca="false">IF(Tasks[[#This Row],[_Pred3Text]]="","",IFERROR(VALUE(LEFT(Tasks[[#This Row],[_Pred3Text]],MIN(FIND("F",Tasks[[#This Row],[_Pred3Text]]&amp;"F"),FIND("S",Tasks[[#This Row],[_Pred3Text]]&amp;"S"),FIND("+",Tasks[[#This Row],[_Pred3Text]]&amp;"+"),FIND("-",Tasks[[#This Row],[_Pred3Text]]&amp;"-"))-1)),""))</f>
        <v/>
      </c>
      <c r="DE3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4" s="43" t="str">
        <f aca="false">IF(Tasks[[#This Row],[_Pred3Text]]="","",TRIM(MID(SUBSTITUTE(SUBSTITUTE(SUBSTITUTE(UPPER(Tasks[[#This Row],[_Predecessors]]),";",",")," ",""),",",REPT(" ",99)),298,99)))</f>
        <v/>
      </c>
      <c r="DH34" s="43" t="str">
        <f aca="false">IF(Tasks[[#This Row],[_Pred4Text]]="","",IFERROR(VALUE(LEFT(Tasks[[#This Row],[_Pred4Text]],MIN(FIND("F",Tasks[[#This Row],[_Pred4Text]]&amp;"F"),FIND("S",Tasks[[#This Row],[_Pred4Text]]&amp;"S"),FIND("+",Tasks[[#This Row],[_Pred4Text]]&amp;"+"),FIND("-",Tasks[[#This Row],[_Pred4Text]]&amp;"-"))-1)),""))</f>
        <v/>
      </c>
      <c r="DI3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4" s="43" t="str">
        <f aca="false">IF(OR(Tasks[[#This Row],[Task Name]]="",Tasks[[#This Row],[_Resources]]=""),"",TRIM(MID(SUBSTITUTE(Tasks[[#This Row],[_Resources]],",",REPT(" ",99)),1,99)))</f>
        <v/>
      </c>
      <c r="DL34" s="43" t="str">
        <f aca="false">IF(Tasks[[#This Row],[_Res1Text]]="","",TRIM(MID(SUBSTITUTE(Tasks[[#This Row],[_Resources]],",",REPT(" ",99)),100,99)))</f>
        <v/>
      </c>
      <c r="DM34" s="43" t="str">
        <f aca="false">IF(Tasks[[#This Row],[_Res2Text]]="","",TRIM(MID(SUBSTITUTE(Tasks[[#This Row],[_Resources]],",",REPT(" ",99)),199,99)))</f>
        <v/>
      </c>
      <c r="DN34" s="43" t="str">
        <f aca="false">IF(Tasks[[#This Row],[_Res3Text]]="","",TRIM(MID(SUBSTITUTE(Tasks[[#This Row],[_Resources]],",",REPT(" ",99)),298,99)))</f>
        <v/>
      </c>
      <c r="DO34" s="43" t="n">
        <f aca="false">IF(Tasks[[#This Row],[_Res1Text]]="",0,IFERROR(MATCH(TRIM(LEFT(Tasks[[#This Row],[_Res1Text]],FIND("[",Tasks[[#This Row],[_Res1Text]]&amp;"[")-1)),res_Name,0),IFERROR(MATCH(TRIM(LEFT(Tasks[[#This Row],[_Res1Text]],FIND("[",Tasks[[#This Row],[_Res1Text]]&amp;"[")-1)),res_Initials,0),0)))</f>
        <v>0</v>
      </c>
      <c r="DP34" s="43" t="n">
        <f aca="false">IF(Tasks[[#This Row],[_Res2Text]]="",0,IFERROR(MATCH(TRIM(LEFT(Tasks[[#This Row],[_Res2Text]],FIND("[",Tasks[[#This Row],[_Res2Text]]&amp;"[")-1)),res_Name,0),IFERROR(MATCH(TRIM(LEFT(Tasks[[#This Row],[_Res2Text]],FIND("[",Tasks[[#This Row],[_Res2Text]]&amp;"[")-1)),res_Initials,0),0)))</f>
        <v>0</v>
      </c>
      <c r="DQ34" s="43" t="n">
        <f aca="false">IF(Tasks[[#This Row],[_Res3Text]]="",0,IFERROR(MATCH(TRIM(LEFT(Tasks[[#This Row],[_Res3Text]],FIND("[",Tasks[[#This Row],[_Res3Text]]&amp;"[")-1)),res_Name,0),IFERROR(MATCH(TRIM(LEFT(Tasks[[#This Row],[_Res3Text]],FIND("[",Tasks[[#This Row],[_Res3Text]]&amp;"[")-1)),res_Initials,0),0)))</f>
        <v>0</v>
      </c>
      <c r="DR34" s="43" t="n">
        <f aca="false">IF(Tasks[[#This Row],[_Res4Text]]="",0,IFERROR(MATCH(TRIM(LEFT(Tasks[[#This Row],[_Res4Text]],FIND("[",Tasks[[#This Row],[_Res4Text]]&amp;"[")-1)),res_Name,0),IFERROR(MATCH(TRIM(LEFT(Tasks[[#This Row],[_Res4Text]],FIND("[",Tasks[[#This Row],[_Res4Text]]&amp;"[")-1)),res_Initials,0),0)))</f>
        <v>0</v>
      </c>
      <c r="DS34" s="43" t="str">
        <f aca="false">IF(Tasks[[#This Row],[_Res1Text]]="","",IF(Tasks[[#This Row],[_Res1Row]]&gt;0,INDEX(res_Name,Tasks[[#This Row],[_Res1Row]]),TRIM(LEFT(Tasks[[#This Row],[_Res1Text]],FIND("[",Tasks[[#This Row],[_Res1Text]]&amp;"[")-1))))</f>
        <v/>
      </c>
      <c r="DT3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4" s="43" t="n">
        <f aca="false">IF(NOT(Tasks[[#This Row],[_IsLeaf]]=1),0,(Tasks[[#This Row],[_Resource1]]&lt;&gt;"")+(Tasks[[#This Row],[_Res2]]&lt;&gt;"")+(Tasks[[#This Row],[_Res3]]&lt;&gt;"")+(Tasks[[#This Row],[_Res4]]&lt;&gt;""))</f>
        <v>0</v>
      </c>
      <c r="DV34" s="43" t="str">
        <f aca="false">IF(Tasks[[#This Row],[_Res2Text]]="","",IF(Tasks[[#This Row],[_Res2Row]]&gt;0,INDEX(res_Name,Tasks[[#This Row],[_Res2Row]]),TRIM(LEFT(Tasks[[#This Row],[_Res2Text]],FIND("[",Tasks[[#This Row],[_Res2Text]]&amp;"[")-1))))</f>
        <v/>
      </c>
      <c r="DW3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4" s="43" t="n">
        <f aca="false">IF(OR(NOT(Tasks[[#This Row],[_IsLeaf]]=1),Tasks[[#This Row],[_Res2Row]]=0),0,N(Tasks[[#This Row],[_Days]])*HoursPerDay*IF(Tasks[[#This Row],[_Res2Units]]="",DefaultUnits,Tasks[[#This Row],[_Res2Units]]))</f>
        <v>0</v>
      </c>
      <c r="DY34" s="43" t="n">
        <f aca="false">IF(AND(AND(Tasks[[#This Row],[_IsLeaf]]=1,Tasks[[#This Row],[_LeafTotalWork]]&gt;0),Tasks[[#This Row],[_Res2Work]]&gt;0),Tasks[[#This Row],[_Res2Work]]/(Tasks[[#This Row],[_FinishWorkday]]-Tasks[[#This Row],[_StartWorkday]]+1),0)</f>
        <v>0</v>
      </c>
      <c r="DZ34" s="43" t="n">
        <f aca="false">Tasks[[#This Row],[_Res2WorkPerWD]]*MAX(0,Tasks[[#This Row],[_StartWorkday]]-1)</f>
        <v>0</v>
      </c>
      <c r="EA34" s="43" t="n">
        <f aca="false">Tasks[[#This Row],[_Res2Work]]*Tasks[[#This Row],[_LeafProgress]]</f>
        <v>0</v>
      </c>
      <c r="EB34" s="43" t="str">
        <f aca="false">IF(Tasks[[#This Row],[_Res3Text]]="","",IF(Tasks[[#This Row],[_Res3Row]]&gt;0,INDEX(res_Name,Tasks[[#This Row],[_Res3Row]]),TRIM(LEFT(Tasks[[#This Row],[_Res3Text]],FIND("[",Tasks[[#This Row],[_Res3Text]]&amp;"[")-1))))</f>
        <v/>
      </c>
      <c r="EC3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4" s="43" t="n">
        <f aca="false">IF(OR(NOT(Tasks[[#This Row],[_IsLeaf]]=1),Tasks[[#This Row],[_Res3Row]]=0),0,N(Tasks[[#This Row],[_Days]])*HoursPerDay*IF(Tasks[[#This Row],[_Res3Units]]="",DefaultUnits,Tasks[[#This Row],[_Res3Units]]))</f>
        <v>0</v>
      </c>
      <c r="EE34" s="43" t="n">
        <f aca="false">IF(AND(AND(Tasks[[#This Row],[_IsLeaf]]=1,Tasks[[#This Row],[_LeafTotalWork]]&gt;0),Tasks[[#This Row],[_Res3Work]]&gt;0),Tasks[[#This Row],[_Res3Work]]/(Tasks[[#This Row],[_FinishWorkday]]-Tasks[[#This Row],[_StartWorkday]]+1),0)</f>
        <v>0</v>
      </c>
      <c r="EF34" s="43" t="n">
        <f aca="false">Tasks[[#This Row],[_Res3WorkPerWD]]*MAX(0,Tasks[[#This Row],[_StartWorkday]]-1)</f>
        <v>0</v>
      </c>
      <c r="EG34" s="43" t="n">
        <f aca="false">Tasks[[#This Row],[_Res3Work]]*Tasks[[#This Row],[_LeafProgress]]</f>
        <v>0</v>
      </c>
      <c r="EH34" s="43" t="str">
        <f aca="false">IF(Tasks[[#This Row],[_Res4Text]]="","",IF(Tasks[[#This Row],[_Res4Row]]&gt;0,INDEX(res_Name,Tasks[[#This Row],[_Res4Row]]),TRIM(LEFT(Tasks[[#This Row],[_Res4Text]],FIND("[",Tasks[[#This Row],[_Res4Text]]&amp;"[")-1))))</f>
        <v/>
      </c>
      <c r="EI3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4" s="43" t="n">
        <f aca="false">IF(OR(NOT(Tasks[[#This Row],[_IsLeaf]]=1),Tasks[[#This Row],[_Res4Row]]=0),0,N(Tasks[[#This Row],[_Days]])*HoursPerDay*IF(Tasks[[#This Row],[_Res4Units]]="",DefaultUnits,Tasks[[#This Row],[_Res4Units]]))</f>
        <v>0</v>
      </c>
      <c r="EK34" s="43" t="n">
        <f aca="false">IF(AND(AND(Tasks[[#This Row],[_IsLeaf]]=1,Tasks[[#This Row],[_LeafTotalWork]]&gt;0),Tasks[[#This Row],[_Res4Work]]&gt;0),Tasks[[#This Row],[_Res4Work]]/(Tasks[[#This Row],[_FinishWorkday]]-Tasks[[#This Row],[_StartWorkday]]+1),0)</f>
        <v>0</v>
      </c>
      <c r="EL34" s="43" t="n">
        <f aca="false">Tasks[[#This Row],[_Res4WorkPerWD]]*MAX(0,Tasks[[#This Row],[_StartWorkday]]-1)</f>
        <v>0</v>
      </c>
      <c r="EM34" s="43" t="n">
        <f aca="false">Tasks[[#This Row],[_Res4Work]]*Tasks[[#This Row],[_LeafProgress]]</f>
        <v>0</v>
      </c>
      <c r="EN34" s="43" t="n">
        <f aca="false">IF(ISNUMBER(Tasks[[#This Row],[% Complete]]),Tasks[[#This Row],[% Complete]],IF(Tasks[[#This Row],[Stage]]="",0,IFERROR(INDEX(stg_Pct,MATCH(Tasks[[#This Row],[Stage]],stg_Name,0)),0)))</f>
        <v>0</v>
      </c>
      <c r="EO34" s="43" t="n">
        <f aca="false">IF(NOT(Tasks[[#This Row],[_IsLeaf]]=1),0,IF(N(Tasks[[#This Row],[Actual Finish]])&gt;0,1,MIN(1,Tasks[[#This Row],[_Pct]])))</f>
        <v>0</v>
      </c>
      <c r="EP34" s="43" t="n">
        <f aca="false">IF(OR(NOT(Tasks[[#This Row],[_IsLeaf]]=1),Tasks[[#This Row],[_Res1Row]]=0),0,N(Tasks[[#This Row],[_Days]])*HoursPerDay*IF(Tasks[[#This Row],[_Units1]]="",DefaultUnits,Tasks[[#This Row],[_Units1]]))</f>
        <v>0</v>
      </c>
      <c r="EQ34" s="43" t="n">
        <f aca="false">Tasks[[#This Row],[_LeafWork]]+Tasks[[#This Row],[_Res2Work]]+Tasks[[#This Row],[_Res3Work]]+Tasks[[#This Row],[_Res4Work]]</f>
        <v>0</v>
      </c>
      <c r="ER3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4" s="43" t="n">
        <f aca="false">IF(NOT(Tasks[[#This Row],[_IsLeaf]]=1),0,MAX(_xlfn.MAXIFS(Tasks[_Row],Tasks[_Pred1UID],Tasks[[#This Row],[UID]]),_xlfn.MAXIFS(Tasks[_Row],Tasks[_Pred2UID],Tasks[[#This Row],[UID]]),_xlfn.MAXIFS(Tasks[_Row],Tasks[_Pred3UID],Tasks[[#This Row],[UID]]),_xlfn.MAXIFS(Tasks[_Row],Tasks[_Pred4UID],Tasks[[#This Row],[UID]])))</f>
        <v>0</v>
      </c>
      <c r="FA3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4" s="91" t="str">
        <f aca="false">IF(NOT(Tasks[[#This Row],[_IsLeaf]]=1),"",IF(N(Tasks[[#This Row],[_Days]])&lt;=0,Tasks[[#This Row],[_LeafLateFinish]],WORKDAY.INTL(Tasks[[#This Row],[_LeafLateFinish]],-(Tasks[[#This Row],[_Days]]-1),WorkWeek,Holidays)))</f>
        <v/>
      </c>
      <c r="FD3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4" s="90" t="b">
        <f aca="false">AND(Tasks[[#This Row],[_IsLeaf]]=1,Tasks[[#This Row],[_LeafProgress]]&lt;1,N(Tasks[[#This Row],[_LeafTotalSlack]])&lt;=CriticalSlackDays)</f>
        <v>0</v>
      </c>
      <c r="FF34" s="43" t="n">
        <f aca="false">IF(AND(Tasks[[#This Row],[_IsLeaf]]=1,Tasks[[#This Row],[_ConstraintCode]]=1,Tasks[[#This Row],[Mode]]&lt;&gt;"Manual",N(Tasks[[#This Row],[Actual Start]])=0),MAX(0,N(Tasks[[#This Row],[Free Slack]])),0)</f>
        <v>0</v>
      </c>
      <c r="FG34" s="91" t="str">
        <f aca="false">IF(NOT(Tasks[[#This Row],[_IsLeaf]]=1),"",IF(Tasks[[#This Row],[_AlapShift]]=0,Tasks[[#This Row],[_LeafCalcStart]],WORKDAY.INTL(Tasks[[#This Row],[_LeafCalcStart]],Tasks[[#This Row],[_AlapShift]],WorkWeek,Holidays)))</f>
        <v/>
      </c>
      <c r="FH34" s="91" t="str">
        <f aca="false">IF(NOT(Tasks[[#This Row],[_IsLeaf]]=1),"",IF(Tasks[[#This Row],[_AlapShift]]=0,Tasks[[#This Row],[_LeafCalcFinish]],WORKDAY.INTL(Tasks[[#This Row],[_LeafCalcFinish]],Tasks[[#This Row],[_AlapShift]],WorkWeek,Holidays)))</f>
        <v/>
      </c>
      <c r="FI34" s="91" t="str">
        <f aca="false">IF(NOT(Tasks[[#This Row],[_IsLeaf]]=1),"",IF(Tasks[[#This Row],[_AlapShift]]=0,Tasks[[#This Row],[_LeafFcstStart]],WORKDAY.INTL(Tasks[[#This Row],[_LeafFcstStart]],Tasks[[#This Row],[_AlapShift]],WorkWeek,Holidays)))</f>
        <v/>
      </c>
      <c r="FJ34" s="91" t="str">
        <f aca="false">IF(NOT(Tasks[[#This Row],[_IsLeaf]]=1),"",IF(Tasks[[#This Row],[_AlapShift]]=0,Tasks[[#This Row],[_LeafFcstFinish]],WORKDAY.INTL(Tasks[[#This Row],[_LeafFcstFinish]],Tasks[[#This Row],[_AlapShift]],WorkWeek,Holidays)))</f>
        <v/>
      </c>
      <c r="FK34" s="91" t="str">
        <f aca="false">IF(Tasks[[#This Row],[Task Name]]="","",IF(Tasks[[#This Row],[_IsSummary]],MIN(INDEX(Tasks[_ShownCalcStart],Tasks[[#This Row],[_Row]]+1):INDEX(Tasks[_ShownCalcStart],Tasks[[#This Row],[_Row]]+Tasks[[#This Row],[_Descendants]])),Tasks[[#This Row],[_ShownCalcStart]]))</f>
        <v/>
      </c>
      <c r="FL34" s="91" t="str">
        <f aca="false">IF(Tasks[[#This Row],[Task Name]]="","",IF(Tasks[[#This Row],[_IsSummary]],MAX(INDEX(Tasks[_ShownCalcFinish],Tasks[[#This Row],[_Row]]+1):INDEX(Tasks[_ShownCalcFinish],Tasks[[#This Row],[_Row]]+Tasks[[#This Row],[_Descendants]])),Tasks[[#This Row],[_ShownCalcFinish]]))</f>
        <v/>
      </c>
      <c r="FM3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4" s="43" t="n">
        <f aca="false">IF(AND(Tasks[[#This Row],[_IsLeaf]]=1,Tasks[[#This Row],[_LeafTotalWork]]&gt;0),NETWORKDAYS.INTL(ProjectStart,Tasks[[#This Row],[_ShownFcstStart]],WorkWeek,Holidays),0)</f>
        <v>0</v>
      </c>
      <c r="FZ34" s="43" t="n">
        <f aca="false">IF(AND(Tasks[[#This Row],[_IsLeaf]]=1,Tasks[[#This Row],[_LeafTotalWork]]&gt;0),MAX(Tasks[[#This Row],[_StartWorkday]],NETWORKDAYS.INTL(ProjectStart,Tasks[[#This Row],[_ShownFcstFinish]],WorkWeek,Holidays)),0)</f>
        <v>0</v>
      </c>
      <c r="GA34" s="43" t="n">
        <f aca="false">IF(AND(Tasks[[#This Row],[_IsLeaf]]=1,Tasks[[#This Row],[_LeafTotalWork]]&gt;0),Tasks[[#This Row],[_LeafWork]]/(Tasks[[#This Row],[_FinishWorkday]]-Tasks[[#This Row],[_StartWorkday]]+1),0)</f>
        <v>0</v>
      </c>
      <c r="GB34" s="43" t="n">
        <f aca="false">Tasks[[#This Row],[_WorkPerWorkday]]*(Tasks[[#This Row],[_StartWorkday]]-1)</f>
        <v>-0</v>
      </c>
      <c r="GC34" s="43" t="n">
        <f aca="false">IF(Tasks[[#This Row],[_IsLeaf]]=1,MAX(N(Tasks[[#This Row],[_Days]]),0.1),0)</f>
        <v>0</v>
      </c>
      <c r="GD34" s="43" t="n">
        <f aca="false">Tasks[[#This Row],[_WeightDur]]*Tasks[[#This Row],[_LeafProgress]]</f>
        <v>0</v>
      </c>
      <c r="GE34" s="43" t="n">
        <f aca="false">Tasks[[#This Row],[_WeightDur]]*Tasks[[#This Row],[_PlannedPct]]</f>
        <v>0</v>
      </c>
      <c r="GF3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4" s="43" t="str">
        <f aca="false">IF(AND(Tasks[[#This Row],[_IsLeaf]]=1,N(Tasks[[#This Row],[_Days]])=0,Tasks[[#This Row],[_LeafProgress]]&lt;1),Tasks[[#This Row],[_ShownFcstFinish]]+Tasks[[#This Row],[_Row]]/100000,"")</f>
        <v/>
      </c>
      <c r="GH3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4" s="43" t="str">
        <f aca="false">IF(Tasks[[#This Row],[Task Name]]="","",LEFT(Tasks[[#This Row],[WBS]],FIND(".",Tasks[[#This Row],[WBS]]&amp;".")-1))</f>
        <v/>
      </c>
      <c r="GJ34" s="43" t="str">
        <f aca="false">IF(AND(Tasks[[#This Row],[Task Name]]&lt;&gt;"",Tasks[[#This Row],[_Level]]=1),Tasks[[#This Row],[_Row]],"")</f>
        <v/>
      </c>
      <c r="GK34" s="43" t="str">
        <f aca="false">IF(AND(Tasks[[#This Row],[_IsLeaf]]=1,N(Tasks[[#This Row],[_Days]])=0),Tasks[[#This Row],[Planned Finish]]+Tasks[[#This Row],[_Row]]/100000,"")</f>
        <v/>
      </c>
      <c r="GL34" s="43" t="str">
        <f aca="false">IF(AND(Tasks[[#This Row],[_IsLeaf]]=1,Tasks[[#This Row],[_LeafProgress]]&lt;1,OR(N(Tasks[[#This Row],[Finish Var]])&gt;0,Tasks[[#This Row],[Status]]="Late Start")),MAX(0,Tasks[[#This Row],[Finish Var]])+1-Tasks[[#This Row],[_Row]]/1000000,"")</f>
        <v/>
      </c>
      <c r="GM34" s="43" t="str">
        <f aca="false">IF(AND(Tasks[[#This Row],[_IsLeaf]]=1,N(Tasks[[#This Row],[Actual Start]])=0,Tasks[[#This Row],[_ShownFcstStart]]&gt;=StatusDate,Tasks[[#This Row],[_ShownFcstStart]]&lt;=LookaheadEnd),Tasks[[#This Row],[_ShownFcstStart]]+Tasks[[#This Row],[_Row]]/100000,"")</f>
        <v/>
      </c>
      <c r="GN34" s="43" t="str">
        <f aca="false">IF(AND(Tasks[[#This Row],[_IsLeaf]]=1,Tasks[[#This Row],[_LeafProgress]]&lt;1,Tasks[[#This Row],[_ShownFcstFinish]]&gt;=StatusDate,Tasks[[#This Row],[_ShownFcstFinish]]&lt;=LookaheadEnd),Tasks[[#This Row],[_ShownFcstFinish]]+Tasks[[#This Row],[_Row]]/100000,"")</f>
        <v/>
      </c>
      <c r="GO34" s="43" t="str">
        <f aca="false">IF(Tasks[[#This Row],[_LeafCritical]],Tasks[[#This Row],[_ShownFcstStart]]+Tasks[[#This Row],[_Row]]/100000,"")</f>
        <v/>
      </c>
      <c r="GP34" s="43" t="n">
        <f aca="false">Tasks[[#This Row],[_LeafWork]]*Tasks[[#This Row],[_LeafProgress]]</f>
        <v>0</v>
      </c>
      <c r="GQ34" s="91" t="str">
        <f aca="false">IF(AND(Tasks[[#This Row],[_IsLeaf]]=1,Tasks[[#This Row],[_LeafProgress]]&gt;=1),IF(N(Tasks[[#This Row],[Actual Finish]])&gt;0,Tasks[[#This Row],[Actual Finish]],Tasks[[#This Row],[_ShownFcstFinish]]),"")</f>
        <v/>
      </c>
      <c r="GR34" s="43" t="n">
        <f aca="false">IF(Tasks[[#This Row],[_IsLeaf]]=1,N(Tasks[[#This Row],[Story Points]]),0)</f>
        <v>0</v>
      </c>
      <c r="GS34" s="43" t="str">
        <f aca="false">""</f>
        <v/>
      </c>
      <c r="GT34" s="90" t="b">
        <f aca="false">IF(Tasks[[#This Row],[Task Name]]="",FALSE(),AND(Tasks[[#This Row],[_IsLeaf]]=1,N(Tasks[[#This Row],[_Days]])=0))</f>
        <v>0</v>
      </c>
      <c r="GU34" s="91" t="n">
        <f aca="false">IF(Tasks[[#This Row],[Task Name]]="",0,IF(AND(Tasks[[#This Row],[_IsLeaf]]=1,NOT(Tasks[[#This Row],[_IsMilestone]]),N(Tasks[[#This Row],[Progress]])&gt;0),Tasks[[#This Row],[Start]],0))</f>
        <v>0</v>
      </c>
      <c r="GV34" s="91" t="n">
        <f aca="false">IF(Tasks[[#This Row],[_DoneFrom]]=0,0,IF(Tasks[[#This Row],[Progress]]&gt;=1,Tasks[[#This Row],[Finish]],MAX(Tasks[[#This Row],[_DoneFrom]],Tasks[[#This Row],[Start]]+ROUND((Tasks[[#This Row],[Finish]]-Tasks[[#This Row],[Start]]+1)*Tasks[[#This Row],[Progress]],0)-1)))</f>
        <v>0</v>
      </c>
      <c r="GW34" s="91" t="n">
        <f aca="false">IF(Tasks[[#This Row],[Task Name]]="",0,IF(OR(NOT(Tasks[[#This Row],[_IsLeaf]]=1),Tasks[[#This Row],[_IsMilestone]],N(Tasks[[#This Row],[Progress]])&gt;=1),0,IF(Tasks[[#This Row],[_DoneTo]]&gt;0,Tasks[[#This Row],[_DoneTo]]+1,Tasks[[#This Row],[Start]])))</f>
        <v>0</v>
      </c>
      <c r="GX34" s="91" t="n">
        <f aca="false">IF(Tasks[[#This Row],[_RemFrom]]=0,0,Tasks[[#This Row],[Finish]])</f>
        <v>0</v>
      </c>
      <c r="GY34" s="90" t="b">
        <f aca="false">IF(Tasks[[#This Row],[Task Name]]="",FALSE(),OR(NOT(BaselineSet),N(Tasks[[#This Row],[Baseline Start]])&gt;0))</f>
        <v>0</v>
      </c>
      <c r="GZ3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4" s="92" t="str">
        <f aca="false">IF(Tasks[[#This Row],[_IsLeaf]]=1,Tasks[[#This Row],[_Row]],"")</f>
        <v/>
      </c>
      <c r="HD34" s="92" t="str">
        <f aca="false">IFERROR(INDEX(Tasks[UID],SMALL(Tasks[_PickKey],Tasks[[#This Row],[_Row]]))&amp;" "&amp;INDEX(Tasks[Task Name],SMALL(Tasks[_PickKey],Tasks[[#This Row],[_Row]])),"")</f>
        <v/>
      </c>
      <c r="HE34" s="43" t="str">
        <f aca="false">IF(Tasks[[#This Row],[Task Name]]="","",IF(Tasks[[#This Row],[_IsSummary]],NETWORKDAYS.INTL(Tasks[[#This Row],[Start]],Tasks[[#This Row],[Finish]],WorkWeek,Holidays),N(Tasks[[#This Row],[_Days]])))</f>
        <v/>
      </c>
      <c r="HF34" s="43" t="n">
        <f aca="false">IF(Tasks[[#This Row],[Expected]]="",0,((Tasks[[#This Row],[Pessimistic]]-Tasks[[#This Row],[Optimistic]])/6)^2)</f>
        <v>0</v>
      </c>
      <c r="HG34" s="43" t="n">
        <f aca="false">IF(Tasks[[#This Row],[Expected]]="",0,Tasks[[#This Row],[Expected]]-N(Tasks[[#This Row],[_Days]]))</f>
        <v>0</v>
      </c>
    </row>
    <row r="35" customFormat="false" ht="15" hidden="false" customHeight="false" outlineLevel="0" collapsed="false">
      <c r="A35" s="21" t="str">
        <f aca="false">IF(Tasks[[#This Row],[Task Name]]="","",COUNTA(Tasks[[#Headers],[Task Name]]:Tasks[[#This Row],[Task Name]])-1)</f>
        <v/>
      </c>
      <c r="B35" s="22" t="n">
        <v>43</v>
      </c>
      <c r="C35" s="22"/>
      <c r="D35" s="23"/>
      <c r="E35" s="22"/>
      <c r="F35" s="23"/>
      <c r="G35" s="22"/>
      <c r="H35" s="22"/>
      <c r="I35" s="23"/>
      <c r="J35" s="22"/>
      <c r="K35" s="22"/>
      <c r="L35" s="23"/>
      <c r="M35" s="22"/>
      <c r="N35" s="22"/>
      <c r="O35" s="23"/>
      <c r="P35" s="22"/>
      <c r="Q35" s="22"/>
      <c r="R35" s="23"/>
      <c r="S35" s="23"/>
      <c r="T35" s="84"/>
      <c r="U35" s="23"/>
      <c r="V35" s="84"/>
      <c r="W35" s="23"/>
      <c r="X35" s="84"/>
      <c r="Y35" s="23"/>
      <c r="Z35" s="84"/>
      <c r="AA35" s="23"/>
      <c r="AB35" s="23"/>
      <c r="AC35" s="7"/>
      <c r="AD35" s="7"/>
      <c r="AE35" s="63" t="str">
        <f aca="false">IF(Tasks[[#This Row],[Task Name]]="","",IF(Tasks[[#This Row],[_IsSummary]],MIN(INDEX(Tasks[_ShownFcstStart],Tasks[[#This Row],[_Row]]+1):INDEX(Tasks[_ShownFcstStart],Tasks[[#This Row],[_Row]]+Tasks[[#This Row],[_Descendants]])),Tasks[[#This Row],[_ShownFcstStart]]))</f>
        <v/>
      </c>
      <c r="AF35" s="63" t="str">
        <f aca="false">IF(Tasks[[#This Row],[Task Name]]="","",IF(Tasks[[#This Row],[_IsSummary]],MAX(INDEX(Tasks[_ShownFcstFinish],Tasks[[#This Row],[_Row]]+1):INDEX(Tasks[_ShownFcstFinish],Tasks[[#This Row],[_Row]]+Tasks[[#This Row],[_Descendants]])),Tasks[[#This Row],[_ShownFcstFinish]]))</f>
        <v/>
      </c>
      <c r="AG35" s="21" t="str">
        <f aca="false">""</f>
        <v/>
      </c>
      <c r="AH35" s="23"/>
      <c r="AI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5" s="7"/>
      <c r="AK35" s="22"/>
      <c r="AL35" s="23"/>
      <c r="AM35" s="7"/>
      <c r="AN35" s="47" t="str">
        <f aca="false">IF(Tasks[[#This Row],[Task Name]]="","",IF(Tasks[[#This Row],[Finish]]&gt;=Tasks[[#This Row],[Planned Finish]],NETWORKDAYS.INTL(Tasks[[#This Row],[Planned Finish]],Tasks[[#This Row],[Finish]],WorkWeek,Holidays)-1,1-NETWORKDAYS.INTL(Tasks[[#This Row],[Finish]],Tasks[[#This Row],[Planned Finish]],WorkWeek,Holidays)))</f>
        <v/>
      </c>
      <c r="AO35" s="21" t="str">
        <f aca="false">IF(Tasks[[#This Row],[Task Name]]="","",IF(Tasks[[#This Row],[Progress]]&gt;=1,"Complete",IF(OR(N(Tasks[[#This Row],[Actual Start]])&gt;0,Tasks[[#This Row],[Progress]]&gt;0),IF(Tasks[[#This Row],[Finish Var]]&gt;0,"Behind","In Progress"),IF(Tasks[[#This Row],[Planned Start]]&lt;StatusDate,"Late Start","Not Started"))))</f>
        <v/>
      </c>
      <c r="AP35" s="21" t="str">
        <f aca="false">IF(Tasks[[#This Row],[Task Name]]="","",IF(IF(Tasks[[#This Row],[_IsSummary]],COUNTIF(INDEX(Tasks[_LeafCritical],Tasks[[#This Row],[_Row]]+1):INDEX(Tasks[_LeafCritical],Tasks[[#This Row],[_Row]]+Tasks[[#This Row],[_Descendants]]),TRUE())&gt;0,Tasks[[#This Row],[_LeafCritical]]),"Yes",""))</f>
        <v/>
      </c>
      <c r="AQ35" s="63" t="str">
        <f aca="false">IF(Tasks[[#This Row],[Task Name]]="","",IF(N(Tasks[[#This Row],[Baseline Start]])&gt;0,Tasks[[#This Row],[Baseline Start]],Tasks[[#This Row],[_CalcStart]]))</f>
        <v/>
      </c>
      <c r="AR35" s="63" t="str">
        <f aca="false">IF(Tasks[[#This Row],[Task Name]]="","",IF(N(Tasks[[#This Row],[Baseline Finish]])&gt;0,Tasks[[#This Row],[Baseline Finish]],Tasks[[#This Row],[_CalcFinish]]))</f>
        <v/>
      </c>
      <c r="AS35" s="47" t="str">
        <f aca="false">IF(Tasks[[#This Row],[Task Name]]="","",IF(Tasks[[#This Row],[Start]]&gt;=Tasks[[#This Row],[Planned Start]],NETWORKDAYS.INTL(Tasks[[#This Row],[Planned Start]],Tasks[[#This Row],[Start]],WorkWeek,Holidays)-1,1-NETWORKDAYS.INTL(Tasks[[#This Row],[Start]],Tasks[[#This Row],[Planned Start]],WorkWeek,Holidays)))</f>
        <v/>
      </c>
      <c r="AT35" s="63" t="str">
        <f aca="false">IF(Tasks[[#This Row],[Task Name]]="","",IF(Tasks[[#This Row],[_IsSummary]],MIN(INDEX(Tasks[_LeafLateStart],Tasks[[#This Row],[_Row]]+1):INDEX(Tasks[_LeafLateStart],Tasks[[#This Row],[_Row]]+Tasks[[#This Row],[_Descendants]])),Tasks[[#This Row],[_LeafLateStart]]))</f>
        <v/>
      </c>
      <c r="AU35" s="63" t="str">
        <f aca="false">IF(Tasks[[#This Row],[Task Name]]="","",IF(Tasks[[#This Row],[_IsSummary]],MAX(INDEX(Tasks[_LeafLateFinish],Tasks[[#This Row],[_Row]]+1):INDEX(Tasks[_LeafLateFinish],Tasks[[#This Row],[_Row]]+Tasks[[#This Row],[_Descendants]])),Tasks[[#This Row],[_LeafLateFinish]]))</f>
        <v/>
      </c>
      <c r="AV35" s="47" t="str">
        <f aca="false">IF(Tasks[[#This Row],[Task Name]]="","",IF(Tasks[[#This Row],[_IsSummary]],MIN(INDEX(Tasks[_LeafTotalSlack],Tasks[[#This Row],[_Row]]+1):INDEX(Tasks[_LeafTotalSlack],Tasks[[#This Row],[_Row]]+Tasks[[#This Row],[_Descendants]])),Tasks[[#This Row],[_LeafTotalSlack]]))</f>
        <v/>
      </c>
      <c r="AW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5"/>
      <c r="BA3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1" t="str">
        <f aca="false">IF(Tasks[[#This Row],[Task Name]]="","",IF(Tasks[[#This Row],[_Level]]&lt;=OutlineShowLevel,"Yes","No"))</f>
        <v/>
      </c>
      <c r="BE35" s="86" t="str">
        <f aca="false">IF(Tasks[[#This Row],[Task Name]]="","",IF(Tasks[[#This Row],[_IsSummary]],SUM(INDEX(Tasks[_LeafTotalWork],Tasks[[#This Row],[_Row]]+1):INDEX(Tasks[_LeafTotalWork],Tasks[[#This Row],[_Row]]+Tasks[[#This Row],[_Descendants]])),Tasks[[#This Row],[_LeafTotalWork]]))</f>
        <v/>
      </c>
      <c r="BF35" s="23"/>
      <c r="BG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5" s="21" t="str">
        <f aca="false">""</f>
        <v/>
      </c>
      <c r="BI35" s="87"/>
      <c r="BJ35" s="22"/>
      <c r="BK35" s="47" t="str">
        <f aca="false">IF(OR(Tasks[[#This Row],[Task Name]]="",Tasks[[#This Row],[Baseline Duration]]=""),"",Tasks[[#This Row],[_SpanDays]]-N(Tasks[[#This Row],[Baseline Duration]]))</f>
        <v/>
      </c>
      <c r="BL35" s="86" t="str">
        <f aca="false">IF(OR(Tasks[[#This Row],[Task Name]]="",Tasks[[#This Row],[Baseline Work]]=""),"",Tasks[[#This Row],[Work]]-N(Tasks[[#This Row],[Baseline Work]]))</f>
        <v/>
      </c>
      <c r="BM35" s="63" t="str">
        <f aca="false">IF(Tasks[[#This Row],[Task Name]]="","",IF(OR(TakeBaseline="Yes",N(Tasks[[#This Row],[Baseline Start]])=0),Tasks[[#This Row],[Start]],Tasks[[#This Row],[Baseline Start]]))</f>
        <v/>
      </c>
      <c r="BN35" s="63" t="str">
        <f aca="false">IF(Tasks[[#This Row],[Task Name]]="","",IF(OR(TakeBaseline="Yes",N(Tasks[[#This Row],[Baseline Finish]])=0),Tasks[[#This Row],[Finish]],Tasks[[#This Row],[Baseline Finish]]))</f>
        <v/>
      </c>
      <c r="BO35" s="21" t="str">
        <f aca="false">IF(Tasks[[#This Row],[Task Name]]="","",IF(OR(TakeBaseline="Yes",N(Tasks[[#This Row],[Baseline Duration]])=0),Tasks[[#This Row],[_SpanDays]],Tasks[[#This Row],[Baseline Duration]]))</f>
        <v/>
      </c>
      <c r="BP35" s="86" t="str">
        <f aca="false">IF(Tasks[[#This Row],[Task Name]]="","",IF(OR(TakeBaseline="Yes",N(Tasks[[#This Row],[Baseline Work]])=0),Tasks[[#This Row],[Work]],Tasks[[#This Row],[Baseline Work]]))</f>
        <v/>
      </c>
      <c r="BQ35" s="7"/>
      <c r="BR35" s="7"/>
      <c r="BS35" s="22"/>
      <c r="BT35" s="88"/>
      <c r="BU35" s="23"/>
      <c r="BV35" s="23"/>
      <c r="BW35" s="23"/>
      <c r="BX35" s="89" t="str">
        <f aca="false">IF(AND(Tasks[[#This Row],[_IsLeaf]]=1,ISNUMBER(Tasks[[#This Row],[Optimistic]]),ISNUMBER(Tasks[[#This Row],[Pessimistic]])),ROUND((Tasks[[#This Row],[Optimistic]]+4*N(Tasks[[#This Row],[_Days]])+Tasks[[#This Row],[Pessimistic]])/6,1),"")</f>
        <v/>
      </c>
      <c r="BY35" s="87"/>
      <c r="BZ35" s="87"/>
      <c r="CA35" s="22"/>
      <c r="CB35" s="43" t="str">
        <f aca="false">IF(Tasks[[#This Row],[Task Name]]="","",MAX(1,N(Tasks[[#This Row],[Level]])))</f>
        <v/>
      </c>
      <c r="CC35" s="43" t="n">
        <f aca="false">ROW()-ROW(Tasks[[#Headers],[ID]])</f>
        <v>30</v>
      </c>
      <c r="CD35" s="43" t="n">
        <f aca="false">IF(OR(Tasks[[#This Row],[Task Name]]="",Tasks[[#This Row],[_Level]]&lt;=1),0,IFERROR(LOOKUP(2,1/(Tasks[[#Headers],[_Level]]:Tasks[[#This Row],[_Level]]=Tasks[[#This Row],[_Level]]-1),ROW(Tasks[[#Headers],[_Level]]:Tasks[[#This Row],[_Level]])),0))</f>
        <v>0</v>
      </c>
      <c r="CE35" s="43" t="n">
        <f aca="false">IFERROR(N(INDEX(Tasks[_Level],Tasks[[#This Row],[_Row]]+1)),0)</f>
        <v>0</v>
      </c>
      <c r="CF35" s="90" t="b">
        <f aca="false">AND(Tasks[[#This Row],[Task Name]]&lt;&gt;"",Tasks[[#This Row],[_NextLevel]]&gt;Tasks[[#This Row],[_Level]])</f>
        <v>0</v>
      </c>
      <c r="CG35" s="43" t="n">
        <f aca="false">IF(Tasks[[#This Row],[_IsSummary]],COUNTIF(Tasks[WBS],Tasks[[#This Row],[WBS]]&amp;".*"),0)</f>
        <v>0</v>
      </c>
      <c r="CH35" s="43" t="n">
        <f aca="false">IF(AND(Tasks[[#This Row],[Task Name]]&lt;&gt;"",NOT(Tasks[[#This Row],[_IsSummary]])),1,0)</f>
        <v>0</v>
      </c>
      <c r="CI35" s="43" t="n">
        <f aca="false">IF(N(Tasks[[#This Row],[_Pred1UID]])=0,0,IFERROR(MATCH(Tasks[[#This Row],[_Pred1UID]],Tasks[UID],0),-1))</f>
        <v>0</v>
      </c>
      <c r="CJ35" s="43" t="n">
        <f aca="false">IF(N(Tasks[[#This Row],[_Pred2UID]])=0,0,IFERROR(MATCH(Tasks[[#This Row],[_Pred2UID]],Tasks[UID],0),-1))</f>
        <v>0</v>
      </c>
      <c r="CK35" s="43" t="n">
        <f aca="false">IF(N(Tasks[[#This Row],[_Pred3UID]])=0,0,IFERROR(MATCH(Tasks[[#This Row],[_Pred3UID]],Tasks[UID],0),-1))</f>
        <v>0</v>
      </c>
      <c r="CL35" s="43" t="n">
        <f aca="false">IF(N(Tasks[[#This Row],[_Pred4UID]])=0,0,IFERROR(MATCH(Tasks[[#This Row],[_Pred4UID]],Tasks[UID],0),-1))</f>
        <v>0</v>
      </c>
      <c r="CM3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5" s="91" t="n">
        <f aca="false">IF(OR(Tasks[[#This Row],[_ConstraintCode]]=2,Tasks[[#This Row],[_ConstraintCode]]=3,Tasks[[#This Row],[_ConstraintCode]]=4,Tasks[[#This Row],[_ConstraintCode]]=6),Tasks[[#This Row],[_ConstraintStart]],0)</f>
        <v>0</v>
      </c>
      <c r="CP35" s="91" t="n">
        <f aca="false">IF(OR(Tasks[[#This Row],[_ConstraintCode]]=2,Tasks[[#This Row],[_ConstraintCode]]=3,Tasks[[#This Row],[_ConstraintCode]]=5,Tasks[[#This Row],[_ConstraintCode]]=7),Tasks[[#This Row],[_ConstraintStart]],2958465)</f>
        <v>2958465</v>
      </c>
      <c r="CQ3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5" s="91" t="str">
        <f aca="false">IF(NOT(Tasks[[#This Row],[_IsLeaf]]=1),"",IF(N(Tasks[[#This Row],[_Days]])&lt;=0,Tasks[[#This Row],[_LeafCalcStart]],WORKDAY.INTL(Tasks[[#This Row],[_LeafCalcStart]],Tasks[[#This Row],[_Days]]-1,WorkWeek,Holidays)))</f>
        <v/>
      </c>
      <c r="CS3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5" s="43" t="str">
        <f aca="false">IF(Tasks[[#This Row],[_Predecessors]]="","",TRIM(MID(SUBSTITUTE(SUBSTITUTE(SUBSTITUTE(UPPER(Tasks[[#This Row],[_Predecessors]]),";",",")," ",""),",",REPT(" ",99)),1,99)))</f>
        <v/>
      </c>
      <c r="CV35" s="43" t="str">
        <f aca="false">IF(Tasks[[#This Row],[_Pred1Text]]="","",IFERROR(VALUE(LEFT(Tasks[[#This Row],[_Pred1Text]],MIN(FIND("F",Tasks[[#This Row],[_Pred1Text]]&amp;"F"),FIND("S",Tasks[[#This Row],[_Pred1Text]]&amp;"S"),FIND("+",Tasks[[#This Row],[_Pred1Text]]&amp;"+"),FIND("-",Tasks[[#This Row],[_Pred1Text]]&amp;"-"))-1)),""))</f>
        <v/>
      </c>
      <c r="CW3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5" s="43" t="str">
        <f aca="false">IF(Tasks[[#This Row],[_Pred1Text]]="","",TRIM(MID(SUBSTITUTE(SUBSTITUTE(SUBSTITUTE(UPPER(Tasks[[#This Row],[_Predecessors]]),";",",")," ",""),",",REPT(" ",99)),100,99)))</f>
        <v/>
      </c>
      <c r="CZ35" s="43" t="str">
        <f aca="false">IF(Tasks[[#This Row],[_Pred2Text]]="","",IFERROR(VALUE(LEFT(Tasks[[#This Row],[_Pred2Text]],MIN(FIND("F",Tasks[[#This Row],[_Pred2Text]]&amp;"F"),FIND("S",Tasks[[#This Row],[_Pred2Text]]&amp;"S"),FIND("+",Tasks[[#This Row],[_Pred2Text]]&amp;"+"),FIND("-",Tasks[[#This Row],[_Pred2Text]]&amp;"-"))-1)),""))</f>
        <v/>
      </c>
      <c r="DA3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5" s="43" t="str">
        <f aca="false">IF(Tasks[[#This Row],[_Pred2Text]]="","",TRIM(MID(SUBSTITUTE(SUBSTITUTE(SUBSTITUTE(UPPER(Tasks[[#This Row],[_Predecessors]]),";",",")," ",""),",",REPT(" ",99)),199,99)))</f>
        <v/>
      </c>
      <c r="DD35" s="43" t="str">
        <f aca="false">IF(Tasks[[#This Row],[_Pred3Text]]="","",IFERROR(VALUE(LEFT(Tasks[[#This Row],[_Pred3Text]],MIN(FIND("F",Tasks[[#This Row],[_Pred3Text]]&amp;"F"),FIND("S",Tasks[[#This Row],[_Pred3Text]]&amp;"S"),FIND("+",Tasks[[#This Row],[_Pred3Text]]&amp;"+"),FIND("-",Tasks[[#This Row],[_Pred3Text]]&amp;"-"))-1)),""))</f>
        <v/>
      </c>
      <c r="DE3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5" s="43" t="str">
        <f aca="false">IF(Tasks[[#This Row],[_Pred3Text]]="","",TRIM(MID(SUBSTITUTE(SUBSTITUTE(SUBSTITUTE(UPPER(Tasks[[#This Row],[_Predecessors]]),";",",")," ",""),",",REPT(" ",99)),298,99)))</f>
        <v/>
      </c>
      <c r="DH35" s="43" t="str">
        <f aca="false">IF(Tasks[[#This Row],[_Pred4Text]]="","",IFERROR(VALUE(LEFT(Tasks[[#This Row],[_Pred4Text]],MIN(FIND("F",Tasks[[#This Row],[_Pred4Text]]&amp;"F"),FIND("S",Tasks[[#This Row],[_Pred4Text]]&amp;"S"),FIND("+",Tasks[[#This Row],[_Pred4Text]]&amp;"+"),FIND("-",Tasks[[#This Row],[_Pred4Text]]&amp;"-"))-1)),""))</f>
        <v/>
      </c>
      <c r="DI3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5" s="43" t="str">
        <f aca="false">IF(OR(Tasks[[#This Row],[Task Name]]="",Tasks[[#This Row],[_Resources]]=""),"",TRIM(MID(SUBSTITUTE(Tasks[[#This Row],[_Resources]],",",REPT(" ",99)),1,99)))</f>
        <v/>
      </c>
      <c r="DL35" s="43" t="str">
        <f aca="false">IF(Tasks[[#This Row],[_Res1Text]]="","",TRIM(MID(SUBSTITUTE(Tasks[[#This Row],[_Resources]],",",REPT(" ",99)),100,99)))</f>
        <v/>
      </c>
      <c r="DM35" s="43" t="str">
        <f aca="false">IF(Tasks[[#This Row],[_Res2Text]]="","",TRIM(MID(SUBSTITUTE(Tasks[[#This Row],[_Resources]],",",REPT(" ",99)),199,99)))</f>
        <v/>
      </c>
      <c r="DN35" s="43" t="str">
        <f aca="false">IF(Tasks[[#This Row],[_Res3Text]]="","",TRIM(MID(SUBSTITUTE(Tasks[[#This Row],[_Resources]],",",REPT(" ",99)),298,99)))</f>
        <v/>
      </c>
      <c r="DO35" s="43" t="n">
        <f aca="false">IF(Tasks[[#This Row],[_Res1Text]]="",0,IFERROR(MATCH(TRIM(LEFT(Tasks[[#This Row],[_Res1Text]],FIND("[",Tasks[[#This Row],[_Res1Text]]&amp;"[")-1)),res_Name,0),IFERROR(MATCH(TRIM(LEFT(Tasks[[#This Row],[_Res1Text]],FIND("[",Tasks[[#This Row],[_Res1Text]]&amp;"[")-1)),res_Initials,0),0)))</f>
        <v>0</v>
      </c>
      <c r="DP35" s="43" t="n">
        <f aca="false">IF(Tasks[[#This Row],[_Res2Text]]="",0,IFERROR(MATCH(TRIM(LEFT(Tasks[[#This Row],[_Res2Text]],FIND("[",Tasks[[#This Row],[_Res2Text]]&amp;"[")-1)),res_Name,0),IFERROR(MATCH(TRIM(LEFT(Tasks[[#This Row],[_Res2Text]],FIND("[",Tasks[[#This Row],[_Res2Text]]&amp;"[")-1)),res_Initials,0),0)))</f>
        <v>0</v>
      </c>
      <c r="DQ35" s="43" t="n">
        <f aca="false">IF(Tasks[[#This Row],[_Res3Text]]="",0,IFERROR(MATCH(TRIM(LEFT(Tasks[[#This Row],[_Res3Text]],FIND("[",Tasks[[#This Row],[_Res3Text]]&amp;"[")-1)),res_Name,0),IFERROR(MATCH(TRIM(LEFT(Tasks[[#This Row],[_Res3Text]],FIND("[",Tasks[[#This Row],[_Res3Text]]&amp;"[")-1)),res_Initials,0),0)))</f>
        <v>0</v>
      </c>
      <c r="DR35" s="43" t="n">
        <f aca="false">IF(Tasks[[#This Row],[_Res4Text]]="",0,IFERROR(MATCH(TRIM(LEFT(Tasks[[#This Row],[_Res4Text]],FIND("[",Tasks[[#This Row],[_Res4Text]]&amp;"[")-1)),res_Name,0),IFERROR(MATCH(TRIM(LEFT(Tasks[[#This Row],[_Res4Text]],FIND("[",Tasks[[#This Row],[_Res4Text]]&amp;"[")-1)),res_Initials,0),0)))</f>
        <v>0</v>
      </c>
      <c r="DS35" s="43" t="str">
        <f aca="false">IF(Tasks[[#This Row],[_Res1Text]]="","",IF(Tasks[[#This Row],[_Res1Row]]&gt;0,INDEX(res_Name,Tasks[[#This Row],[_Res1Row]]),TRIM(LEFT(Tasks[[#This Row],[_Res1Text]],FIND("[",Tasks[[#This Row],[_Res1Text]]&amp;"[")-1))))</f>
        <v/>
      </c>
      <c r="DT3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5" s="43" t="n">
        <f aca="false">IF(NOT(Tasks[[#This Row],[_IsLeaf]]=1),0,(Tasks[[#This Row],[_Resource1]]&lt;&gt;"")+(Tasks[[#This Row],[_Res2]]&lt;&gt;"")+(Tasks[[#This Row],[_Res3]]&lt;&gt;"")+(Tasks[[#This Row],[_Res4]]&lt;&gt;""))</f>
        <v>0</v>
      </c>
      <c r="DV35" s="43" t="str">
        <f aca="false">IF(Tasks[[#This Row],[_Res2Text]]="","",IF(Tasks[[#This Row],[_Res2Row]]&gt;0,INDEX(res_Name,Tasks[[#This Row],[_Res2Row]]),TRIM(LEFT(Tasks[[#This Row],[_Res2Text]],FIND("[",Tasks[[#This Row],[_Res2Text]]&amp;"[")-1))))</f>
        <v/>
      </c>
      <c r="DW3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5" s="43" t="n">
        <f aca="false">IF(OR(NOT(Tasks[[#This Row],[_IsLeaf]]=1),Tasks[[#This Row],[_Res2Row]]=0),0,N(Tasks[[#This Row],[_Days]])*HoursPerDay*IF(Tasks[[#This Row],[_Res2Units]]="",DefaultUnits,Tasks[[#This Row],[_Res2Units]]))</f>
        <v>0</v>
      </c>
      <c r="DY35" s="43" t="n">
        <f aca="false">IF(AND(AND(Tasks[[#This Row],[_IsLeaf]]=1,Tasks[[#This Row],[_LeafTotalWork]]&gt;0),Tasks[[#This Row],[_Res2Work]]&gt;0),Tasks[[#This Row],[_Res2Work]]/(Tasks[[#This Row],[_FinishWorkday]]-Tasks[[#This Row],[_StartWorkday]]+1),0)</f>
        <v>0</v>
      </c>
      <c r="DZ35" s="43" t="n">
        <f aca="false">Tasks[[#This Row],[_Res2WorkPerWD]]*MAX(0,Tasks[[#This Row],[_StartWorkday]]-1)</f>
        <v>0</v>
      </c>
      <c r="EA35" s="43" t="n">
        <f aca="false">Tasks[[#This Row],[_Res2Work]]*Tasks[[#This Row],[_LeafProgress]]</f>
        <v>0</v>
      </c>
      <c r="EB35" s="43" t="str">
        <f aca="false">IF(Tasks[[#This Row],[_Res3Text]]="","",IF(Tasks[[#This Row],[_Res3Row]]&gt;0,INDEX(res_Name,Tasks[[#This Row],[_Res3Row]]),TRIM(LEFT(Tasks[[#This Row],[_Res3Text]],FIND("[",Tasks[[#This Row],[_Res3Text]]&amp;"[")-1))))</f>
        <v/>
      </c>
      <c r="EC3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5" s="43" t="n">
        <f aca="false">IF(OR(NOT(Tasks[[#This Row],[_IsLeaf]]=1),Tasks[[#This Row],[_Res3Row]]=0),0,N(Tasks[[#This Row],[_Days]])*HoursPerDay*IF(Tasks[[#This Row],[_Res3Units]]="",DefaultUnits,Tasks[[#This Row],[_Res3Units]]))</f>
        <v>0</v>
      </c>
      <c r="EE35" s="43" t="n">
        <f aca="false">IF(AND(AND(Tasks[[#This Row],[_IsLeaf]]=1,Tasks[[#This Row],[_LeafTotalWork]]&gt;0),Tasks[[#This Row],[_Res3Work]]&gt;0),Tasks[[#This Row],[_Res3Work]]/(Tasks[[#This Row],[_FinishWorkday]]-Tasks[[#This Row],[_StartWorkday]]+1),0)</f>
        <v>0</v>
      </c>
      <c r="EF35" s="43" t="n">
        <f aca="false">Tasks[[#This Row],[_Res3WorkPerWD]]*MAX(0,Tasks[[#This Row],[_StartWorkday]]-1)</f>
        <v>0</v>
      </c>
      <c r="EG35" s="43" t="n">
        <f aca="false">Tasks[[#This Row],[_Res3Work]]*Tasks[[#This Row],[_LeafProgress]]</f>
        <v>0</v>
      </c>
      <c r="EH35" s="43" t="str">
        <f aca="false">IF(Tasks[[#This Row],[_Res4Text]]="","",IF(Tasks[[#This Row],[_Res4Row]]&gt;0,INDEX(res_Name,Tasks[[#This Row],[_Res4Row]]),TRIM(LEFT(Tasks[[#This Row],[_Res4Text]],FIND("[",Tasks[[#This Row],[_Res4Text]]&amp;"[")-1))))</f>
        <v/>
      </c>
      <c r="EI3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5" s="43" t="n">
        <f aca="false">IF(OR(NOT(Tasks[[#This Row],[_IsLeaf]]=1),Tasks[[#This Row],[_Res4Row]]=0),0,N(Tasks[[#This Row],[_Days]])*HoursPerDay*IF(Tasks[[#This Row],[_Res4Units]]="",DefaultUnits,Tasks[[#This Row],[_Res4Units]]))</f>
        <v>0</v>
      </c>
      <c r="EK35" s="43" t="n">
        <f aca="false">IF(AND(AND(Tasks[[#This Row],[_IsLeaf]]=1,Tasks[[#This Row],[_LeafTotalWork]]&gt;0),Tasks[[#This Row],[_Res4Work]]&gt;0),Tasks[[#This Row],[_Res4Work]]/(Tasks[[#This Row],[_FinishWorkday]]-Tasks[[#This Row],[_StartWorkday]]+1),0)</f>
        <v>0</v>
      </c>
      <c r="EL35" s="43" t="n">
        <f aca="false">Tasks[[#This Row],[_Res4WorkPerWD]]*MAX(0,Tasks[[#This Row],[_StartWorkday]]-1)</f>
        <v>0</v>
      </c>
      <c r="EM35" s="43" t="n">
        <f aca="false">Tasks[[#This Row],[_Res4Work]]*Tasks[[#This Row],[_LeafProgress]]</f>
        <v>0</v>
      </c>
      <c r="EN35" s="43" t="n">
        <f aca="false">IF(ISNUMBER(Tasks[[#This Row],[% Complete]]),Tasks[[#This Row],[% Complete]],IF(Tasks[[#This Row],[Stage]]="",0,IFERROR(INDEX(stg_Pct,MATCH(Tasks[[#This Row],[Stage]],stg_Name,0)),0)))</f>
        <v>0</v>
      </c>
      <c r="EO35" s="43" t="n">
        <f aca="false">IF(NOT(Tasks[[#This Row],[_IsLeaf]]=1),0,IF(N(Tasks[[#This Row],[Actual Finish]])&gt;0,1,MIN(1,Tasks[[#This Row],[_Pct]])))</f>
        <v>0</v>
      </c>
      <c r="EP35" s="43" t="n">
        <f aca="false">IF(OR(NOT(Tasks[[#This Row],[_IsLeaf]]=1),Tasks[[#This Row],[_Res1Row]]=0),0,N(Tasks[[#This Row],[_Days]])*HoursPerDay*IF(Tasks[[#This Row],[_Units1]]="",DefaultUnits,Tasks[[#This Row],[_Units1]]))</f>
        <v>0</v>
      </c>
      <c r="EQ35" s="43" t="n">
        <f aca="false">Tasks[[#This Row],[_LeafWork]]+Tasks[[#This Row],[_Res2Work]]+Tasks[[#This Row],[_Res3Work]]+Tasks[[#This Row],[_Res4Work]]</f>
        <v>0</v>
      </c>
      <c r="ER3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5" s="43" t="n">
        <f aca="false">IF(NOT(Tasks[[#This Row],[_IsLeaf]]=1),0,MAX(_xlfn.MAXIFS(Tasks[_Row],Tasks[_Pred1UID],Tasks[[#This Row],[UID]]),_xlfn.MAXIFS(Tasks[_Row],Tasks[_Pred2UID],Tasks[[#This Row],[UID]]),_xlfn.MAXIFS(Tasks[_Row],Tasks[_Pred3UID],Tasks[[#This Row],[UID]]),_xlfn.MAXIFS(Tasks[_Row],Tasks[_Pred4UID],Tasks[[#This Row],[UID]])))</f>
        <v>0</v>
      </c>
      <c r="FA3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5" s="91" t="str">
        <f aca="false">IF(NOT(Tasks[[#This Row],[_IsLeaf]]=1),"",IF(N(Tasks[[#This Row],[_Days]])&lt;=0,Tasks[[#This Row],[_LeafLateFinish]],WORKDAY.INTL(Tasks[[#This Row],[_LeafLateFinish]],-(Tasks[[#This Row],[_Days]]-1),WorkWeek,Holidays)))</f>
        <v/>
      </c>
      <c r="FD3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5" s="90" t="b">
        <f aca="false">AND(Tasks[[#This Row],[_IsLeaf]]=1,Tasks[[#This Row],[_LeafProgress]]&lt;1,N(Tasks[[#This Row],[_LeafTotalSlack]])&lt;=CriticalSlackDays)</f>
        <v>0</v>
      </c>
      <c r="FF35" s="43" t="n">
        <f aca="false">IF(AND(Tasks[[#This Row],[_IsLeaf]]=1,Tasks[[#This Row],[_ConstraintCode]]=1,Tasks[[#This Row],[Mode]]&lt;&gt;"Manual",N(Tasks[[#This Row],[Actual Start]])=0),MAX(0,N(Tasks[[#This Row],[Free Slack]])),0)</f>
        <v>0</v>
      </c>
      <c r="FG35" s="91" t="str">
        <f aca="false">IF(NOT(Tasks[[#This Row],[_IsLeaf]]=1),"",IF(Tasks[[#This Row],[_AlapShift]]=0,Tasks[[#This Row],[_LeafCalcStart]],WORKDAY.INTL(Tasks[[#This Row],[_LeafCalcStart]],Tasks[[#This Row],[_AlapShift]],WorkWeek,Holidays)))</f>
        <v/>
      </c>
      <c r="FH35" s="91" t="str">
        <f aca="false">IF(NOT(Tasks[[#This Row],[_IsLeaf]]=1),"",IF(Tasks[[#This Row],[_AlapShift]]=0,Tasks[[#This Row],[_LeafCalcFinish]],WORKDAY.INTL(Tasks[[#This Row],[_LeafCalcFinish]],Tasks[[#This Row],[_AlapShift]],WorkWeek,Holidays)))</f>
        <v/>
      </c>
      <c r="FI35" s="91" t="str">
        <f aca="false">IF(NOT(Tasks[[#This Row],[_IsLeaf]]=1),"",IF(Tasks[[#This Row],[_AlapShift]]=0,Tasks[[#This Row],[_LeafFcstStart]],WORKDAY.INTL(Tasks[[#This Row],[_LeafFcstStart]],Tasks[[#This Row],[_AlapShift]],WorkWeek,Holidays)))</f>
        <v/>
      </c>
      <c r="FJ35" s="91" t="str">
        <f aca="false">IF(NOT(Tasks[[#This Row],[_IsLeaf]]=1),"",IF(Tasks[[#This Row],[_AlapShift]]=0,Tasks[[#This Row],[_LeafFcstFinish]],WORKDAY.INTL(Tasks[[#This Row],[_LeafFcstFinish]],Tasks[[#This Row],[_AlapShift]],WorkWeek,Holidays)))</f>
        <v/>
      </c>
      <c r="FK35" s="91" t="str">
        <f aca="false">IF(Tasks[[#This Row],[Task Name]]="","",IF(Tasks[[#This Row],[_IsSummary]],MIN(INDEX(Tasks[_ShownCalcStart],Tasks[[#This Row],[_Row]]+1):INDEX(Tasks[_ShownCalcStart],Tasks[[#This Row],[_Row]]+Tasks[[#This Row],[_Descendants]])),Tasks[[#This Row],[_ShownCalcStart]]))</f>
        <v/>
      </c>
      <c r="FL35" s="91" t="str">
        <f aca="false">IF(Tasks[[#This Row],[Task Name]]="","",IF(Tasks[[#This Row],[_IsSummary]],MAX(INDEX(Tasks[_ShownCalcFinish],Tasks[[#This Row],[_Row]]+1):INDEX(Tasks[_ShownCalcFinish],Tasks[[#This Row],[_Row]]+Tasks[[#This Row],[_Descendants]])),Tasks[[#This Row],[_ShownCalcFinish]]))</f>
        <v/>
      </c>
      <c r="FM3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5" s="43" t="n">
        <f aca="false">IF(AND(Tasks[[#This Row],[_IsLeaf]]=1,Tasks[[#This Row],[_LeafTotalWork]]&gt;0),NETWORKDAYS.INTL(ProjectStart,Tasks[[#This Row],[_ShownFcstStart]],WorkWeek,Holidays),0)</f>
        <v>0</v>
      </c>
      <c r="FZ35" s="43" t="n">
        <f aca="false">IF(AND(Tasks[[#This Row],[_IsLeaf]]=1,Tasks[[#This Row],[_LeafTotalWork]]&gt;0),MAX(Tasks[[#This Row],[_StartWorkday]],NETWORKDAYS.INTL(ProjectStart,Tasks[[#This Row],[_ShownFcstFinish]],WorkWeek,Holidays)),0)</f>
        <v>0</v>
      </c>
      <c r="GA35" s="43" t="n">
        <f aca="false">IF(AND(Tasks[[#This Row],[_IsLeaf]]=1,Tasks[[#This Row],[_LeafTotalWork]]&gt;0),Tasks[[#This Row],[_LeafWork]]/(Tasks[[#This Row],[_FinishWorkday]]-Tasks[[#This Row],[_StartWorkday]]+1),0)</f>
        <v>0</v>
      </c>
      <c r="GB35" s="43" t="n">
        <f aca="false">Tasks[[#This Row],[_WorkPerWorkday]]*(Tasks[[#This Row],[_StartWorkday]]-1)</f>
        <v>-0</v>
      </c>
      <c r="GC35" s="43" t="n">
        <f aca="false">IF(Tasks[[#This Row],[_IsLeaf]]=1,MAX(N(Tasks[[#This Row],[_Days]]),0.1),0)</f>
        <v>0</v>
      </c>
      <c r="GD35" s="43" t="n">
        <f aca="false">Tasks[[#This Row],[_WeightDur]]*Tasks[[#This Row],[_LeafProgress]]</f>
        <v>0</v>
      </c>
      <c r="GE35" s="43" t="n">
        <f aca="false">Tasks[[#This Row],[_WeightDur]]*Tasks[[#This Row],[_PlannedPct]]</f>
        <v>0</v>
      </c>
      <c r="GF3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5" s="43" t="str">
        <f aca="false">IF(AND(Tasks[[#This Row],[_IsLeaf]]=1,N(Tasks[[#This Row],[_Days]])=0,Tasks[[#This Row],[_LeafProgress]]&lt;1),Tasks[[#This Row],[_ShownFcstFinish]]+Tasks[[#This Row],[_Row]]/100000,"")</f>
        <v/>
      </c>
      <c r="GH3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5" s="43" t="str">
        <f aca="false">IF(Tasks[[#This Row],[Task Name]]="","",LEFT(Tasks[[#This Row],[WBS]],FIND(".",Tasks[[#This Row],[WBS]]&amp;".")-1))</f>
        <v/>
      </c>
      <c r="GJ35" s="43" t="str">
        <f aca="false">IF(AND(Tasks[[#This Row],[Task Name]]&lt;&gt;"",Tasks[[#This Row],[_Level]]=1),Tasks[[#This Row],[_Row]],"")</f>
        <v/>
      </c>
      <c r="GK35" s="43" t="str">
        <f aca="false">IF(AND(Tasks[[#This Row],[_IsLeaf]]=1,N(Tasks[[#This Row],[_Days]])=0),Tasks[[#This Row],[Planned Finish]]+Tasks[[#This Row],[_Row]]/100000,"")</f>
        <v/>
      </c>
      <c r="GL35" s="43" t="str">
        <f aca="false">IF(AND(Tasks[[#This Row],[_IsLeaf]]=1,Tasks[[#This Row],[_LeafProgress]]&lt;1,OR(N(Tasks[[#This Row],[Finish Var]])&gt;0,Tasks[[#This Row],[Status]]="Late Start")),MAX(0,Tasks[[#This Row],[Finish Var]])+1-Tasks[[#This Row],[_Row]]/1000000,"")</f>
        <v/>
      </c>
      <c r="GM35" s="43" t="str">
        <f aca="false">IF(AND(Tasks[[#This Row],[_IsLeaf]]=1,N(Tasks[[#This Row],[Actual Start]])=0,Tasks[[#This Row],[_ShownFcstStart]]&gt;=StatusDate,Tasks[[#This Row],[_ShownFcstStart]]&lt;=LookaheadEnd),Tasks[[#This Row],[_ShownFcstStart]]+Tasks[[#This Row],[_Row]]/100000,"")</f>
        <v/>
      </c>
      <c r="GN35" s="43" t="str">
        <f aca="false">IF(AND(Tasks[[#This Row],[_IsLeaf]]=1,Tasks[[#This Row],[_LeafProgress]]&lt;1,Tasks[[#This Row],[_ShownFcstFinish]]&gt;=StatusDate,Tasks[[#This Row],[_ShownFcstFinish]]&lt;=LookaheadEnd),Tasks[[#This Row],[_ShownFcstFinish]]+Tasks[[#This Row],[_Row]]/100000,"")</f>
        <v/>
      </c>
      <c r="GO35" s="43" t="str">
        <f aca="false">IF(Tasks[[#This Row],[_LeafCritical]],Tasks[[#This Row],[_ShownFcstStart]]+Tasks[[#This Row],[_Row]]/100000,"")</f>
        <v/>
      </c>
      <c r="GP35" s="43" t="n">
        <f aca="false">Tasks[[#This Row],[_LeafWork]]*Tasks[[#This Row],[_LeafProgress]]</f>
        <v>0</v>
      </c>
      <c r="GQ35" s="91" t="str">
        <f aca="false">IF(AND(Tasks[[#This Row],[_IsLeaf]]=1,Tasks[[#This Row],[_LeafProgress]]&gt;=1),IF(N(Tasks[[#This Row],[Actual Finish]])&gt;0,Tasks[[#This Row],[Actual Finish]],Tasks[[#This Row],[_ShownFcstFinish]]),"")</f>
        <v/>
      </c>
      <c r="GR35" s="43" t="n">
        <f aca="false">IF(Tasks[[#This Row],[_IsLeaf]]=1,N(Tasks[[#This Row],[Story Points]]),0)</f>
        <v>0</v>
      </c>
      <c r="GS35" s="43" t="str">
        <f aca="false">""</f>
        <v/>
      </c>
      <c r="GT35" s="90" t="b">
        <f aca="false">IF(Tasks[[#This Row],[Task Name]]="",FALSE(),AND(Tasks[[#This Row],[_IsLeaf]]=1,N(Tasks[[#This Row],[_Days]])=0))</f>
        <v>0</v>
      </c>
      <c r="GU35" s="91" t="n">
        <f aca="false">IF(Tasks[[#This Row],[Task Name]]="",0,IF(AND(Tasks[[#This Row],[_IsLeaf]]=1,NOT(Tasks[[#This Row],[_IsMilestone]]),N(Tasks[[#This Row],[Progress]])&gt;0),Tasks[[#This Row],[Start]],0))</f>
        <v>0</v>
      </c>
      <c r="GV35" s="91" t="n">
        <f aca="false">IF(Tasks[[#This Row],[_DoneFrom]]=0,0,IF(Tasks[[#This Row],[Progress]]&gt;=1,Tasks[[#This Row],[Finish]],MAX(Tasks[[#This Row],[_DoneFrom]],Tasks[[#This Row],[Start]]+ROUND((Tasks[[#This Row],[Finish]]-Tasks[[#This Row],[Start]]+1)*Tasks[[#This Row],[Progress]],0)-1)))</f>
        <v>0</v>
      </c>
      <c r="GW35" s="91" t="n">
        <f aca="false">IF(Tasks[[#This Row],[Task Name]]="",0,IF(OR(NOT(Tasks[[#This Row],[_IsLeaf]]=1),Tasks[[#This Row],[_IsMilestone]],N(Tasks[[#This Row],[Progress]])&gt;=1),0,IF(Tasks[[#This Row],[_DoneTo]]&gt;0,Tasks[[#This Row],[_DoneTo]]+1,Tasks[[#This Row],[Start]])))</f>
        <v>0</v>
      </c>
      <c r="GX35" s="91" t="n">
        <f aca="false">IF(Tasks[[#This Row],[_RemFrom]]=0,0,Tasks[[#This Row],[Finish]])</f>
        <v>0</v>
      </c>
      <c r="GY35" s="90" t="b">
        <f aca="false">IF(Tasks[[#This Row],[Task Name]]="",FALSE(),OR(NOT(BaselineSet),N(Tasks[[#This Row],[Baseline Start]])&gt;0))</f>
        <v>0</v>
      </c>
      <c r="GZ3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5" s="92" t="str">
        <f aca="false">IF(Tasks[[#This Row],[_IsLeaf]]=1,Tasks[[#This Row],[_Row]],"")</f>
        <v/>
      </c>
      <c r="HD35" s="92" t="str">
        <f aca="false">IFERROR(INDEX(Tasks[UID],SMALL(Tasks[_PickKey],Tasks[[#This Row],[_Row]]))&amp;" "&amp;INDEX(Tasks[Task Name],SMALL(Tasks[_PickKey],Tasks[[#This Row],[_Row]])),"")</f>
        <v/>
      </c>
      <c r="HE35" s="43" t="str">
        <f aca="false">IF(Tasks[[#This Row],[Task Name]]="","",IF(Tasks[[#This Row],[_IsSummary]],NETWORKDAYS.INTL(Tasks[[#This Row],[Start]],Tasks[[#This Row],[Finish]],WorkWeek,Holidays),N(Tasks[[#This Row],[_Days]])))</f>
        <v/>
      </c>
      <c r="HF35" s="43" t="n">
        <f aca="false">IF(Tasks[[#This Row],[Expected]]="",0,((Tasks[[#This Row],[Pessimistic]]-Tasks[[#This Row],[Optimistic]])/6)^2)</f>
        <v>0</v>
      </c>
      <c r="HG35" s="43" t="n">
        <f aca="false">IF(Tasks[[#This Row],[Expected]]="",0,Tasks[[#This Row],[Expected]]-N(Tasks[[#This Row],[_Days]]))</f>
        <v>0</v>
      </c>
    </row>
    <row r="36" customFormat="false" ht="15" hidden="false" customHeight="false" outlineLevel="0" collapsed="false">
      <c r="A36" s="21" t="str">
        <f aca="false">IF(Tasks[[#This Row],[Task Name]]="","",COUNTA(Tasks[[#Headers],[Task Name]]:Tasks[[#This Row],[Task Name]])-1)</f>
        <v/>
      </c>
      <c r="B36" s="22" t="n">
        <v>44</v>
      </c>
      <c r="C36" s="22"/>
      <c r="D36" s="23"/>
      <c r="E36" s="22"/>
      <c r="F36" s="23"/>
      <c r="G36" s="22"/>
      <c r="H36" s="22"/>
      <c r="I36" s="23"/>
      <c r="J36" s="22"/>
      <c r="K36" s="22"/>
      <c r="L36" s="23"/>
      <c r="M36" s="22"/>
      <c r="N36" s="22"/>
      <c r="O36" s="23"/>
      <c r="P36" s="22"/>
      <c r="Q36" s="22"/>
      <c r="R36" s="23"/>
      <c r="S36" s="23"/>
      <c r="T36" s="84"/>
      <c r="U36" s="23"/>
      <c r="V36" s="84"/>
      <c r="W36" s="23"/>
      <c r="X36" s="84"/>
      <c r="Y36" s="23"/>
      <c r="Z36" s="84"/>
      <c r="AA36" s="23"/>
      <c r="AB36" s="23"/>
      <c r="AC36" s="7"/>
      <c r="AD36" s="7"/>
      <c r="AE36" s="63" t="str">
        <f aca="false">IF(Tasks[[#This Row],[Task Name]]="","",IF(Tasks[[#This Row],[_IsSummary]],MIN(INDEX(Tasks[_ShownFcstStart],Tasks[[#This Row],[_Row]]+1):INDEX(Tasks[_ShownFcstStart],Tasks[[#This Row],[_Row]]+Tasks[[#This Row],[_Descendants]])),Tasks[[#This Row],[_ShownFcstStart]]))</f>
        <v/>
      </c>
      <c r="AF36" s="63" t="str">
        <f aca="false">IF(Tasks[[#This Row],[Task Name]]="","",IF(Tasks[[#This Row],[_IsSummary]],MAX(INDEX(Tasks[_ShownFcstFinish],Tasks[[#This Row],[_Row]]+1):INDEX(Tasks[_ShownFcstFinish],Tasks[[#This Row],[_Row]]+Tasks[[#This Row],[_Descendants]])),Tasks[[#This Row],[_ShownFcstFinish]]))</f>
        <v/>
      </c>
      <c r="AG36" s="21" t="str">
        <f aca="false">""</f>
        <v/>
      </c>
      <c r="AH36" s="23"/>
      <c r="AI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6" s="7"/>
      <c r="AK36" s="22"/>
      <c r="AL36" s="23"/>
      <c r="AM36" s="7"/>
      <c r="AN36" s="47" t="str">
        <f aca="false">IF(Tasks[[#This Row],[Task Name]]="","",IF(Tasks[[#This Row],[Finish]]&gt;=Tasks[[#This Row],[Planned Finish]],NETWORKDAYS.INTL(Tasks[[#This Row],[Planned Finish]],Tasks[[#This Row],[Finish]],WorkWeek,Holidays)-1,1-NETWORKDAYS.INTL(Tasks[[#This Row],[Finish]],Tasks[[#This Row],[Planned Finish]],WorkWeek,Holidays)))</f>
        <v/>
      </c>
      <c r="AO36" s="21" t="str">
        <f aca="false">IF(Tasks[[#This Row],[Task Name]]="","",IF(Tasks[[#This Row],[Progress]]&gt;=1,"Complete",IF(OR(N(Tasks[[#This Row],[Actual Start]])&gt;0,Tasks[[#This Row],[Progress]]&gt;0),IF(Tasks[[#This Row],[Finish Var]]&gt;0,"Behind","In Progress"),IF(Tasks[[#This Row],[Planned Start]]&lt;StatusDate,"Late Start","Not Started"))))</f>
        <v/>
      </c>
      <c r="AP36" s="21" t="str">
        <f aca="false">IF(Tasks[[#This Row],[Task Name]]="","",IF(IF(Tasks[[#This Row],[_IsSummary]],COUNTIF(INDEX(Tasks[_LeafCritical],Tasks[[#This Row],[_Row]]+1):INDEX(Tasks[_LeafCritical],Tasks[[#This Row],[_Row]]+Tasks[[#This Row],[_Descendants]]),TRUE())&gt;0,Tasks[[#This Row],[_LeafCritical]]),"Yes",""))</f>
        <v/>
      </c>
      <c r="AQ36" s="63" t="str">
        <f aca="false">IF(Tasks[[#This Row],[Task Name]]="","",IF(N(Tasks[[#This Row],[Baseline Start]])&gt;0,Tasks[[#This Row],[Baseline Start]],Tasks[[#This Row],[_CalcStart]]))</f>
        <v/>
      </c>
      <c r="AR36" s="63" t="str">
        <f aca="false">IF(Tasks[[#This Row],[Task Name]]="","",IF(N(Tasks[[#This Row],[Baseline Finish]])&gt;0,Tasks[[#This Row],[Baseline Finish]],Tasks[[#This Row],[_CalcFinish]]))</f>
        <v/>
      </c>
      <c r="AS36" s="47" t="str">
        <f aca="false">IF(Tasks[[#This Row],[Task Name]]="","",IF(Tasks[[#This Row],[Start]]&gt;=Tasks[[#This Row],[Planned Start]],NETWORKDAYS.INTL(Tasks[[#This Row],[Planned Start]],Tasks[[#This Row],[Start]],WorkWeek,Holidays)-1,1-NETWORKDAYS.INTL(Tasks[[#This Row],[Start]],Tasks[[#This Row],[Planned Start]],WorkWeek,Holidays)))</f>
        <v/>
      </c>
      <c r="AT36" s="63" t="str">
        <f aca="false">IF(Tasks[[#This Row],[Task Name]]="","",IF(Tasks[[#This Row],[_IsSummary]],MIN(INDEX(Tasks[_LeafLateStart],Tasks[[#This Row],[_Row]]+1):INDEX(Tasks[_LeafLateStart],Tasks[[#This Row],[_Row]]+Tasks[[#This Row],[_Descendants]])),Tasks[[#This Row],[_LeafLateStart]]))</f>
        <v/>
      </c>
      <c r="AU36" s="63" t="str">
        <f aca="false">IF(Tasks[[#This Row],[Task Name]]="","",IF(Tasks[[#This Row],[_IsSummary]],MAX(INDEX(Tasks[_LeafLateFinish],Tasks[[#This Row],[_Row]]+1):INDEX(Tasks[_LeafLateFinish],Tasks[[#This Row],[_Row]]+Tasks[[#This Row],[_Descendants]])),Tasks[[#This Row],[_LeafLateFinish]]))</f>
        <v/>
      </c>
      <c r="AV36" s="47" t="str">
        <f aca="false">IF(Tasks[[#This Row],[Task Name]]="","",IF(Tasks[[#This Row],[_IsSummary]],MIN(INDEX(Tasks[_LeafTotalSlack],Tasks[[#This Row],[_Row]]+1):INDEX(Tasks[_LeafTotalSlack],Tasks[[#This Row],[_Row]]+Tasks[[#This Row],[_Descendants]])),Tasks[[#This Row],[_LeafTotalSlack]]))</f>
        <v/>
      </c>
      <c r="AW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5"/>
      <c r="BA3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1" t="str">
        <f aca="false">IF(Tasks[[#This Row],[Task Name]]="","",IF(Tasks[[#This Row],[_Level]]&lt;=OutlineShowLevel,"Yes","No"))</f>
        <v/>
      </c>
      <c r="BE36" s="86" t="str">
        <f aca="false">IF(Tasks[[#This Row],[Task Name]]="","",IF(Tasks[[#This Row],[_IsSummary]],SUM(INDEX(Tasks[_LeafTotalWork],Tasks[[#This Row],[_Row]]+1):INDEX(Tasks[_LeafTotalWork],Tasks[[#This Row],[_Row]]+Tasks[[#This Row],[_Descendants]])),Tasks[[#This Row],[_LeafTotalWork]]))</f>
        <v/>
      </c>
      <c r="BF36" s="23"/>
      <c r="BG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6" s="21" t="str">
        <f aca="false">""</f>
        <v/>
      </c>
      <c r="BI36" s="87"/>
      <c r="BJ36" s="22"/>
      <c r="BK36" s="47" t="str">
        <f aca="false">IF(OR(Tasks[[#This Row],[Task Name]]="",Tasks[[#This Row],[Baseline Duration]]=""),"",Tasks[[#This Row],[_SpanDays]]-N(Tasks[[#This Row],[Baseline Duration]]))</f>
        <v/>
      </c>
      <c r="BL36" s="86" t="str">
        <f aca="false">IF(OR(Tasks[[#This Row],[Task Name]]="",Tasks[[#This Row],[Baseline Work]]=""),"",Tasks[[#This Row],[Work]]-N(Tasks[[#This Row],[Baseline Work]]))</f>
        <v/>
      </c>
      <c r="BM36" s="63" t="str">
        <f aca="false">IF(Tasks[[#This Row],[Task Name]]="","",IF(OR(TakeBaseline="Yes",N(Tasks[[#This Row],[Baseline Start]])=0),Tasks[[#This Row],[Start]],Tasks[[#This Row],[Baseline Start]]))</f>
        <v/>
      </c>
      <c r="BN36" s="63" t="str">
        <f aca="false">IF(Tasks[[#This Row],[Task Name]]="","",IF(OR(TakeBaseline="Yes",N(Tasks[[#This Row],[Baseline Finish]])=0),Tasks[[#This Row],[Finish]],Tasks[[#This Row],[Baseline Finish]]))</f>
        <v/>
      </c>
      <c r="BO36" s="21" t="str">
        <f aca="false">IF(Tasks[[#This Row],[Task Name]]="","",IF(OR(TakeBaseline="Yes",N(Tasks[[#This Row],[Baseline Duration]])=0),Tasks[[#This Row],[_SpanDays]],Tasks[[#This Row],[Baseline Duration]]))</f>
        <v/>
      </c>
      <c r="BP36" s="86" t="str">
        <f aca="false">IF(Tasks[[#This Row],[Task Name]]="","",IF(OR(TakeBaseline="Yes",N(Tasks[[#This Row],[Baseline Work]])=0),Tasks[[#This Row],[Work]],Tasks[[#This Row],[Baseline Work]]))</f>
        <v/>
      </c>
      <c r="BQ36" s="7"/>
      <c r="BR36" s="7"/>
      <c r="BS36" s="22"/>
      <c r="BT36" s="88"/>
      <c r="BU36" s="23"/>
      <c r="BV36" s="23"/>
      <c r="BW36" s="23"/>
      <c r="BX36" s="89" t="str">
        <f aca="false">IF(AND(Tasks[[#This Row],[_IsLeaf]]=1,ISNUMBER(Tasks[[#This Row],[Optimistic]]),ISNUMBER(Tasks[[#This Row],[Pessimistic]])),ROUND((Tasks[[#This Row],[Optimistic]]+4*N(Tasks[[#This Row],[_Days]])+Tasks[[#This Row],[Pessimistic]])/6,1),"")</f>
        <v/>
      </c>
      <c r="BY36" s="87"/>
      <c r="BZ36" s="87"/>
      <c r="CA36" s="22"/>
      <c r="CB36" s="43" t="str">
        <f aca="false">IF(Tasks[[#This Row],[Task Name]]="","",MAX(1,N(Tasks[[#This Row],[Level]])))</f>
        <v/>
      </c>
      <c r="CC36" s="43" t="n">
        <f aca="false">ROW()-ROW(Tasks[[#Headers],[ID]])</f>
        <v>31</v>
      </c>
      <c r="CD36" s="43" t="n">
        <f aca="false">IF(OR(Tasks[[#This Row],[Task Name]]="",Tasks[[#This Row],[_Level]]&lt;=1),0,IFERROR(LOOKUP(2,1/(Tasks[[#Headers],[_Level]]:Tasks[[#This Row],[_Level]]=Tasks[[#This Row],[_Level]]-1),ROW(Tasks[[#Headers],[_Level]]:Tasks[[#This Row],[_Level]])),0))</f>
        <v>0</v>
      </c>
      <c r="CE36" s="43" t="n">
        <f aca="false">IFERROR(N(INDEX(Tasks[_Level],Tasks[[#This Row],[_Row]]+1)),0)</f>
        <v>0</v>
      </c>
      <c r="CF36" s="90" t="b">
        <f aca="false">AND(Tasks[[#This Row],[Task Name]]&lt;&gt;"",Tasks[[#This Row],[_NextLevel]]&gt;Tasks[[#This Row],[_Level]])</f>
        <v>0</v>
      </c>
      <c r="CG36" s="43" t="n">
        <f aca="false">IF(Tasks[[#This Row],[_IsSummary]],COUNTIF(Tasks[WBS],Tasks[[#This Row],[WBS]]&amp;".*"),0)</f>
        <v>0</v>
      </c>
      <c r="CH36" s="43" t="n">
        <f aca="false">IF(AND(Tasks[[#This Row],[Task Name]]&lt;&gt;"",NOT(Tasks[[#This Row],[_IsSummary]])),1,0)</f>
        <v>0</v>
      </c>
      <c r="CI36" s="43" t="n">
        <f aca="false">IF(N(Tasks[[#This Row],[_Pred1UID]])=0,0,IFERROR(MATCH(Tasks[[#This Row],[_Pred1UID]],Tasks[UID],0),-1))</f>
        <v>0</v>
      </c>
      <c r="CJ36" s="43" t="n">
        <f aca="false">IF(N(Tasks[[#This Row],[_Pred2UID]])=0,0,IFERROR(MATCH(Tasks[[#This Row],[_Pred2UID]],Tasks[UID],0),-1))</f>
        <v>0</v>
      </c>
      <c r="CK36" s="43" t="n">
        <f aca="false">IF(N(Tasks[[#This Row],[_Pred3UID]])=0,0,IFERROR(MATCH(Tasks[[#This Row],[_Pred3UID]],Tasks[UID],0),-1))</f>
        <v>0</v>
      </c>
      <c r="CL36" s="43" t="n">
        <f aca="false">IF(N(Tasks[[#This Row],[_Pred4UID]])=0,0,IFERROR(MATCH(Tasks[[#This Row],[_Pred4UID]],Tasks[UID],0),-1))</f>
        <v>0</v>
      </c>
      <c r="CM3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6" s="91" t="n">
        <f aca="false">IF(OR(Tasks[[#This Row],[_ConstraintCode]]=2,Tasks[[#This Row],[_ConstraintCode]]=3,Tasks[[#This Row],[_ConstraintCode]]=4,Tasks[[#This Row],[_ConstraintCode]]=6),Tasks[[#This Row],[_ConstraintStart]],0)</f>
        <v>0</v>
      </c>
      <c r="CP36" s="91" t="n">
        <f aca="false">IF(OR(Tasks[[#This Row],[_ConstraintCode]]=2,Tasks[[#This Row],[_ConstraintCode]]=3,Tasks[[#This Row],[_ConstraintCode]]=5,Tasks[[#This Row],[_ConstraintCode]]=7),Tasks[[#This Row],[_ConstraintStart]],2958465)</f>
        <v>2958465</v>
      </c>
      <c r="CQ3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6" s="91" t="str">
        <f aca="false">IF(NOT(Tasks[[#This Row],[_IsLeaf]]=1),"",IF(N(Tasks[[#This Row],[_Days]])&lt;=0,Tasks[[#This Row],[_LeafCalcStart]],WORKDAY.INTL(Tasks[[#This Row],[_LeafCalcStart]],Tasks[[#This Row],[_Days]]-1,WorkWeek,Holidays)))</f>
        <v/>
      </c>
      <c r="CS3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6" s="43" t="str">
        <f aca="false">IF(Tasks[[#This Row],[_Predecessors]]="","",TRIM(MID(SUBSTITUTE(SUBSTITUTE(SUBSTITUTE(UPPER(Tasks[[#This Row],[_Predecessors]]),";",",")," ",""),",",REPT(" ",99)),1,99)))</f>
        <v/>
      </c>
      <c r="CV36" s="43" t="str">
        <f aca="false">IF(Tasks[[#This Row],[_Pred1Text]]="","",IFERROR(VALUE(LEFT(Tasks[[#This Row],[_Pred1Text]],MIN(FIND("F",Tasks[[#This Row],[_Pred1Text]]&amp;"F"),FIND("S",Tasks[[#This Row],[_Pred1Text]]&amp;"S"),FIND("+",Tasks[[#This Row],[_Pred1Text]]&amp;"+"),FIND("-",Tasks[[#This Row],[_Pred1Text]]&amp;"-"))-1)),""))</f>
        <v/>
      </c>
      <c r="CW3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6" s="43" t="str">
        <f aca="false">IF(Tasks[[#This Row],[_Pred1Text]]="","",TRIM(MID(SUBSTITUTE(SUBSTITUTE(SUBSTITUTE(UPPER(Tasks[[#This Row],[_Predecessors]]),";",",")," ",""),",",REPT(" ",99)),100,99)))</f>
        <v/>
      </c>
      <c r="CZ36" s="43" t="str">
        <f aca="false">IF(Tasks[[#This Row],[_Pred2Text]]="","",IFERROR(VALUE(LEFT(Tasks[[#This Row],[_Pred2Text]],MIN(FIND("F",Tasks[[#This Row],[_Pred2Text]]&amp;"F"),FIND("S",Tasks[[#This Row],[_Pred2Text]]&amp;"S"),FIND("+",Tasks[[#This Row],[_Pred2Text]]&amp;"+"),FIND("-",Tasks[[#This Row],[_Pred2Text]]&amp;"-"))-1)),""))</f>
        <v/>
      </c>
      <c r="DA3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6" s="43" t="str">
        <f aca="false">IF(Tasks[[#This Row],[_Pred2Text]]="","",TRIM(MID(SUBSTITUTE(SUBSTITUTE(SUBSTITUTE(UPPER(Tasks[[#This Row],[_Predecessors]]),";",",")," ",""),",",REPT(" ",99)),199,99)))</f>
        <v/>
      </c>
      <c r="DD36" s="43" t="str">
        <f aca="false">IF(Tasks[[#This Row],[_Pred3Text]]="","",IFERROR(VALUE(LEFT(Tasks[[#This Row],[_Pred3Text]],MIN(FIND("F",Tasks[[#This Row],[_Pred3Text]]&amp;"F"),FIND("S",Tasks[[#This Row],[_Pred3Text]]&amp;"S"),FIND("+",Tasks[[#This Row],[_Pred3Text]]&amp;"+"),FIND("-",Tasks[[#This Row],[_Pred3Text]]&amp;"-"))-1)),""))</f>
        <v/>
      </c>
      <c r="DE3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6" s="43" t="str">
        <f aca="false">IF(Tasks[[#This Row],[_Pred3Text]]="","",TRIM(MID(SUBSTITUTE(SUBSTITUTE(SUBSTITUTE(UPPER(Tasks[[#This Row],[_Predecessors]]),";",",")," ",""),",",REPT(" ",99)),298,99)))</f>
        <v/>
      </c>
      <c r="DH36" s="43" t="str">
        <f aca="false">IF(Tasks[[#This Row],[_Pred4Text]]="","",IFERROR(VALUE(LEFT(Tasks[[#This Row],[_Pred4Text]],MIN(FIND("F",Tasks[[#This Row],[_Pred4Text]]&amp;"F"),FIND("S",Tasks[[#This Row],[_Pred4Text]]&amp;"S"),FIND("+",Tasks[[#This Row],[_Pred4Text]]&amp;"+"),FIND("-",Tasks[[#This Row],[_Pred4Text]]&amp;"-"))-1)),""))</f>
        <v/>
      </c>
      <c r="DI3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6" s="43" t="str">
        <f aca="false">IF(OR(Tasks[[#This Row],[Task Name]]="",Tasks[[#This Row],[_Resources]]=""),"",TRIM(MID(SUBSTITUTE(Tasks[[#This Row],[_Resources]],",",REPT(" ",99)),1,99)))</f>
        <v/>
      </c>
      <c r="DL36" s="43" t="str">
        <f aca="false">IF(Tasks[[#This Row],[_Res1Text]]="","",TRIM(MID(SUBSTITUTE(Tasks[[#This Row],[_Resources]],",",REPT(" ",99)),100,99)))</f>
        <v/>
      </c>
      <c r="DM36" s="43" t="str">
        <f aca="false">IF(Tasks[[#This Row],[_Res2Text]]="","",TRIM(MID(SUBSTITUTE(Tasks[[#This Row],[_Resources]],",",REPT(" ",99)),199,99)))</f>
        <v/>
      </c>
      <c r="DN36" s="43" t="str">
        <f aca="false">IF(Tasks[[#This Row],[_Res3Text]]="","",TRIM(MID(SUBSTITUTE(Tasks[[#This Row],[_Resources]],",",REPT(" ",99)),298,99)))</f>
        <v/>
      </c>
      <c r="DO36" s="43" t="n">
        <f aca="false">IF(Tasks[[#This Row],[_Res1Text]]="",0,IFERROR(MATCH(TRIM(LEFT(Tasks[[#This Row],[_Res1Text]],FIND("[",Tasks[[#This Row],[_Res1Text]]&amp;"[")-1)),res_Name,0),IFERROR(MATCH(TRIM(LEFT(Tasks[[#This Row],[_Res1Text]],FIND("[",Tasks[[#This Row],[_Res1Text]]&amp;"[")-1)),res_Initials,0),0)))</f>
        <v>0</v>
      </c>
      <c r="DP36" s="43" t="n">
        <f aca="false">IF(Tasks[[#This Row],[_Res2Text]]="",0,IFERROR(MATCH(TRIM(LEFT(Tasks[[#This Row],[_Res2Text]],FIND("[",Tasks[[#This Row],[_Res2Text]]&amp;"[")-1)),res_Name,0),IFERROR(MATCH(TRIM(LEFT(Tasks[[#This Row],[_Res2Text]],FIND("[",Tasks[[#This Row],[_Res2Text]]&amp;"[")-1)),res_Initials,0),0)))</f>
        <v>0</v>
      </c>
      <c r="DQ36" s="43" t="n">
        <f aca="false">IF(Tasks[[#This Row],[_Res3Text]]="",0,IFERROR(MATCH(TRIM(LEFT(Tasks[[#This Row],[_Res3Text]],FIND("[",Tasks[[#This Row],[_Res3Text]]&amp;"[")-1)),res_Name,0),IFERROR(MATCH(TRIM(LEFT(Tasks[[#This Row],[_Res3Text]],FIND("[",Tasks[[#This Row],[_Res3Text]]&amp;"[")-1)),res_Initials,0),0)))</f>
        <v>0</v>
      </c>
      <c r="DR36" s="43" t="n">
        <f aca="false">IF(Tasks[[#This Row],[_Res4Text]]="",0,IFERROR(MATCH(TRIM(LEFT(Tasks[[#This Row],[_Res4Text]],FIND("[",Tasks[[#This Row],[_Res4Text]]&amp;"[")-1)),res_Name,0),IFERROR(MATCH(TRIM(LEFT(Tasks[[#This Row],[_Res4Text]],FIND("[",Tasks[[#This Row],[_Res4Text]]&amp;"[")-1)),res_Initials,0),0)))</f>
        <v>0</v>
      </c>
      <c r="DS36" s="43" t="str">
        <f aca="false">IF(Tasks[[#This Row],[_Res1Text]]="","",IF(Tasks[[#This Row],[_Res1Row]]&gt;0,INDEX(res_Name,Tasks[[#This Row],[_Res1Row]]),TRIM(LEFT(Tasks[[#This Row],[_Res1Text]],FIND("[",Tasks[[#This Row],[_Res1Text]]&amp;"[")-1))))</f>
        <v/>
      </c>
      <c r="DT3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6" s="43" t="n">
        <f aca="false">IF(NOT(Tasks[[#This Row],[_IsLeaf]]=1),0,(Tasks[[#This Row],[_Resource1]]&lt;&gt;"")+(Tasks[[#This Row],[_Res2]]&lt;&gt;"")+(Tasks[[#This Row],[_Res3]]&lt;&gt;"")+(Tasks[[#This Row],[_Res4]]&lt;&gt;""))</f>
        <v>0</v>
      </c>
      <c r="DV36" s="43" t="str">
        <f aca="false">IF(Tasks[[#This Row],[_Res2Text]]="","",IF(Tasks[[#This Row],[_Res2Row]]&gt;0,INDEX(res_Name,Tasks[[#This Row],[_Res2Row]]),TRIM(LEFT(Tasks[[#This Row],[_Res2Text]],FIND("[",Tasks[[#This Row],[_Res2Text]]&amp;"[")-1))))</f>
        <v/>
      </c>
      <c r="DW3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6" s="43" t="n">
        <f aca="false">IF(OR(NOT(Tasks[[#This Row],[_IsLeaf]]=1),Tasks[[#This Row],[_Res2Row]]=0),0,N(Tasks[[#This Row],[_Days]])*HoursPerDay*IF(Tasks[[#This Row],[_Res2Units]]="",DefaultUnits,Tasks[[#This Row],[_Res2Units]]))</f>
        <v>0</v>
      </c>
      <c r="DY36" s="43" t="n">
        <f aca="false">IF(AND(AND(Tasks[[#This Row],[_IsLeaf]]=1,Tasks[[#This Row],[_LeafTotalWork]]&gt;0),Tasks[[#This Row],[_Res2Work]]&gt;0),Tasks[[#This Row],[_Res2Work]]/(Tasks[[#This Row],[_FinishWorkday]]-Tasks[[#This Row],[_StartWorkday]]+1),0)</f>
        <v>0</v>
      </c>
      <c r="DZ36" s="43" t="n">
        <f aca="false">Tasks[[#This Row],[_Res2WorkPerWD]]*MAX(0,Tasks[[#This Row],[_StartWorkday]]-1)</f>
        <v>0</v>
      </c>
      <c r="EA36" s="43" t="n">
        <f aca="false">Tasks[[#This Row],[_Res2Work]]*Tasks[[#This Row],[_LeafProgress]]</f>
        <v>0</v>
      </c>
      <c r="EB36" s="43" t="str">
        <f aca="false">IF(Tasks[[#This Row],[_Res3Text]]="","",IF(Tasks[[#This Row],[_Res3Row]]&gt;0,INDEX(res_Name,Tasks[[#This Row],[_Res3Row]]),TRIM(LEFT(Tasks[[#This Row],[_Res3Text]],FIND("[",Tasks[[#This Row],[_Res3Text]]&amp;"[")-1))))</f>
        <v/>
      </c>
      <c r="EC3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6" s="43" t="n">
        <f aca="false">IF(OR(NOT(Tasks[[#This Row],[_IsLeaf]]=1),Tasks[[#This Row],[_Res3Row]]=0),0,N(Tasks[[#This Row],[_Days]])*HoursPerDay*IF(Tasks[[#This Row],[_Res3Units]]="",DefaultUnits,Tasks[[#This Row],[_Res3Units]]))</f>
        <v>0</v>
      </c>
      <c r="EE36" s="43" t="n">
        <f aca="false">IF(AND(AND(Tasks[[#This Row],[_IsLeaf]]=1,Tasks[[#This Row],[_LeafTotalWork]]&gt;0),Tasks[[#This Row],[_Res3Work]]&gt;0),Tasks[[#This Row],[_Res3Work]]/(Tasks[[#This Row],[_FinishWorkday]]-Tasks[[#This Row],[_StartWorkday]]+1),0)</f>
        <v>0</v>
      </c>
      <c r="EF36" s="43" t="n">
        <f aca="false">Tasks[[#This Row],[_Res3WorkPerWD]]*MAX(0,Tasks[[#This Row],[_StartWorkday]]-1)</f>
        <v>0</v>
      </c>
      <c r="EG36" s="43" t="n">
        <f aca="false">Tasks[[#This Row],[_Res3Work]]*Tasks[[#This Row],[_LeafProgress]]</f>
        <v>0</v>
      </c>
      <c r="EH36" s="43" t="str">
        <f aca="false">IF(Tasks[[#This Row],[_Res4Text]]="","",IF(Tasks[[#This Row],[_Res4Row]]&gt;0,INDEX(res_Name,Tasks[[#This Row],[_Res4Row]]),TRIM(LEFT(Tasks[[#This Row],[_Res4Text]],FIND("[",Tasks[[#This Row],[_Res4Text]]&amp;"[")-1))))</f>
        <v/>
      </c>
      <c r="EI3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6" s="43" t="n">
        <f aca="false">IF(OR(NOT(Tasks[[#This Row],[_IsLeaf]]=1),Tasks[[#This Row],[_Res4Row]]=0),0,N(Tasks[[#This Row],[_Days]])*HoursPerDay*IF(Tasks[[#This Row],[_Res4Units]]="",DefaultUnits,Tasks[[#This Row],[_Res4Units]]))</f>
        <v>0</v>
      </c>
      <c r="EK36" s="43" t="n">
        <f aca="false">IF(AND(AND(Tasks[[#This Row],[_IsLeaf]]=1,Tasks[[#This Row],[_LeafTotalWork]]&gt;0),Tasks[[#This Row],[_Res4Work]]&gt;0),Tasks[[#This Row],[_Res4Work]]/(Tasks[[#This Row],[_FinishWorkday]]-Tasks[[#This Row],[_StartWorkday]]+1),0)</f>
        <v>0</v>
      </c>
      <c r="EL36" s="43" t="n">
        <f aca="false">Tasks[[#This Row],[_Res4WorkPerWD]]*MAX(0,Tasks[[#This Row],[_StartWorkday]]-1)</f>
        <v>0</v>
      </c>
      <c r="EM36" s="43" t="n">
        <f aca="false">Tasks[[#This Row],[_Res4Work]]*Tasks[[#This Row],[_LeafProgress]]</f>
        <v>0</v>
      </c>
      <c r="EN36" s="43" t="n">
        <f aca="false">IF(ISNUMBER(Tasks[[#This Row],[% Complete]]),Tasks[[#This Row],[% Complete]],IF(Tasks[[#This Row],[Stage]]="",0,IFERROR(INDEX(stg_Pct,MATCH(Tasks[[#This Row],[Stage]],stg_Name,0)),0)))</f>
        <v>0</v>
      </c>
      <c r="EO36" s="43" t="n">
        <f aca="false">IF(NOT(Tasks[[#This Row],[_IsLeaf]]=1),0,IF(N(Tasks[[#This Row],[Actual Finish]])&gt;0,1,MIN(1,Tasks[[#This Row],[_Pct]])))</f>
        <v>0</v>
      </c>
      <c r="EP36" s="43" t="n">
        <f aca="false">IF(OR(NOT(Tasks[[#This Row],[_IsLeaf]]=1),Tasks[[#This Row],[_Res1Row]]=0),0,N(Tasks[[#This Row],[_Days]])*HoursPerDay*IF(Tasks[[#This Row],[_Units1]]="",DefaultUnits,Tasks[[#This Row],[_Units1]]))</f>
        <v>0</v>
      </c>
      <c r="EQ36" s="43" t="n">
        <f aca="false">Tasks[[#This Row],[_LeafWork]]+Tasks[[#This Row],[_Res2Work]]+Tasks[[#This Row],[_Res3Work]]+Tasks[[#This Row],[_Res4Work]]</f>
        <v>0</v>
      </c>
      <c r="ER3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6" s="43" t="n">
        <f aca="false">IF(NOT(Tasks[[#This Row],[_IsLeaf]]=1),0,MAX(_xlfn.MAXIFS(Tasks[_Row],Tasks[_Pred1UID],Tasks[[#This Row],[UID]]),_xlfn.MAXIFS(Tasks[_Row],Tasks[_Pred2UID],Tasks[[#This Row],[UID]]),_xlfn.MAXIFS(Tasks[_Row],Tasks[_Pred3UID],Tasks[[#This Row],[UID]]),_xlfn.MAXIFS(Tasks[_Row],Tasks[_Pred4UID],Tasks[[#This Row],[UID]])))</f>
        <v>0</v>
      </c>
      <c r="FA3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6" s="91" t="str">
        <f aca="false">IF(NOT(Tasks[[#This Row],[_IsLeaf]]=1),"",IF(N(Tasks[[#This Row],[_Days]])&lt;=0,Tasks[[#This Row],[_LeafLateFinish]],WORKDAY.INTL(Tasks[[#This Row],[_LeafLateFinish]],-(Tasks[[#This Row],[_Days]]-1),WorkWeek,Holidays)))</f>
        <v/>
      </c>
      <c r="FD3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6" s="90" t="b">
        <f aca="false">AND(Tasks[[#This Row],[_IsLeaf]]=1,Tasks[[#This Row],[_LeafProgress]]&lt;1,N(Tasks[[#This Row],[_LeafTotalSlack]])&lt;=CriticalSlackDays)</f>
        <v>0</v>
      </c>
      <c r="FF36" s="43" t="n">
        <f aca="false">IF(AND(Tasks[[#This Row],[_IsLeaf]]=1,Tasks[[#This Row],[_ConstraintCode]]=1,Tasks[[#This Row],[Mode]]&lt;&gt;"Manual",N(Tasks[[#This Row],[Actual Start]])=0),MAX(0,N(Tasks[[#This Row],[Free Slack]])),0)</f>
        <v>0</v>
      </c>
      <c r="FG36" s="91" t="str">
        <f aca="false">IF(NOT(Tasks[[#This Row],[_IsLeaf]]=1),"",IF(Tasks[[#This Row],[_AlapShift]]=0,Tasks[[#This Row],[_LeafCalcStart]],WORKDAY.INTL(Tasks[[#This Row],[_LeafCalcStart]],Tasks[[#This Row],[_AlapShift]],WorkWeek,Holidays)))</f>
        <v/>
      </c>
      <c r="FH36" s="91" t="str">
        <f aca="false">IF(NOT(Tasks[[#This Row],[_IsLeaf]]=1),"",IF(Tasks[[#This Row],[_AlapShift]]=0,Tasks[[#This Row],[_LeafCalcFinish]],WORKDAY.INTL(Tasks[[#This Row],[_LeafCalcFinish]],Tasks[[#This Row],[_AlapShift]],WorkWeek,Holidays)))</f>
        <v/>
      </c>
      <c r="FI36" s="91" t="str">
        <f aca="false">IF(NOT(Tasks[[#This Row],[_IsLeaf]]=1),"",IF(Tasks[[#This Row],[_AlapShift]]=0,Tasks[[#This Row],[_LeafFcstStart]],WORKDAY.INTL(Tasks[[#This Row],[_LeafFcstStart]],Tasks[[#This Row],[_AlapShift]],WorkWeek,Holidays)))</f>
        <v/>
      </c>
      <c r="FJ36" s="91" t="str">
        <f aca="false">IF(NOT(Tasks[[#This Row],[_IsLeaf]]=1),"",IF(Tasks[[#This Row],[_AlapShift]]=0,Tasks[[#This Row],[_LeafFcstFinish]],WORKDAY.INTL(Tasks[[#This Row],[_LeafFcstFinish]],Tasks[[#This Row],[_AlapShift]],WorkWeek,Holidays)))</f>
        <v/>
      </c>
      <c r="FK36" s="91" t="str">
        <f aca="false">IF(Tasks[[#This Row],[Task Name]]="","",IF(Tasks[[#This Row],[_IsSummary]],MIN(INDEX(Tasks[_ShownCalcStart],Tasks[[#This Row],[_Row]]+1):INDEX(Tasks[_ShownCalcStart],Tasks[[#This Row],[_Row]]+Tasks[[#This Row],[_Descendants]])),Tasks[[#This Row],[_ShownCalcStart]]))</f>
        <v/>
      </c>
      <c r="FL36" s="91" t="str">
        <f aca="false">IF(Tasks[[#This Row],[Task Name]]="","",IF(Tasks[[#This Row],[_IsSummary]],MAX(INDEX(Tasks[_ShownCalcFinish],Tasks[[#This Row],[_Row]]+1):INDEX(Tasks[_ShownCalcFinish],Tasks[[#This Row],[_Row]]+Tasks[[#This Row],[_Descendants]])),Tasks[[#This Row],[_ShownCalcFinish]]))</f>
        <v/>
      </c>
      <c r="FM3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6" s="43" t="n">
        <f aca="false">IF(AND(Tasks[[#This Row],[_IsLeaf]]=1,Tasks[[#This Row],[_LeafTotalWork]]&gt;0),NETWORKDAYS.INTL(ProjectStart,Tasks[[#This Row],[_ShownFcstStart]],WorkWeek,Holidays),0)</f>
        <v>0</v>
      </c>
      <c r="FZ36" s="43" t="n">
        <f aca="false">IF(AND(Tasks[[#This Row],[_IsLeaf]]=1,Tasks[[#This Row],[_LeafTotalWork]]&gt;0),MAX(Tasks[[#This Row],[_StartWorkday]],NETWORKDAYS.INTL(ProjectStart,Tasks[[#This Row],[_ShownFcstFinish]],WorkWeek,Holidays)),0)</f>
        <v>0</v>
      </c>
      <c r="GA36" s="43" t="n">
        <f aca="false">IF(AND(Tasks[[#This Row],[_IsLeaf]]=1,Tasks[[#This Row],[_LeafTotalWork]]&gt;0),Tasks[[#This Row],[_LeafWork]]/(Tasks[[#This Row],[_FinishWorkday]]-Tasks[[#This Row],[_StartWorkday]]+1),0)</f>
        <v>0</v>
      </c>
      <c r="GB36" s="43" t="n">
        <f aca="false">Tasks[[#This Row],[_WorkPerWorkday]]*(Tasks[[#This Row],[_StartWorkday]]-1)</f>
        <v>-0</v>
      </c>
      <c r="GC36" s="43" t="n">
        <f aca="false">IF(Tasks[[#This Row],[_IsLeaf]]=1,MAX(N(Tasks[[#This Row],[_Days]]),0.1),0)</f>
        <v>0</v>
      </c>
      <c r="GD36" s="43" t="n">
        <f aca="false">Tasks[[#This Row],[_WeightDur]]*Tasks[[#This Row],[_LeafProgress]]</f>
        <v>0</v>
      </c>
      <c r="GE36" s="43" t="n">
        <f aca="false">Tasks[[#This Row],[_WeightDur]]*Tasks[[#This Row],[_PlannedPct]]</f>
        <v>0</v>
      </c>
      <c r="GF3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6" s="43" t="str">
        <f aca="false">IF(AND(Tasks[[#This Row],[_IsLeaf]]=1,N(Tasks[[#This Row],[_Days]])=0,Tasks[[#This Row],[_LeafProgress]]&lt;1),Tasks[[#This Row],[_ShownFcstFinish]]+Tasks[[#This Row],[_Row]]/100000,"")</f>
        <v/>
      </c>
      <c r="GH3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6" s="43" t="str">
        <f aca="false">IF(Tasks[[#This Row],[Task Name]]="","",LEFT(Tasks[[#This Row],[WBS]],FIND(".",Tasks[[#This Row],[WBS]]&amp;".")-1))</f>
        <v/>
      </c>
      <c r="GJ36" s="43" t="str">
        <f aca="false">IF(AND(Tasks[[#This Row],[Task Name]]&lt;&gt;"",Tasks[[#This Row],[_Level]]=1),Tasks[[#This Row],[_Row]],"")</f>
        <v/>
      </c>
      <c r="GK36" s="43" t="str">
        <f aca="false">IF(AND(Tasks[[#This Row],[_IsLeaf]]=1,N(Tasks[[#This Row],[_Days]])=0),Tasks[[#This Row],[Planned Finish]]+Tasks[[#This Row],[_Row]]/100000,"")</f>
        <v/>
      </c>
      <c r="GL36" s="43" t="str">
        <f aca="false">IF(AND(Tasks[[#This Row],[_IsLeaf]]=1,Tasks[[#This Row],[_LeafProgress]]&lt;1,OR(N(Tasks[[#This Row],[Finish Var]])&gt;0,Tasks[[#This Row],[Status]]="Late Start")),MAX(0,Tasks[[#This Row],[Finish Var]])+1-Tasks[[#This Row],[_Row]]/1000000,"")</f>
        <v/>
      </c>
      <c r="GM36" s="43" t="str">
        <f aca="false">IF(AND(Tasks[[#This Row],[_IsLeaf]]=1,N(Tasks[[#This Row],[Actual Start]])=0,Tasks[[#This Row],[_ShownFcstStart]]&gt;=StatusDate,Tasks[[#This Row],[_ShownFcstStart]]&lt;=LookaheadEnd),Tasks[[#This Row],[_ShownFcstStart]]+Tasks[[#This Row],[_Row]]/100000,"")</f>
        <v/>
      </c>
      <c r="GN36" s="43" t="str">
        <f aca="false">IF(AND(Tasks[[#This Row],[_IsLeaf]]=1,Tasks[[#This Row],[_LeafProgress]]&lt;1,Tasks[[#This Row],[_ShownFcstFinish]]&gt;=StatusDate,Tasks[[#This Row],[_ShownFcstFinish]]&lt;=LookaheadEnd),Tasks[[#This Row],[_ShownFcstFinish]]+Tasks[[#This Row],[_Row]]/100000,"")</f>
        <v/>
      </c>
      <c r="GO36" s="43" t="str">
        <f aca="false">IF(Tasks[[#This Row],[_LeafCritical]],Tasks[[#This Row],[_ShownFcstStart]]+Tasks[[#This Row],[_Row]]/100000,"")</f>
        <v/>
      </c>
      <c r="GP36" s="43" t="n">
        <f aca="false">Tasks[[#This Row],[_LeafWork]]*Tasks[[#This Row],[_LeafProgress]]</f>
        <v>0</v>
      </c>
      <c r="GQ36" s="91" t="str">
        <f aca="false">IF(AND(Tasks[[#This Row],[_IsLeaf]]=1,Tasks[[#This Row],[_LeafProgress]]&gt;=1),IF(N(Tasks[[#This Row],[Actual Finish]])&gt;0,Tasks[[#This Row],[Actual Finish]],Tasks[[#This Row],[_ShownFcstFinish]]),"")</f>
        <v/>
      </c>
      <c r="GR36" s="43" t="n">
        <f aca="false">IF(Tasks[[#This Row],[_IsLeaf]]=1,N(Tasks[[#This Row],[Story Points]]),0)</f>
        <v>0</v>
      </c>
      <c r="GS36" s="43" t="str">
        <f aca="false">""</f>
        <v/>
      </c>
      <c r="GT36" s="90" t="b">
        <f aca="false">IF(Tasks[[#This Row],[Task Name]]="",FALSE(),AND(Tasks[[#This Row],[_IsLeaf]]=1,N(Tasks[[#This Row],[_Days]])=0))</f>
        <v>0</v>
      </c>
      <c r="GU36" s="91" t="n">
        <f aca="false">IF(Tasks[[#This Row],[Task Name]]="",0,IF(AND(Tasks[[#This Row],[_IsLeaf]]=1,NOT(Tasks[[#This Row],[_IsMilestone]]),N(Tasks[[#This Row],[Progress]])&gt;0),Tasks[[#This Row],[Start]],0))</f>
        <v>0</v>
      </c>
      <c r="GV36" s="91" t="n">
        <f aca="false">IF(Tasks[[#This Row],[_DoneFrom]]=0,0,IF(Tasks[[#This Row],[Progress]]&gt;=1,Tasks[[#This Row],[Finish]],MAX(Tasks[[#This Row],[_DoneFrom]],Tasks[[#This Row],[Start]]+ROUND((Tasks[[#This Row],[Finish]]-Tasks[[#This Row],[Start]]+1)*Tasks[[#This Row],[Progress]],0)-1)))</f>
        <v>0</v>
      </c>
      <c r="GW36" s="91" t="n">
        <f aca="false">IF(Tasks[[#This Row],[Task Name]]="",0,IF(OR(NOT(Tasks[[#This Row],[_IsLeaf]]=1),Tasks[[#This Row],[_IsMilestone]],N(Tasks[[#This Row],[Progress]])&gt;=1),0,IF(Tasks[[#This Row],[_DoneTo]]&gt;0,Tasks[[#This Row],[_DoneTo]]+1,Tasks[[#This Row],[Start]])))</f>
        <v>0</v>
      </c>
      <c r="GX36" s="91" t="n">
        <f aca="false">IF(Tasks[[#This Row],[_RemFrom]]=0,0,Tasks[[#This Row],[Finish]])</f>
        <v>0</v>
      </c>
      <c r="GY36" s="90" t="b">
        <f aca="false">IF(Tasks[[#This Row],[Task Name]]="",FALSE(),OR(NOT(BaselineSet),N(Tasks[[#This Row],[Baseline Start]])&gt;0))</f>
        <v>0</v>
      </c>
      <c r="GZ3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6" s="92" t="str">
        <f aca="false">IF(Tasks[[#This Row],[_IsLeaf]]=1,Tasks[[#This Row],[_Row]],"")</f>
        <v/>
      </c>
      <c r="HD36" s="92" t="str">
        <f aca="false">IFERROR(INDEX(Tasks[UID],SMALL(Tasks[_PickKey],Tasks[[#This Row],[_Row]]))&amp;" "&amp;INDEX(Tasks[Task Name],SMALL(Tasks[_PickKey],Tasks[[#This Row],[_Row]])),"")</f>
        <v/>
      </c>
      <c r="HE36" s="43" t="str">
        <f aca="false">IF(Tasks[[#This Row],[Task Name]]="","",IF(Tasks[[#This Row],[_IsSummary]],NETWORKDAYS.INTL(Tasks[[#This Row],[Start]],Tasks[[#This Row],[Finish]],WorkWeek,Holidays),N(Tasks[[#This Row],[_Days]])))</f>
        <v/>
      </c>
      <c r="HF36" s="43" t="n">
        <f aca="false">IF(Tasks[[#This Row],[Expected]]="",0,((Tasks[[#This Row],[Pessimistic]]-Tasks[[#This Row],[Optimistic]])/6)^2)</f>
        <v>0</v>
      </c>
      <c r="HG36" s="43" t="n">
        <f aca="false">IF(Tasks[[#This Row],[Expected]]="",0,Tasks[[#This Row],[Expected]]-N(Tasks[[#This Row],[_Days]]))</f>
        <v>0</v>
      </c>
    </row>
    <row r="37" customFormat="false" ht="15" hidden="false" customHeight="false" outlineLevel="0" collapsed="false">
      <c r="A37" s="21" t="str">
        <f aca="false">IF(Tasks[[#This Row],[Task Name]]="","",COUNTA(Tasks[[#Headers],[Task Name]]:Tasks[[#This Row],[Task Name]])-1)</f>
        <v/>
      </c>
      <c r="B37" s="22" t="n">
        <v>45</v>
      </c>
      <c r="C37" s="22"/>
      <c r="D37" s="23"/>
      <c r="E37" s="22"/>
      <c r="F37" s="23"/>
      <c r="G37" s="22"/>
      <c r="H37" s="22"/>
      <c r="I37" s="23"/>
      <c r="J37" s="22"/>
      <c r="K37" s="22"/>
      <c r="L37" s="23"/>
      <c r="M37" s="22"/>
      <c r="N37" s="22"/>
      <c r="O37" s="23"/>
      <c r="P37" s="22"/>
      <c r="Q37" s="22"/>
      <c r="R37" s="23"/>
      <c r="S37" s="23"/>
      <c r="T37" s="84"/>
      <c r="U37" s="23"/>
      <c r="V37" s="84"/>
      <c r="W37" s="23"/>
      <c r="X37" s="84"/>
      <c r="Y37" s="23"/>
      <c r="Z37" s="84"/>
      <c r="AA37" s="23"/>
      <c r="AB37" s="23"/>
      <c r="AC37" s="7"/>
      <c r="AD37" s="7"/>
      <c r="AE37" s="63" t="str">
        <f aca="false">IF(Tasks[[#This Row],[Task Name]]="","",IF(Tasks[[#This Row],[_IsSummary]],MIN(INDEX(Tasks[_ShownFcstStart],Tasks[[#This Row],[_Row]]+1):INDEX(Tasks[_ShownFcstStart],Tasks[[#This Row],[_Row]]+Tasks[[#This Row],[_Descendants]])),Tasks[[#This Row],[_ShownFcstStart]]))</f>
        <v/>
      </c>
      <c r="AF37" s="63" t="str">
        <f aca="false">IF(Tasks[[#This Row],[Task Name]]="","",IF(Tasks[[#This Row],[_IsSummary]],MAX(INDEX(Tasks[_ShownFcstFinish],Tasks[[#This Row],[_Row]]+1):INDEX(Tasks[_ShownFcstFinish],Tasks[[#This Row],[_Row]]+Tasks[[#This Row],[_Descendants]])),Tasks[[#This Row],[_ShownFcstFinish]]))</f>
        <v/>
      </c>
      <c r="AG37" s="21" t="str">
        <f aca="false">""</f>
        <v/>
      </c>
      <c r="AH37" s="23"/>
      <c r="AI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7" s="7"/>
      <c r="AK37" s="22"/>
      <c r="AL37" s="23"/>
      <c r="AM37" s="7"/>
      <c r="AN37" s="47" t="str">
        <f aca="false">IF(Tasks[[#This Row],[Task Name]]="","",IF(Tasks[[#This Row],[Finish]]&gt;=Tasks[[#This Row],[Planned Finish]],NETWORKDAYS.INTL(Tasks[[#This Row],[Planned Finish]],Tasks[[#This Row],[Finish]],WorkWeek,Holidays)-1,1-NETWORKDAYS.INTL(Tasks[[#This Row],[Finish]],Tasks[[#This Row],[Planned Finish]],WorkWeek,Holidays)))</f>
        <v/>
      </c>
      <c r="AO37" s="21" t="str">
        <f aca="false">IF(Tasks[[#This Row],[Task Name]]="","",IF(Tasks[[#This Row],[Progress]]&gt;=1,"Complete",IF(OR(N(Tasks[[#This Row],[Actual Start]])&gt;0,Tasks[[#This Row],[Progress]]&gt;0),IF(Tasks[[#This Row],[Finish Var]]&gt;0,"Behind","In Progress"),IF(Tasks[[#This Row],[Planned Start]]&lt;StatusDate,"Late Start","Not Started"))))</f>
        <v/>
      </c>
      <c r="AP37" s="21" t="str">
        <f aca="false">IF(Tasks[[#This Row],[Task Name]]="","",IF(IF(Tasks[[#This Row],[_IsSummary]],COUNTIF(INDEX(Tasks[_LeafCritical],Tasks[[#This Row],[_Row]]+1):INDEX(Tasks[_LeafCritical],Tasks[[#This Row],[_Row]]+Tasks[[#This Row],[_Descendants]]),TRUE())&gt;0,Tasks[[#This Row],[_LeafCritical]]),"Yes",""))</f>
        <v/>
      </c>
      <c r="AQ37" s="63" t="str">
        <f aca="false">IF(Tasks[[#This Row],[Task Name]]="","",IF(N(Tasks[[#This Row],[Baseline Start]])&gt;0,Tasks[[#This Row],[Baseline Start]],Tasks[[#This Row],[_CalcStart]]))</f>
        <v/>
      </c>
      <c r="AR37" s="63" t="str">
        <f aca="false">IF(Tasks[[#This Row],[Task Name]]="","",IF(N(Tasks[[#This Row],[Baseline Finish]])&gt;0,Tasks[[#This Row],[Baseline Finish]],Tasks[[#This Row],[_CalcFinish]]))</f>
        <v/>
      </c>
      <c r="AS37" s="47" t="str">
        <f aca="false">IF(Tasks[[#This Row],[Task Name]]="","",IF(Tasks[[#This Row],[Start]]&gt;=Tasks[[#This Row],[Planned Start]],NETWORKDAYS.INTL(Tasks[[#This Row],[Planned Start]],Tasks[[#This Row],[Start]],WorkWeek,Holidays)-1,1-NETWORKDAYS.INTL(Tasks[[#This Row],[Start]],Tasks[[#This Row],[Planned Start]],WorkWeek,Holidays)))</f>
        <v/>
      </c>
      <c r="AT37" s="63" t="str">
        <f aca="false">IF(Tasks[[#This Row],[Task Name]]="","",IF(Tasks[[#This Row],[_IsSummary]],MIN(INDEX(Tasks[_LeafLateStart],Tasks[[#This Row],[_Row]]+1):INDEX(Tasks[_LeafLateStart],Tasks[[#This Row],[_Row]]+Tasks[[#This Row],[_Descendants]])),Tasks[[#This Row],[_LeafLateStart]]))</f>
        <v/>
      </c>
      <c r="AU37" s="63" t="str">
        <f aca="false">IF(Tasks[[#This Row],[Task Name]]="","",IF(Tasks[[#This Row],[_IsSummary]],MAX(INDEX(Tasks[_LeafLateFinish],Tasks[[#This Row],[_Row]]+1):INDEX(Tasks[_LeafLateFinish],Tasks[[#This Row],[_Row]]+Tasks[[#This Row],[_Descendants]])),Tasks[[#This Row],[_LeafLateFinish]]))</f>
        <v/>
      </c>
      <c r="AV37" s="47" t="str">
        <f aca="false">IF(Tasks[[#This Row],[Task Name]]="","",IF(Tasks[[#This Row],[_IsSummary]],MIN(INDEX(Tasks[_LeafTotalSlack],Tasks[[#This Row],[_Row]]+1):INDEX(Tasks[_LeafTotalSlack],Tasks[[#This Row],[_Row]]+Tasks[[#This Row],[_Descendants]])),Tasks[[#This Row],[_LeafTotalSlack]]))</f>
        <v/>
      </c>
      <c r="AW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5"/>
      <c r="BA3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1" t="str">
        <f aca="false">IF(Tasks[[#This Row],[Task Name]]="","",IF(Tasks[[#This Row],[_Level]]&lt;=OutlineShowLevel,"Yes","No"))</f>
        <v/>
      </c>
      <c r="BE37" s="86" t="str">
        <f aca="false">IF(Tasks[[#This Row],[Task Name]]="","",IF(Tasks[[#This Row],[_IsSummary]],SUM(INDEX(Tasks[_LeafTotalWork],Tasks[[#This Row],[_Row]]+1):INDEX(Tasks[_LeafTotalWork],Tasks[[#This Row],[_Row]]+Tasks[[#This Row],[_Descendants]])),Tasks[[#This Row],[_LeafTotalWork]]))</f>
        <v/>
      </c>
      <c r="BF37" s="23"/>
      <c r="BG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7" s="21" t="str">
        <f aca="false">""</f>
        <v/>
      </c>
      <c r="BI37" s="87"/>
      <c r="BJ37" s="22"/>
      <c r="BK37" s="47" t="str">
        <f aca="false">IF(OR(Tasks[[#This Row],[Task Name]]="",Tasks[[#This Row],[Baseline Duration]]=""),"",Tasks[[#This Row],[_SpanDays]]-N(Tasks[[#This Row],[Baseline Duration]]))</f>
        <v/>
      </c>
      <c r="BL37" s="86" t="str">
        <f aca="false">IF(OR(Tasks[[#This Row],[Task Name]]="",Tasks[[#This Row],[Baseline Work]]=""),"",Tasks[[#This Row],[Work]]-N(Tasks[[#This Row],[Baseline Work]]))</f>
        <v/>
      </c>
      <c r="BM37" s="63" t="str">
        <f aca="false">IF(Tasks[[#This Row],[Task Name]]="","",IF(OR(TakeBaseline="Yes",N(Tasks[[#This Row],[Baseline Start]])=0),Tasks[[#This Row],[Start]],Tasks[[#This Row],[Baseline Start]]))</f>
        <v/>
      </c>
      <c r="BN37" s="63" t="str">
        <f aca="false">IF(Tasks[[#This Row],[Task Name]]="","",IF(OR(TakeBaseline="Yes",N(Tasks[[#This Row],[Baseline Finish]])=0),Tasks[[#This Row],[Finish]],Tasks[[#This Row],[Baseline Finish]]))</f>
        <v/>
      </c>
      <c r="BO37" s="21" t="str">
        <f aca="false">IF(Tasks[[#This Row],[Task Name]]="","",IF(OR(TakeBaseline="Yes",N(Tasks[[#This Row],[Baseline Duration]])=0),Tasks[[#This Row],[_SpanDays]],Tasks[[#This Row],[Baseline Duration]]))</f>
        <v/>
      </c>
      <c r="BP37" s="86" t="str">
        <f aca="false">IF(Tasks[[#This Row],[Task Name]]="","",IF(OR(TakeBaseline="Yes",N(Tasks[[#This Row],[Baseline Work]])=0),Tasks[[#This Row],[Work]],Tasks[[#This Row],[Baseline Work]]))</f>
        <v/>
      </c>
      <c r="BQ37" s="7"/>
      <c r="BR37" s="7"/>
      <c r="BS37" s="22"/>
      <c r="BT37" s="88"/>
      <c r="BU37" s="23"/>
      <c r="BV37" s="23"/>
      <c r="BW37" s="23"/>
      <c r="BX37" s="89" t="str">
        <f aca="false">IF(AND(Tasks[[#This Row],[_IsLeaf]]=1,ISNUMBER(Tasks[[#This Row],[Optimistic]]),ISNUMBER(Tasks[[#This Row],[Pessimistic]])),ROUND((Tasks[[#This Row],[Optimistic]]+4*N(Tasks[[#This Row],[_Days]])+Tasks[[#This Row],[Pessimistic]])/6,1),"")</f>
        <v/>
      </c>
      <c r="BY37" s="87"/>
      <c r="BZ37" s="87"/>
      <c r="CA37" s="22"/>
      <c r="CB37" s="43" t="str">
        <f aca="false">IF(Tasks[[#This Row],[Task Name]]="","",MAX(1,N(Tasks[[#This Row],[Level]])))</f>
        <v/>
      </c>
      <c r="CC37" s="43" t="n">
        <f aca="false">ROW()-ROW(Tasks[[#Headers],[ID]])</f>
        <v>32</v>
      </c>
      <c r="CD37" s="43" t="n">
        <f aca="false">IF(OR(Tasks[[#This Row],[Task Name]]="",Tasks[[#This Row],[_Level]]&lt;=1),0,IFERROR(LOOKUP(2,1/(Tasks[[#Headers],[_Level]]:Tasks[[#This Row],[_Level]]=Tasks[[#This Row],[_Level]]-1),ROW(Tasks[[#Headers],[_Level]]:Tasks[[#This Row],[_Level]])),0))</f>
        <v>0</v>
      </c>
      <c r="CE37" s="43" t="n">
        <f aca="false">IFERROR(N(INDEX(Tasks[_Level],Tasks[[#This Row],[_Row]]+1)),0)</f>
        <v>0</v>
      </c>
      <c r="CF37" s="90" t="b">
        <f aca="false">AND(Tasks[[#This Row],[Task Name]]&lt;&gt;"",Tasks[[#This Row],[_NextLevel]]&gt;Tasks[[#This Row],[_Level]])</f>
        <v>0</v>
      </c>
      <c r="CG37" s="43" t="n">
        <f aca="false">IF(Tasks[[#This Row],[_IsSummary]],COUNTIF(Tasks[WBS],Tasks[[#This Row],[WBS]]&amp;".*"),0)</f>
        <v>0</v>
      </c>
      <c r="CH37" s="43" t="n">
        <f aca="false">IF(AND(Tasks[[#This Row],[Task Name]]&lt;&gt;"",NOT(Tasks[[#This Row],[_IsSummary]])),1,0)</f>
        <v>0</v>
      </c>
      <c r="CI37" s="43" t="n">
        <f aca="false">IF(N(Tasks[[#This Row],[_Pred1UID]])=0,0,IFERROR(MATCH(Tasks[[#This Row],[_Pred1UID]],Tasks[UID],0),-1))</f>
        <v>0</v>
      </c>
      <c r="CJ37" s="43" t="n">
        <f aca="false">IF(N(Tasks[[#This Row],[_Pred2UID]])=0,0,IFERROR(MATCH(Tasks[[#This Row],[_Pred2UID]],Tasks[UID],0),-1))</f>
        <v>0</v>
      </c>
      <c r="CK37" s="43" t="n">
        <f aca="false">IF(N(Tasks[[#This Row],[_Pred3UID]])=0,0,IFERROR(MATCH(Tasks[[#This Row],[_Pred3UID]],Tasks[UID],0),-1))</f>
        <v>0</v>
      </c>
      <c r="CL37" s="43" t="n">
        <f aca="false">IF(N(Tasks[[#This Row],[_Pred4UID]])=0,0,IFERROR(MATCH(Tasks[[#This Row],[_Pred4UID]],Tasks[UID],0),-1))</f>
        <v>0</v>
      </c>
      <c r="CM3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7" s="91" t="n">
        <f aca="false">IF(OR(Tasks[[#This Row],[_ConstraintCode]]=2,Tasks[[#This Row],[_ConstraintCode]]=3,Tasks[[#This Row],[_ConstraintCode]]=4,Tasks[[#This Row],[_ConstraintCode]]=6),Tasks[[#This Row],[_ConstraintStart]],0)</f>
        <v>0</v>
      </c>
      <c r="CP37" s="91" t="n">
        <f aca="false">IF(OR(Tasks[[#This Row],[_ConstraintCode]]=2,Tasks[[#This Row],[_ConstraintCode]]=3,Tasks[[#This Row],[_ConstraintCode]]=5,Tasks[[#This Row],[_ConstraintCode]]=7),Tasks[[#This Row],[_ConstraintStart]],2958465)</f>
        <v>2958465</v>
      </c>
      <c r="CQ3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7" s="91" t="str">
        <f aca="false">IF(NOT(Tasks[[#This Row],[_IsLeaf]]=1),"",IF(N(Tasks[[#This Row],[_Days]])&lt;=0,Tasks[[#This Row],[_LeafCalcStart]],WORKDAY.INTL(Tasks[[#This Row],[_LeafCalcStart]],Tasks[[#This Row],[_Days]]-1,WorkWeek,Holidays)))</f>
        <v/>
      </c>
      <c r="CS3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7" s="43" t="str">
        <f aca="false">IF(Tasks[[#This Row],[_Predecessors]]="","",TRIM(MID(SUBSTITUTE(SUBSTITUTE(SUBSTITUTE(UPPER(Tasks[[#This Row],[_Predecessors]]),";",",")," ",""),",",REPT(" ",99)),1,99)))</f>
        <v/>
      </c>
      <c r="CV37" s="43" t="str">
        <f aca="false">IF(Tasks[[#This Row],[_Pred1Text]]="","",IFERROR(VALUE(LEFT(Tasks[[#This Row],[_Pred1Text]],MIN(FIND("F",Tasks[[#This Row],[_Pred1Text]]&amp;"F"),FIND("S",Tasks[[#This Row],[_Pred1Text]]&amp;"S"),FIND("+",Tasks[[#This Row],[_Pred1Text]]&amp;"+"),FIND("-",Tasks[[#This Row],[_Pred1Text]]&amp;"-"))-1)),""))</f>
        <v/>
      </c>
      <c r="CW3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7" s="43" t="str">
        <f aca="false">IF(Tasks[[#This Row],[_Pred1Text]]="","",TRIM(MID(SUBSTITUTE(SUBSTITUTE(SUBSTITUTE(UPPER(Tasks[[#This Row],[_Predecessors]]),";",",")," ",""),",",REPT(" ",99)),100,99)))</f>
        <v/>
      </c>
      <c r="CZ37" s="43" t="str">
        <f aca="false">IF(Tasks[[#This Row],[_Pred2Text]]="","",IFERROR(VALUE(LEFT(Tasks[[#This Row],[_Pred2Text]],MIN(FIND("F",Tasks[[#This Row],[_Pred2Text]]&amp;"F"),FIND("S",Tasks[[#This Row],[_Pred2Text]]&amp;"S"),FIND("+",Tasks[[#This Row],[_Pred2Text]]&amp;"+"),FIND("-",Tasks[[#This Row],[_Pred2Text]]&amp;"-"))-1)),""))</f>
        <v/>
      </c>
      <c r="DA3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7" s="43" t="str">
        <f aca="false">IF(Tasks[[#This Row],[_Pred2Text]]="","",TRIM(MID(SUBSTITUTE(SUBSTITUTE(SUBSTITUTE(UPPER(Tasks[[#This Row],[_Predecessors]]),";",",")," ",""),",",REPT(" ",99)),199,99)))</f>
        <v/>
      </c>
      <c r="DD37" s="43" t="str">
        <f aca="false">IF(Tasks[[#This Row],[_Pred3Text]]="","",IFERROR(VALUE(LEFT(Tasks[[#This Row],[_Pred3Text]],MIN(FIND("F",Tasks[[#This Row],[_Pred3Text]]&amp;"F"),FIND("S",Tasks[[#This Row],[_Pred3Text]]&amp;"S"),FIND("+",Tasks[[#This Row],[_Pred3Text]]&amp;"+"),FIND("-",Tasks[[#This Row],[_Pred3Text]]&amp;"-"))-1)),""))</f>
        <v/>
      </c>
      <c r="DE3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7" s="43" t="str">
        <f aca="false">IF(Tasks[[#This Row],[_Pred3Text]]="","",TRIM(MID(SUBSTITUTE(SUBSTITUTE(SUBSTITUTE(UPPER(Tasks[[#This Row],[_Predecessors]]),";",",")," ",""),",",REPT(" ",99)),298,99)))</f>
        <v/>
      </c>
      <c r="DH37" s="43" t="str">
        <f aca="false">IF(Tasks[[#This Row],[_Pred4Text]]="","",IFERROR(VALUE(LEFT(Tasks[[#This Row],[_Pred4Text]],MIN(FIND("F",Tasks[[#This Row],[_Pred4Text]]&amp;"F"),FIND("S",Tasks[[#This Row],[_Pred4Text]]&amp;"S"),FIND("+",Tasks[[#This Row],[_Pred4Text]]&amp;"+"),FIND("-",Tasks[[#This Row],[_Pred4Text]]&amp;"-"))-1)),""))</f>
        <v/>
      </c>
      <c r="DI3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7" s="43" t="str">
        <f aca="false">IF(OR(Tasks[[#This Row],[Task Name]]="",Tasks[[#This Row],[_Resources]]=""),"",TRIM(MID(SUBSTITUTE(Tasks[[#This Row],[_Resources]],",",REPT(" ",99)),1,99)))</f>
        <v/>
      </c>
      <c r="DL37" s="43" t="str">
        <f aca="false">IF(Tasks[[#This Row],[_Res1Text]]="","",TRIM(MID(SUBSTITUTE(Tasks[[#This Row],[_Resources]],",",REPT(" ",99)),100,99)))</f>
        <v/>
      </c>
      <c r="DM37" s="43" t="str">
        <f aca="false">IF(Tasks[[#This Row],[_Res2Text]]="","",TRIM(MID(SUBSTITUTE(Tasks[[#This Row],[_Resources]],",",REPT(" ",99)),199,99)))</f>
        <v/>
      </c>
      <c r="DN37" s="43" t="str">
        <f aca="false">IF(Tasks[[#This Row],[_Res3Text]]="","",TRIM(MID(SUBSTITUTE(Tasks[[#This Row],[_Resources]],",",REPT(" ",99)),298,99)))</f>
        <v/>
      </c>
      <c r="DO37" s="43" t="n">
        <f aca="false">IF(Tasks[[#This Row],[_Res1Text]]="",0,IFERROR(MATCH(TRIM(LEFT(Tasks[[#This Row],[_Res1Text]],FIND("[",Tasks[[#This Row],[_Res1Text]]&amp;"[")-1)),res_Name,0),IFERROR(MATCH(TRIM(LEFT(Tasks[[#This Row],[_Res1Text]],FIND("[",Tasks[[#This Row],[_Res1Text]]&amp;"[")-1)),res_Initials,0),0)))</f>
        <v>0</v>
      </c>
      <c r="DP37" s="43" t="n">
        <f aca="false">IF(Tasks[[#This Row],[_Res2Text]]="",0,IFERROR(MATCH(TRIM(LEFT(Tasks[[#This Row],[_Res2Text]],FIND("[",Tasks[[#This Row],[_Res2Text]]&amp;"[")-1)),res_Name,0),IFERROR(MATCH(TRIM(LEFT(Tasks[[#This Row],[_Res2Text]],FIND("[",Tasks[[#This Row],[_Res2Text]]&amp;"[")-1)),res_Initials,0),0)))</f>
        <v>0</v>
      </c>
      <c r="DQ37" s="43" t="n">
        <f aca="false">IF(Tasks[[#This Row],[_Res3Text]]="",0,IFERROR(MATCH(TRIM(LEFT(Tasks[[#This Row],[_Res3Text]],FIND("[",Tasks[[#This Row],[_Res3Text]]&amp;"[")-1)),res_Name,0),IFERROR(MATCH(TRIM(LEFT(Tasks[[#This Row],[_Res3Text]],FIND("[",Tasks[[#This Row],[_Res3Text]]&amp;"[")-1)),res_Initials,0),0)))</f>
        <v>0</v>
      </c>
      <c r="DR37" s="43" t="n">
        <f aca="false">IF(Tasks[[#This Row],[_Res4Text]]="",0,IFERROR(MATCH(TRIM(LEFT(Tasks[[#This Row],[_Res4Text]],FIND("[",Tasks[[#This Row],[_Res4Text]]&amp;"[")-1)),res_Name,0),IFERROR(MATCH(TRIM(LEFT(Tasks[[#This Row],[_Res4Text]],FIND("[",Tasks[[#This Row],[_Res4Text]]&amp;"[")-1)),res_Initials,0),0)))</f>
        <v>0</v>
      </c>
      <c r="DS37" s="43" t="str">
        <f aca="false">IF(Tasks[[#This Row],[_Res1Text]]="","",IF(Tasks[[#This Row],[_Res1Row]]&gt;0,INDEX(res_Name,Tasks[[#This Row],[_Res1Row]]),TRIM(LEFT(Tasks[[#This Row],[_Res1Text]],FIND("[",Tasks[[#This Row],[_Res1Text]]&amp;"[")-1))))</f>
        <v/>
      </c>
      <c r="DT3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7" s="43" t="n">
        <f aca="false">IF(NOT(Tasks[[#This Row],[_IsLeaf]]=1),0,(Tasks[[#This Row],[_Resource1]]&lt;&gt;"")+(Tasks[[#This Row],[_Res2]]&lt;&gt;"")+(Tasks[[#This Row],[_Res3]]&lt;&gt;"")+(Tasks[[#This Row],[_Res4]]&lt;&gt;""))</f>
        <v>0</v>
      </c>
      <c r="DV37" s="43" t="str">
        <f aca="false">IF(Tasks[[#This Row],[_Res2Text]]="","",IF(Tasks[[#This Row],[_Res2Row]]&gt;0,INDEX(res_Name,Tasks[[#This Row],[_Res2Row]]),TRIM(LEFT(Tasks[[#This Row],[_Res2Text]],FIND("[",Tasks[[#This Row],[_Res2Text]]&amp;"[")-1))))</f>
        <v/>
      </c>
      <c r="DW3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7" s="43" t="n">
        <f aca="false">IF(OR(NOT(Tasks[[#This Row],[_IsLeaf]]=1),Tasks[[#This Row],[_Res2Row]]=0),0,N(Tasks[[#This Row],[_Days]])*HoursPerDay*IF(Tasks[[#This Row],[_Res2Units]]="",DefaultUnits,Tasks[[#This Row],[_Res2Units]]))</f>
        <v>0</v>
      </c>
      <c r="DY37" s="43" t="n">
        <f aca="false">IF(AND(AND(Tasks[[#This Row],[_IsLeaf]]=1,Tasks[[#This Row],[_LeafTotalWork]]&gt;0),Tasks[[#This Row],[_Res2Work]]&gt;0),Tasks[[#This Row],[_Res2Work]]/(Tasks[[#This Row],[_FinishWorkday]]-Tasks[[#This Row],[_StartWorkday]]+1),0)</f>
        <v>0</v>
      </c>
      <c r="DZ37" s="43" t="n">
        <f aca="false">Tasks[[#This Row],[_Res2WorkPerWD]]*MAX(0,Tasks[[#This Row],[_StartWorkday]]-1)</f>
        <v>0</v>
      </c>
      <c r="EA37" s="43" t="n">
        <f aca="false">Tasks[[#This Row],[_Res2Work]]*Tasks[[#This Row],[_LeafProgress]]</f>
        <v>0</v>
      </c>
      <c r="EB37" s="43" t="str">
        <f aca="false">IF(Tasks[[#This Row],[_Res3Text]]="","",IF(Tasks[[#This Row],[_Res3Row]]&gt;0,INDEX(res_Name,Tasks[[#This Row],[_Res3Row]]),TRIM(LEFT(Tasks[[#This Row],[_Res3Text]],FIND("[",Tasks[[#This Row],[_Res3Text]]&amp;"[")-1))))</f>
        <v/>
      </c>
      <c r="EC3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7" s="43" t="n">
        <f aca="false">IF(OR(NOT(Tasks[[#This Row],[_IsLeaf]]=1),Tasks[[#This Row],[_Res3Row]]=0),0,N(Tasks[[#This Row],[_Days]])*HoursPerDay*IF(Tasks[[#This Row],[_Res3Units]]="",DefaultUnits,Tasks[[#This Row],[_Res3Units]]))</f>
        <v>0</v>
      </c>
      <c r="EE37" s="43" t="n">
        <f aca="false">IF(AND(AND(Tasks[[#This Row],[_IsLeaf]]=1,Tasks[[#This Row],[_LeafTotalWork]]&gt;0),Tasks[[#This Row],[_Res3Work]]&gt;0),Tasks[[#This Row],[_Res3Work]]/(Tasks[[#This Row],[_FinishWorkday]]-Tasks[[#This Row],[_StartWorkday]]+1),0)</f>
        <v>0</v>
      </c>
      <c r="EF37" s="43" t="n">
        <f aca="false">Tasks[[#This Row],[_Res3WorkPerWD]]*MAX(0,Tasks[[#This Row],[_StartWorkday]]-1)</f>
        <v>0</v>
      </c>
      <c r="EG37" s="43" t="n">
        <f aca="false">Tasks[[#This Row],[_Res3Work]]*Tasks[[#This Row],[_LeafProgress]]</f>
        <v>0</v>
      </c>
      <c r="EH37" s="43" t="str">
        <f aca="false">IF(Tasks[[#This Row],[_Res4Text]]="","",IF(Tasks[[#This Row],[_Res4Row]]&gt;0,INDEX(res_Name,Tasks[[#This Row],[_Res4Row]]),TRIM(LEFT(Tasks[[#This Row],[_Res4Text]],FIND("[",Tasks[[#This Row],[_Res4Text]]&amp;"[")-1))))</f>
        <v/>
      </c>
      <c r="EI3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7" s="43" t="n">
        <f aca="false">IF(OR(NOT(Tasks[[#This Row],[_IsLeaf]]=1),Tasks[[#This Row],[_Res4Row]]=0),0,N(Tasks[[#This Row],[_Days]])*HoursPerDay*IF(Tasks[[#This Row],[_Res4Units]]="",DefaultUnits,Tasks[[#This Row],[_Res4Units]]))</f>
        <v>0</v>
      </c>
      <c r="EK37" s="43" t="n">
        <f aca="false">IF(AND(AND(Tasks[[#This Row],[_IsLeaf]]=1,Tasks[[#This Row],[_LeafTotalWork]]&gt;0),Tasks[[#This Row],[_Res4Work]]&gt;0),Tasks[[#This Row],[_Res4Work]]/(Tasks[[#This Row],[_FinishWorkday]]-Tasks[[#This Row],[_StartWorkday]]+1),0)</f>
        <v>0</v>
      </c>
      <c r="EL37" s="43" t="n">
        <f aca="false">Tasks[[#This Row],[_Res4WorkPerWD]]*MAX(0,Tasks[[#This Row],[_StartWorkday]]-1)</f>
        <v>0</v>
      </c>
      <c r="EM37" s="43" t="n">
        <f aca="false">Tasks[[#This Row],[_Res4Work]]*Tasks[[#This Row],[_LeafProgress]]</f>
        <v>0</v>
      </c>
      <c r="EN37" s="43" t="n">
        <f aca="false">IF(ISNUMBER(Tasks[[#This Row],[% Complete]]),Tasks[[#This Row],[% Complete]],IF(Tasks[[#This Row],[Stage]]="",0,IFERROR(INDEX(stg_Pct,MATCH(Tasks[[#This Row],[Stage]],stg_Name,0)),0)))</f>
        <v>0</v>
      </c>
      <c r="EO37" s="43" t="n">
        <f aca="false">IF(NOT(Tasks[[#This Row],[_IsLeaf]]=1),0,IF(N(Tasks[[#This Row],[Actual Finish]])&gt;0,1,MIN(1,Tasks[[#This Row],[_Pct]])))</f>
        <v>0</v>
      </c>
      <c r="EP37" s="43" t="n">
        <f aca="false">IF(OR(NOT(Tasks[[#This Row],[_IsLeaf]]=1),Tasks[[#This Row],[_Res1Row]]=0),0,N(Tasks[[#This Row],[_Days]])*HoursPerDay*IF(Tasks[[#This Row],[_Units1]]="",DefaultUnits,Tasks[[#This Row],[_Units1]]))</f>
        <v>0</v>
      </c>
      <c r="EQ37" s="43" t="n">
        <f aca="false">Tasks[[#This Row],[_LeafWork]]+Tasks[[#This Row],[_Res2Work]]+Tasks[[#This Row],[_Res3Work]]+Tasks[[#This Row],[_Res4Work]]</f>
        <v>0</v>
      </c>
      <c r="ER3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7" s="43" t="n">
        <f aca="false">IF(NOT(Tasks[[#This Row],[_IsLeaf]]=1),0,MAX(_xlfn.MAXIFS(Tasks[_Row],Tasks[_Pred1UID],Tasks[[#This Row],[UID]]),_xlfn.MAXIFS(Tasks[_Row],Tasks[_Pred2UID],Tasks[[#This Row],[UID]]),_xlfn.MAXIFS(Tasks[_Row],Tasks[_Pred3UID],Tasks[[#This Row],[UID]]),_xlfn.MAXIFS(Tasks[_Row],Tasks[_Pred4UID],Tasks[[#This Row],[UID]])))</f>
        <v>0</v>
      </c>
      <c r="FA3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7" s="91" t="str">
        <f aca="false">IF(NOT(Tasks[[#This Row],[_IsLeaf]]=1),"",IF(N(Tasks[[#This Row],[_Days]])&lt;=0,Tasks[[#This Row],[_LeafLateFinish]],WORKDAY.INTL(Tasks[[#This Row],[_LeafLateFinish]],-(Tasks[[#This Row],[_Days]]-1),WorkWeek,Holidays)))</f>
        <v/>
      </c>
      <c r="FD3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7" s="90" t="b">
        <f aca="false">AND(Tasks[[#This Row],[_IsLeaf]]=1,Tasks[[#This Row],[_LeafProgress]]&lt;1,N(Tasks[[#This Row],[_LeafTotalSlack]])&lt;=CriticalSlackDays)</f>
        <v>0</v>
      </c>
      <c r="FF37" s="43" t="n">
        <f aca="false">IF(AND(Tasks[[#This Row],[_IsLeaf]]=1,Tasks[[#This Row],[_ConstraintCode]]=1,Tasks[[#This Row],[Mode]]&lt;&gt;"Manual",N(Tasks[[#This Row],[Actual Start]])=0),MAX(0,N(Tasks[[#This Row],[Free Slack]])),0)</f>
        <v>0</v>
      </c>
      <c r="FG37" s="91" t="str">
        <f aca="false">IF(NOT(Tasks[[#This Row],[_IsLeaf]]=1),"",IF(Tasks[[#This Row],[_AlapShift]]=0,Tasks[[#This Row],[_LeafCalcStart]],WORKDAY.INTL(Tasks[[#This Row],[_LeafCalcStart]],Tasks[[#This Row],[_AlapShift]],WorkWeek,Holidays)))</f>
        <v/>
      </c>
      <c r="FH37" s="91" t="str">
        <f aca="false">IF(NOT(Tasks[[#This Row],[_IsLeaf]]=1),"",IF(Tasks[[#This Row],[_AlapShift]]=0,Tasks[[#This Row],[_LeafCalcFinish]],WORKDAY.INTL(Tasks[[#This Row],[_LeafCalcFinish]],Tasks[[#This Row],[_AlapShift]],WorkWeek,Holidays)))</f>
        <v/>
      </c>
      <c r="FI37" s="91" t="str">
        <f aca="false">IF(NOT(Tasks[[#This Row],[_IsLeaf]]=1),"",IF(Tasks[[#This Row],[_AlapShift]]=0,Tasks[[#This Row],[_LeafFcstStart]],WORKDAY.INTL(Tasks[[#This Row],[_LeafFcstStart]],Tasks[[#This Row],[_AlapShift]],WorkWeek,Holidays)))</f>
        <v/>
      </c>
      <c r="FJ37" s="91" t="str">
        <f aca="false">IF(NOT(Tasks[[#This Row],[_IsLeaf]]=1),"",IF(Tasks[[#This Row],[_AlapShift]]=0,Tasks[[#This Row],[_LeafFcstFinish]],WORKDAY.INTL(Tasks[[#This Row],[_LeafFcstFinish]],Tasks[[#This Row],[_AlapShift]],WorkWeek,Holidays)))</f>
        <v/>
      </c>
      <c r="FK37" s="91" t="str">
        <f aca="false">IF(Tasks[[#This Row],[Task Name]]="","",IF(Tasks[[#This Row],[_IsSummary]],MIN(INDEX(Tasks[_ShownCalcStart],Tasks[[#This Row],[_Row]]+1):INDEX(Tasks[_ShownCalcStart],Tasks[[#This Row],[_Row]]+Tasks[[#This Row],[_Descendants]])),Tasks[[#This Row],[_ShownCalcStart]]))</f>
        <v/>
      </c>
      <c r="FL37" s="91" t="str">
        <f aca="false">IF(Tasks[[#This Row],[Task Name]]="","",IF(Tasks[[#This Row],[_IsSummary]],MAX(INDEX(Tasks[_ShownCalcFinish],Tasks[[#This Row],[_Row]]+1):INDEX(Tasks[_ShownCalcFinish],Tasks[[#This Row],[_Row]]+Tasks[[#This Row],[_Descendants]])),Tasks[[#This Row],[_ShownCalcFinish]]))</f>
        <v/>
      </c>
      <c r="FM3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7" s="43" t="n">
        <f aca="false">IF(AND(Tasks[[#This Row],[_IsLeaf]]=1,Tasks[[#This Row],[_LeafTotalWork]]&gt;0),NETWORKDAYS.INTL(ProjectStart,Tasks[[#This Row],[_ShownFcstStart]],WorkWeek,Holidays),0)</f>
        <v>0</v>
      </c>
      <c r="FZ37" s="43" t="n">
        <f aca="false">IF(AND(Tasks[[#This Row],[_IsLeaf]]=1,Tasks[[#This Row],[_LeafTotalWork]]&gt;0),MAX(Tasks[[#This Row],[_StartWorkday]],NETWORKDAYS.INTL(ProjectStart,Tasks[[#This Row],[_ShownFcstFinish]],WorkWeek,Holidays)),0)</f>
        <v>0</v>
      </c>
      <c r="GA37" s="43" t="n">
        <f aca="false">IF(AND(Tasks[[#This Row],[_IsLeaf]]=1,Tasks[[#This Row],[_LeafTotalWork]]&gt;0),Tasks[[#This Row],[_LeafWork]]/(Tasks[[#This Row],[_FinishWorkday]]-Tasks[[#This Row],[_StartWorkday]]+1),0)</f>
        <v>0</v>
      </c>
      <c r="GB37" s="43" t="n">
        <f aca="false">Tasks[[#This Row],[_WorkPerWorkday]]*(Tasks[[#This Row],[_StartWorkday]]-1)</f>
        <v>-0</v>
      </c>
      <c r="GC37" s="43" t="n">
        <f aca="false">IF(Tasks[[#This Row],[_IsLeaf]]=1,MAX(N(Tasks[[#This Row],[_Days]]),0.1),0)</f>
        <v>0</v>
      </c>
      <c r="GD37" s="43" t="n">
        <f aca="false">Tasks[[#This Row],[_WeightDur]]*Tasks[[#This Row],[_LeafProgress]]</f>
        <v>0</v>
      </c>
      <c r="GE37" s="43" t="n">
        <f aca="false">Tasks[[#This Row],[_WeightDur]]*Tasks[[#This Row],[_PlannedPct]]</f>
        <v>0</v>
      </c>
      <c r="GF3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7" s="43" t="str">
        <f aca="false">IF(AND(Tasks[[#This Row],[_IsLeaf]]=1,N(Tasks[[#This Row],[_Days]])=0,Tasks[[#This Row],[_LeafProgress]]&lt;1),Tasks[[#This Row],[_ShownFcstFinish]]+Tasks[[#This Row],[_Row]]/100000,"")</f>
        <v/>
      </c>
      <c r="GH3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7" s="43" t="str">
        <f aca="false">IF(Tasks[[#This Row],[Task Name]]="","",LEFT(Tasks[[#This Row],[WBS]],FIND(".",Tasks[[#This Row],[WBS]]&amp;".")-1))</f>
        <v/>
      </c>
      <c r="GJ37" s="43" t="str">
        <f aca="false">IF(AND(Tasks[[#This Row],[Task Name]]&lt;&gt;"",Tasks[[#This Row],[_Level]]=1),Tasks[[#This Row],[_Row]],"")</f>
        <v/>
      </c>
      <c r="GK37" s="43" t="str">
        <f aca="false">IF(AND(Tasks[[#This Row],[_IsLeaf]]=1,N(Tasks[[#This Row],[_Days]])=0),Tasks[[#This Row],[Planned Finish]]+Tasks[[#This Row],[_Row]]/100000,"")</f>
        <v/>
      </c>
      <c r="GL37" s="43" t="str">
        <f aca="false">IF(AND(Tasks[[#This Row],[_IsLeaf]]=1,Tasks[[#This Row],[_LeafProgress]]&lt;1,OR(N(Tasks[[#This Row],[Finish Var]])&gt;0,Tasks[[#This Row],[Status]]="Late Start")),MAX(0,Tasks[[#This Row],[Finish Var]])+1-Tasks[[#This Row],[_Row]]/1000000,"")</f>
        <v/>
      </c>
      <c r="GM37" s="43" t="str">
        <f aca="false">IF(AND(Tasks[[#This Row],[_IsLeaf]]=1,N(Tasks[[#This Row],[Actual Start]])=0,Tasks[[#This Row],[_ShownFcstStart]]&gt;=StatusDate,Tasks[[#This Row],[_ShownFcstStart]]&lt;=LookaheadEnd),Tasks[[#This Row],[_ShownFcstStart]]+Tasks[[#This Row],[_Row]]/100000,"")</f>
        <v/>
      </c>
      <c r="GN37" s="43" t="str">
        <f aca="false">IF(AND(Tasks[[#This Row],[_IsLeaf]]=1,Tasks[[#This Row],[_LeafProgress]]&lt;1,Tasks[[#This Row],[_ShownFcstFinish]]&gt;=StatusDate,Tasks[[#This Row],[_ShownFcstFinish]]&lt;=LookaheadEnd),Tasks[[#This Row],[_ShownFcstFinish]]+Tasks[[#This Row],[_Row]]/100000,"")</f>
        <v/>
      </c>
      <c r="GO37" s="43" t="str">
        <f aca="false">IF(Tasks[[#This Row],[_LeafCritical]],Tasks[[#This Row],[_ShownFcstStart]]+Tasks[[#This Row],[_Row]]/100000,"")</f>
        <v/>
      </c>
      <c r="GP37" s="43" t="n">
        <f aca="false">Tasks[[#This Row],[_LeafWork]]*Tasks[[#This Row],[_LeafProgress]]</f>
        <v>0</v>
      </c>
      <c r="GQ37" s="91" t="str">
        <f aca="false">IF(AND(Tasks[[#This Row],[_IsLeaf]]=1,Tasks[[#This Row],[_LeafProgress]]&gt;=1),IF(N(Tasks[[#This Row],[Actual Finish]])&gt;0,Tasks[[#This Row],[Actual Finish]],Tasks[[#This Row],[_ShownFcstFinish]]),"")</f>
        <v/>
      </c>
      <c r="GR37" s="43" t="n">
        <f aca="false">IF(Tasks[[#This Row],[_IsLeaf]]=1,N(Tasks[[#This Row],[Story Points]]),0)</f>
        <v>0</v>
      </c>
      <c r="GS37" s="43" t="str">
        <f aca="false">""</f>
        <v/>
      </c>
      <c r="GT37" s="90" t="b">
        <f aca="false">IF(Tasks[[#This Row],[Task Name]]="",FALSE(),AND(Tasks[[#This Row],[_IsLeaf]]=1,N(Tasks[[#This Row],[_Days]])=0))</f>
        <v>0</v>
      </c>
      <c r="GU37" s="91" t="n">
        <f aca="false">IF(Tasks[[#This Row],[Task Name]]="",0,IF(AND(Tasks[[#This Row],[_IsLeaf]]=1,NOT(Tasks[[#This Row],[_IsMilestone]]),N(Tasks[[#This Row],[Progress]])&gt;0),Tasks[[#This Row],[Start]],0))</f>
        <v>0</v>
      </c>
      <c r="GV37" s="91" t="n">
        <f aca="false">IF(Tasks[[#This Row],[_DoneFrom]]=0,0,IF(Tasks[[#This Row],[Progress]]&gt;=1,Tasks[[#This Row],[Finish]],MAX(Tasks[[#This Row],[_DoneFrom]],Tasks[[#This Row],[Start]]+ROUND((Tasks[[#This Row],[Finish]]-Tasks[[#This Row],[Start]]+1)*Tasks[[#This Row],[Progress]],0)-1)))</f>
        <v>0</v>
      </c>
      <c r="GW37" s="91" t="n">
        <f aca="false">IF(Tasks[[#This Row],[Task Name]]="",0,IF(OR(NOT(Tasks[[#This Row],[_IsLeaf]]=1),Tasks[[#This Row],[_IsMilestone]],N(Tasks[[#This Row],[Progress]])&gt;=1),0,IF(Tasks[[#This Row],[_DoneTo]]&gt;0,Tasks[[#This Row],[_DoneTo]]+1,Tasks[[#This Row],[Start]])))</f>
        <v>0</v>
      </c>
      <c r="GX37" s="91" t="n">
        <f aca="false">IF(Tasks[[#This Row],[_RemFrom]]=0,0,Tasks[[#This Row],[Finish]])</f>
        <v>0</v>
      </c>
      <c r="GY37" s="90" t="b">
        <f aca="false">IF(Tasks[[#This Row],[Task Name]]="",FALSE(),OR(NOT(BaselineSet),N(Tasks[[#This Row],[Baseline Start]])&gt;0))</f>
        <v>0</v>
      </c>
      <c r="GZ3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7" s="92" t="str">
        <f aca="false">IF(Tasks[[#This Row],[_IsLeaf]]=1,Tasks[[#This Row],[_Row]],"")</f>
        <v/>
      </c>
      <c r="HD37" s="92" t="str">
        <f aca="false">IFERROR(INDEX(Tasks[UID],SMALL(Tasks[_PickKey],Tasks[[#This Row],[_Row]]))&amp;" "&amp;INDEX(Tasks[Task Name],SMALL(Tasks[_PickKey],Tasks[[#This Row],[_Row]])),"")</f>
        <v/>
      </c>
      <c r="HE37" s="43" t="str">
        <f aca="false">IF(Tasks[[#This Row],[Task Name]]="","",IF(Tasks[[#This Row],[_IsSummary]],NETWORKDAYS.INTL(Tasks[[#This Row],[Start]],Tasks[[#This Row],[Finish]],WorkWeek,Holidays),N(Tasks[[#This Row],[_Days]])))</f>
        <v/>
      </c>
      <c r="HF37" s="43" t="n">
        <f aca="false">IF(Tasks[[#This Row],[Expected]]="",0,((Tasks[[#This Row],[Pessimistic]]-Tasks[[#This Row],[Optimistic]])/6)^2)</f>
        <v>0</v>
      </c>
      <c r="HG37" s="43" t="n">
        <f aca="false">IF(Tasks[[#This Row],[Expected]]="",0,Tasks[[#This Row],[Expected]]-N(Tasks[[#This Row],[_Days]]))</f>
        <v>0</v>
      </c>
    </row>
    <row r="38" customFormat="false" ht="15" hidden="false" customHeight="false" outlineLevel="0" collapsed="false">
      <c r="A38" s="21" t="str">
        <f aca="false">IF(Tasks[[#This Row],[Task Name]]="","",COUNTA(Tasks[[#Headers],[Task Name]]:Tasks[[#This Row],[Task Name]])-1)</f>
        <v/>
      </c>
      <c r="B38" s="22" t="n">
        <v>46</v>
      </c>
      <c r="C38" s="22"/>
      <c r="D38" s="23"/>
      <c r="E38" s="22"/>
      <c r="F38" s="23"/>
      <c r="G38" s="22"/>
      <c r="H38" s="22"/>
      <c r="I38" s="23"/>
      <c r="J38" s="22"/>
      <c r="K38" s="22"/>
      <c r="L38" s="23"/>
      <c r="M38" s="22"/>
      <c r="N38" s="22"/>
      <c r="O38" s="23"/>
      <c r="P38" s="22"/>
      <c r="Q38" s="22"/>
      <c r="R38" s="23"/>
      <c r="S38" s="23"/>
      <c r="T38" s="84"/>
      <c r="U38" s="23"/>
      <c r="V38" s="84"/>
      <c r="W38" s="23"/>
      <c r="X38" s="84"/>
      <c r="Y38" s="23"/>
      <c r="Z38" s="84"/>
      <c r="AA38" s="23"/>
      <c r="AB38" s="23"/>
      <c r="AC38" s="7"/>
      <c r="AD38" s="7"/>
      <c r="AE38" s="63" t="str">
        <f aca="false">IF(Tasks[[#This Row],[Task Name]]="","",IF(Tasks[[#This Row],[_IsSummary]],MIN(INDEX(Tasks[_ShownFcstStart],Tasks[[#This Row],[_Row]]+1):INDEX(Tasks[_ShownFcstStart],Tasks[[#This Row],[_Row]]+Tasks[[#This Row],[_Descendants]])),Tasks[[#This Row],[_ShownFcstStart]]))</f>
        <v/>
      </c>
      <c r="AF38" s="63" t="str">
        <f aca="false">IF(Tasks[[#This Row],[Task Name]]="","",IF(Tasks[[#This Row],[_IsSummary]],MAX(INDEX(Tasks[_ShownFcstFinish],Tasks[[#This Row],[_Row]]+1):INDEX(Tasks[_ShownFcstFinish],Tasks[[#This Row],[_Row]]+Tasks[[#This Row],[_Descendants]])),Tasks[[#This Row],[_ShownFcstFinish]]))</f>
        <v/>
      </c>
      <c r="AG38" s="21" t="str">
        <f aca="false">""</f>
        <v/>
      </c>
      <c r="AH38" s="23"/>
      <c r="AI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8" s="7"/>
      <c r="AK38" s="22"/>
      <c r="AL38" s="23"/>
      <c r="AM38" s="7"/>
      <c r="AN38" s="47" t="str">
        <f aca="false">IF(Tasks[[#This Row],[Task Name]]="","",IF(Tasks[[#This Row],[Finish]]&gt;=Tasks[[#This Row],[Planned Finish]],NETWORKDAYS.INTL(Tasks[[#This Row],[Planned Finish]],Tasks[[#This Row],[Finish]],WorkWeek,Holidays)-1,1-NETWORKDAYS.INTL(Tasks[[#This Row],[Finish]],Tasks[[#This Row],[Planned Finish]],WorkWeek,Holidays)))</f>
        <v/>
      </c>
      <c r="AO38" s="21" t="str">
        <f aca="false">IF(Tasks[[#This Row],[Task Name]]="","",IF(Tasks[[#This Row],[Progress]]&gt;=1,"Complete",IF(OR(N(Tasks[[#This Row],[Actual Start]])&gt;0,Tasks[[#This Row],[Progress]]&gt;0),IF(Tasks[[#This Row],[Finish Var]]&gt;0,"Behind","In Progress"),IF(Tasks[[#This Row],[Planned Start]]&lt;StatusDate,"Late Start","Not Started"))))</f>
        <v/>
      </c>
      <c r="AP38" s="21" t="str">
        <f aca="false">IF(Tasks[[#This Row],[Task Name]]="","",IF(IF(Tasks[[#This Row],[_IsSummary]],COUNTIF(INDEX(Tasks[_LeafCritical],Tasks[[#This Row],[_Row]]+1):INDEX(Tasks[_LeafCritical],Tasks[[#This Row],[_Row]]+Tasks[[#This Row],[_Descendants]]),TRUE())&gt;0,Tasks[[#This Row],[_LeafCritical]]),"Yes",""))</f>
        <v/>
      </c>
      <c r="AQ38" s="63" t="str">
        <f aca="false">IF(Tasks[[#This Row],[Task Name]]="","",IF(N(Tasks[[#This Row],[Baseline Start]])&gt;0,Tasks[[#This Row],[Baseline Start]],Tasks[[#This Row],[_CalcStart]]))</f>
        <v/>
      </c>
      <c r="AR38" s="63" t="str">
        <f aca="false">IF(Tasks[[#This Row],[Task Name]]="","",IF(N(Tasks[[#This Row],[Baseline Finish]])&gt;0,Tasks[[#This Row],[Baseline Finish]],Tasks[[#This Row],[_CalcFinish]]))</f>
        <v/>
      </c>
      <c r="AS38" s="47" t="str">
        <f aca="false">IF(Tasks[[#This Row],[Task Name]]="","",IF(Tasks[[#This Row],[Start]]&gt;=Tasks[[#This Row],[Planned Start]],NETWORKDAYS.INTL(Tasks[[#This Row],[Planned Start]],Tasks[[#This Row],[Start]],WorkWeek,Holidays)-1,1-NETWORKDAYS.INTL(Tasks[[#This Row],[Start]],Tasks[[#This Row],[Planned Start]],WorkWeek,Holidays)))</f>
        <v/>
      </c>
      <c r="AT38" s="63" t="str">
        <f aca="false">IF(Tasks[[#This Row],[Task Name]]="","",IF(Tasks[[#This Row],[_IsSummary]],MIN(INDEX(Tasks[_LeafLateStart],Tasks[[#This Row],[_Row]]+1):INDEX(Tasks[_LeafLateStart],Tasks[[#This Row],[_Row]]+Tasks[[#This Row],[_Descendants]])),Tasks[[#This Row],[_LeafLateStart]]))</f>
        <v/>
      </c>
      <c r="AU38" s="63" t="str">
        <f aca="false">IF(Tasks[[#This Row],[Task Name]]="","",IF(Tasks[[#This Row],[_IsSummary]],MAX(INDEX(Tasks[_LeafLateFinish],Tasks[[#This Row],[_Row]]+1):INDEX(Tasks[_LeafLateFinish],Tasks[[#This Row],[_Row]]+Tasks[[#This Row],[_Descendants]])),Tasks[[#This Row],[_LeafLateFinish]]))</f>
        <v/>
      </c>
      <c r="AV38" s="47" t="str">
        <f aca="false">IF(Tasks[[#This Row],[Task Name]]="","",IF(Tasks[[#This Row],[_IsSummary]],MIN(INDEX(Tasks[_LeafTotalSlack],Tasks[[#This Row],[_Row]]+1):INDEX(Tasks[_LeafTotalSlack],Tasks[[#This Row],[_Row]]+Tasks[[#This Row],[_Descendants]])),Tasks[[#This Row],[_LeafTotalSlack]]))</f>
        <v/>
      </c>
      <c r="AW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5"/>
      <c r="BA3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1" t="str">
        <f aca="false">IF(Tasks[[#This Row],[Task Name]]="","",IF(Tasks[[#This Row],[_Level]]&lt;=OutlineShowLevel,"Yes","No"))</f>
        <v/>
      </c>
      <c r="BE38" s="86" t="str">
        <f aca="false">IF(Tasks[[#This Row],[Task Name]]="","",IF(Tasks[[#This Row],[_IsSummary]],SUM(INDEX(Tasks[_LeafTotalWork],Tasks[[#This Row],[_Row]]+1):INDEX(Tasks[_LeafTotalWork],Tasks[[#This Row],[_Row]]+Tasks[[#This Row],[_Descendants]])),Tasks[[#This Row],[_LeafTotalWork]]))</f>
        <v/>
      </c>
      <c r="BF38" s="23"/>
      <c r="BG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8" s="21" t="str">
        <f aca="false">""</f>
        <v/>
      </c>
      <c r="BI38" s="87"/>
      <c r="BJ38" s="22"/>
      <c r="BK38" s="47" t="str">
        <f aca="false">IF(OR(Tasks[[#This Row],[Task Name]]="",Tasks[[#This Row],[Baseline Duration]]=""),"",Tasks[[#This Row],[_SpanDays]]-N(Tasks[[#This Row],[Baseline Duration]]))</f>
        <v/>
      </c>
      <c r="BL38" s="86" t="str">
        <f aca="false">IF(OR(Tasks[[#This Row],[Task Name]]="",Tasks[[#This Row],[Baseline Work]]=""),"",Tasks[[#This Row],[Work]]-N(Tasks[[#This Row],[Baseline Work]]))</f>
        <v/>
      </c>
      <c r="BM38" s="63" t="str">
        <f aca="false">IF(Tasks[[#This Row],[Task Name]]="","",IF(OR(TakeBaseline="Yes",N(Tasks[[#This Row],[Baseline Start]])=0),Tasks[[#This Row],[Start]],Tasks[[#This Row],[Baseline Start]]))</f>
        <v/>
      </c>
      <c r="BN38" s="63" t="str">
        <f aca="false">IF(Tasks[[#This Row],[Task Name]]="","",IF(OR(TakeBaseline="Yes",N(Tasks[[#This Row],[Baseline Finish]])=0),Tasks[[#This Row],[Finish]],Tasks[[#This Row],[Baseline Finish]]))</f>
        <v/>
      </c>
      <c r="BO38" s="21" t="str">
        <f aca="false">IF(Tasks[[#This Row],[Task Name]]="","",IF(OR(TakeBaseline="Yes",N(Tasks[[#This Row],[Baseline Duration]])=0),Tasks[[#This Row],[_SpanDays]],Tasks[[#This Row],[Baseline Duration]]))</f>
        <v/>
      </c>
      <c r="BP38" s="86" t="str">
        <f aca="false">IF(Tasks[[#This Row],[Task Name]]="","",IF(OR(TakeBaseline="Yes",N(Tasks[[#This Row],[Baseline Work]])=0),Tasks[[#This Row],[Work]],Tasks[[#This Row],[Baseline Work]]))</f>
        <v/>
      </c>
      <c r="BQ38" s="7"/>
      <c r="BR38" s="7"/>
      <c r="BS38" s="22"/>
      <c r="BT38" s="88"/>
      <c r="BU38" s="23"/>
      <c r="BV38" s="23"/>
      <c r="BW38" s="23"/>
      <c r="BX38" s="89" t="str">
        <f aca="false">IF(AND(Tasks[[#This Row],[_IsLeaf]]=1,ISNUMBER(Tasks[[#This Row],[Optimistic]]),ISNUMBER(Tasks[[#This Row],[Pessimistic]])),ROUND((Tasks[[#This Row],[Optimistic]]+4*N(Tasks[[#This Row],[_Days]])+Tasks[[#This Row],[Pessimistic]])/6,1),"")</f>
        <v/>
      </c>
      <c r="BY38" s="87"/>
      <c r="BZ38" s="87"/>
      <c r="CA38" s="22"/>
      <c r="CB38" s="43" t="str">
        <f aca="false">IF(Tasks[[#This Row],[Task Name]]="","",MAX(1,N(Tasks[[#This Row],[Level]])))</f>
        <v/>
      </c>
      <c r="CC38" s="43" t="n">
        <f aca="false">ROW()-ROW(Tasks[[#Headers],[ID]])</f>
        <v>33</v>
      </c>
      <c r="CD38" s="43" t="n">
        <f aca="false">IF(OR(Tasks[[#This Row],[Task Name]]="",Tasks[[#This Row],[_Level]]&lt;=1),0,IFERROR(LOOKUP(2,1/(Tasks[[#Headers],[_Level]]:Tasks[[#This Row],[_Level]]=Tasks[[#This Row],[_Level]]-1),ROW(Tasks[[#Headers],[_Level]]:Tasks[[#This Row],[_Level]])),0))</f>
        <v>0</v>
      </c>
      <c r="CE38" s="43" t="n">
        <f aca="false">IFERROR(N(INDEX(Tasks[_Level],Tasks[[#This Row],[_Row]]+1)),0)</f>
        <v>0</v>
      </c>
      <c r="CF38" s="90" t="b">
        <f aca="false">AND(Tasks[[#This Row],[Task Name]]&lt;&gt;"",Tasks[[#This Row],[_NextLevel]]&gt;Tasks[[#This Row],[_Level]])</f>
        <v>0</v>
      </c>
      <c r="CG38" s="43" t="n">
        <f aca="false">IF(Tasks[[#This Row],[_IsSummary]],COUNTIF(Tasks[WBS],Tasks[[#This Row],[WBS]]&amp;".*"),0)</f>
        <v>0</v>
      </c>
      <c r="CH38" s="43" t="n">
        <f aca="false">IF(AND(Tasks[[#This Row],[Task Name]]&lt;&gt;"",NOT(Tasks[[#This Row],[_IsSummary]])),1,0)</f>
        <v>0</v>
      </c>
      <c r="CI38" s="43" t="n">
        <f aca="false">IF(N(Tasks[[#This Row],[_Pred1UID]])=0,0,IFERROR(MATCH(Tasks[[#This Row],[_Pred1UID]],Tasks[UID],0),-1))</f>
        <v>0</v>
      </c>
      <c r="CJ38" s="43" t="n">
        <f aca="false">IF(N(Tasks[[#This Row],[_Pred2UID]])=0,0,IFERROR(MATCH(Tasks[[#This Row],[_Pred2UID]],Tasks[UID],0),-1))</f>
        <v>0</v>
      </c>
      <c r="CK38" s="43" t="n">
        <f aca="false">IF(N(Tasks[[#This Row],[_Pred3UID]])=0,0,IFERROR(MATCH(Tasks[[#This Row],[_Pred3UID]],Tasks[UID],0),-1))</f>
        <v>0</v>
      </c>
      <c r="CL38" s="43" t="n">
        <f aca="false">IF(N(Tasks[[#This Row],[_Pred4UID]])=0,0,IFERROR(MATCH(Tasks[[#This Row],[_Pred4UID]],Tasks[UID],0),-1))</f>
        <v>0</v>
      </c>
      <c r="CM3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8" s="91" t="n">
        <f aca="false">IF(OR(Tasks[[#This Row],[_ConstraintCode]]=2,Tasks[[#This Row],[_ConstraintCode]]=3,Tasks[[#This Row],[_ConstraintCode]]=4,Tasks[[#This Row],[_ConstraintCode]]=6),Tasks[[#This Row],[_ConstraintStart]],0)</f>
        <v>0</v>
      </c>
      <c r="CP38" s="91" t="n">
        <f aca="false">IF(OR(Tasks[[#This Row],[_ConstraintCode]]=2,Tasks[[#This Row],[_ConstraintCode]]=3,Tasks[[#This Row],[_ConstraintCode]]=5,Tasks[[#This Row],[_ConstraintCode]]=7),Tasks[[#This Row],[_ConstraintStart]],2958465)</f>
        <v>2958465</v>
      </c>
      <c r="CQ3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8" s="91" t="str">
        <f aca="false">IF(NOT(Tasks[[#This Row],[_IsLeaf]]=1),"",IF(N(Tasks[[#This Row],[_Days]])&lt;=0,Tasks[[#This Row],[_LeafCalcStart]],WORKDAY.INTL(Tasks[[#This Row],[_LeafCalcStart]],Tasks[[#This Row],[_Days]]-1,WorkWeek,Holidays)))</f>
        <v/>
      </c>
      <c r="CS3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8" s="43" t="str">
        <f aca="false">IF(Tasks[[#This Row],[_Predecessors]]="","",TRIM(MID(SUBSTITUTE(SUBSTITUTE(SUBSTITUTE(UPPER(Tasks[[#This Row],[_Predecessors]]),";",",")," ",""),",",REPT(" ",99)),1,99)))</f>
        <v/>
      </c>
      <c r="CV38" s="43" t="str">
        <f aca="false">IF(Tasks[[#This Row],[_Pred1Text]]="","",IFERROR(VALUE(LEFT(Tasks[[#This Row],[_Pred1Text]],MIN(FIND("F",Tasks[[#This Row],[_Pred1Text]]&amp;"F"),FIND("S",Tasks[[#This Row],[_Pred1Text]]&amp;"S"),FIND("+",Tasks[[#This Row],[_Pred1Text]]&amp;"+"),FIND("-",Tasks[[#This Row],[_Pred1Text]]&amp;"-"))-1)),""))</f>
        <v/>
      </c>
      <c r="CW3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8" s="43" t="str">
        <f aca="false">IF(Tasks[[#This Row],[_Pred1Text]]="","",TRIM(MID(SUBSTITUTE(SUBSTITUTE(SUBSTITUTE(UPPER(Tasks[[#This Row],[_Predecessors]]),";",",")," ",""),",",REPT(" ",99)),100,99)))</f>
        <v/>
      </c>
      <c r="CZ38" s="43" t="str">
        <f aca="false">IF(Tasks[[#This Row],[_Pred2Text]]="","",IFERROR(VALUE(LEFT(Tasks[[#This Row],[_Pred2Text]],MIN(FIND("F",Tasks[[#This Row],[_Pred2Text]]&amp;"F"),FIND("S",Tasks[[#This Row],[_Pred2Text]]&amp;"S"),FIND("+",Tasks[[#This Row],[_Pred2Text]]&amp;"+"),FIND("-",Tasks[[#This Row],[_Pred2Text]]&amp;"-"))-1)),""))</f>
        <v/>
      </c>
      <c r="DA3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8" s="43" t="str">
        <f aca="false">IF(Tasks[[#This Row],[_Pred2Text]]="","",TRIM(MID(SUBSTITUTE(SUBSTITUTE(SUBSTITUTE(UPPER(Tasks[[#This Row],[_Predecessors]]),";",",")," ",""),",",REPT(" ",99)),199,99)))</f>
        <v/>
      </c>
      <c r="DD38" s="43" t="str">
        <f aca="false">IF(Tasks[[#This Row],[_Pred3Text]]="","",IFERROR(VALUE(LEFT(Tasks[[#This Row],[_Pred3Text]],MIN(FIND("F",Tasks[[#This Row],[_Pred3Text]]&amp;"F"),FIND("S",Tasks[[#This Row],[_Pred3Text]]&amp;"S"),FIND("+",Tasks[[#This Row],[_Pred3Text]]&amp;"+"),FIND("-",Tasks[[#This Row],[_Pred3Text]]&amp;"-"))-1)),""))</f>
        <v/>
      </c>
      <c r="DE3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8" s="43" t="str">
        <f aca="false">IF(Tasks[[#This Row],[_Pred3Text]]="","",TRIM(MID(SUBSTITUTE(SUBSTITUTE(SUBSTITUTE(UPPER(Tasks[[#This Row],[_Predecessors]]),";",",")," ",""),",",REPT(" ",99)),298,99)))</f>
        <v/>
      </c>
      <c r="DH38" s="43" t="str">
        <f aca="false">IF(Tasks[[#This Row],[_Pred4Text]]="","",IFERROR(VALUE(LEFT(Tasks[[#This Row],[_Pred4Text]],MIN(FIND("F",Tasks[[#This Row],[_Pred4Text]]&amp;"F"),FIND("S",Tasks[[#This Row],[_Pred4Text]]&amp;"S"),FIND("+",Tasks[[#This Row],[_Pred4Text]]&amp;"+"),FIND("-",Tasks[[#This Row],[_Pred4Text]]&amp;"-"))-1)),""))</f>
        <v/>
      </c>
      <c r="DI3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8" s="43" t="str">
        <f aca="false">IF(OR(Tasks[[#This Row],[Task Name]]="",Tasks[[#This Row],[_Resources]]=""),"",TRIM(MID(SUBSTITUTE(Tasks[[#This Row],[_Resources]],",",REPT(" ",99)),1,99)))</f>
        <v/>
      </c>
      <c r="DL38" s="43" t="str">
        <f aca="false">IF(Tasks[[#This Row],[_Res1Text]]="","",TRIM(MID(SUBSTITUTE(Tasks[[#This Row],[_Resources]],",",REPT(" ",99)),100,99)))</f>
        <v/>
      </c>
      <c r="DM38" s="43" t="str">
        <f aca="false">IF(Tasks[[#This Row],[_Res2Text]]="","",TRIM(MID(SUBSTITUTE(Tasks[[#This Row],[_Resources]],",",REPT(" ",99)),199,99)))</f>
        <v/>
      </c>
      <c r="DN38" s="43" t="str">
        <f aca="false">IF(Tasks[[#This Row],[_Res3Text]]="","",TRIM(MID(SUBSTITUTE(Tasks[[#This Row],[_Resources]],",",REPT(" ",99)),298,99)))</f>
        <v/>
      </c>
      <c r="DO38" s="43" t="n">
        <f aca="false">IF(Tasks[[#This Row],[_Res1Text]]="",0,IFERROR(MATCH(TRIM(LEFT(Tasks[[#This Row],[_Res1Text]],FIND("[",Tasks[[#This Row],[_Res1Text]]&amp;"[")-1)),res_Name,0),IFERROR(MATCH(TRIM(LEFT(Tasks[[#This Row],[_Res1Text]],FIND("[",Tasks[[#This Row],[_Res1Text]]&amp;"[")-1)),res_Initials,0),0)))</f>
        <v>0</v>
      </c>
      <c r="DP38" s="43" t="n">
        <f aca="false">IF(Tasks[[#This Row],[_Res2Text]]="",0,IFERROR(MATCH(TRIM(LEFT(Tasks[[#This Row],[_Res2Text]],FIND("[",Tasks[[#This Row],[_Res2Text]]&amp;"[")-1)),res_Name,0),IFERROR(MATCH(TRIM(LEFT(Tasks[[#This Row],[_Res2Text]],FIND("[",Tasks[[#This Row],[_Res2Text]]&amp;"[")-1)),res_Initials,0),0)))</f>
        <v>0</v>
      </c>
      <c r="DQ38" s="43" t="n">
        <f aca="false">IF(Tasks[[#This Row],[_Res3Text]]="",0,IFERROR(MATCH(TRIM(LEFT(Tasks[[#This Row],[_Res3Text]],FIND("[",Tasks[[#This Row],[_Res3Text]]&amp;"[")-1)),res_Name,0),IFERROR(MATCH(TRIM(LEFT(Tasks[[#This Row],[_Res3Text]],FIND("[",Tasks[[#This Row],[_Res3Text]]&amp;"[")-1)),res_Initials,0),0)))</f>
        <v>0</v>
      </c>
      <c r="DR38" s="43" t="n">
        <f aca="false">IF(Tasks[[#This Row],[_Res4Text]]="",0,IFERROR(MATCH(TRIM(LEFT(Tasks[[#This Row],[_Res4Text]],FIND("[",Tasks[[#This Row],[_Res4Text]]&amp;"[")-1)),res_Name,0),IFERROR(MATCH(TRIM(LEFT(Tasks[[#This Row],[_Res4Text]],FIND("[",Tasks[[#This Row],[_Res4Text]]&amp;"[")-1)),res_Initials,0),0)))</f>
        <v>0</v>
      </c>
      <c r="DS38" s="43" t="str">
        <f aca="false">IF(Tasks[[#This Row],[_Res1Text]]="","",IF(Tasks[[#This Row],[_Res1Row]]&gt;0,INDEX(res_Name,Tasks[[#This Row],[_Res1Row]]),TRIM(LEFT(Tasks[[#This Row],[_Res1Text]],FIND("[",Tasks[[#This Row],[_Res1Text]]&amp;"[")-1))))</f>
        <v/>
      </c>
      <c r="DT3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8" s="43" t="n">
        <f aca="false">IF(NOT(Tasks[[#This Row],[_IsLeaf]]=1),0,(Tasks[[#This Row],[_Resource1]]&lt;&gt;"")+(Tasks[[#This Row],[_Res2]]&lt;&gt;"")+(Tasks[[#This Row],[_Res3]]&lt;&gt;"")+(Tasks[[#This Row],[_Res4]]&lt;&gt;""))</f>
        <v>0</v>
      </c>
      <c r="DV38" s="43" t="str">
        <f aca="false">IF(Tasks[[#This Row],[_Res2Text]]="","",IF(Tasks[[#This Row],[_Res2Row]]&gt;0,INDEX(res_Name,Tasks[[#This Row],[_Res2Row]]),TRIM(LEFT(Tasks[[#This Row],[_Res2Text]],FIND("[",Tasks[[#This Row],[_Res2Text]]&amp;"[")-1))))</f>
        <v/>
      </c>
      <c r="DW3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8" s="43" t="n">
        <f aca="false">IF(OR(NOT(Tasks[[#This Row],[_IsLeaf]]=1),Tasks[[#This Row],[_Res2Row]]=0),0,N(Tasks[[#This Row],[_Days]])*HoursPerDay*IF(Tasks[[#This Row],[_Res2Units]]="",DefaultUnits,Tasks[[#This Row],[_Res2Units]]))</f>
        <v>0</v>
      </c>
      <c r="DY38" s="43" t="n">
        <f aca="false">IF(AND(AND(Tasks[[#This Row],[_IsLeaf]]=1,Tasks[[#This Row],[_LeafTotalWork]]&gt;0),Tasks[[#This Row],[_Res2Work]]&gt;0),Tasks[[#This Row],[_Res2Work]]/(Tasks[[#This Row],[_FinishWorkday]]-Tasks[[#This Row],[_StartWorkday]]+1),0)</f>
        <v>0</v>
      </c>
      <c r="DZ38" s="43" t="n">
        <f aca="false">Tasks[[#This Row],[_Res2WorkPerWD]]*MAX(0,Tasks[[#This Row],[_StartWorkday]]-1)</f>
        <v>0</v>
      </c>
      <c r="EA38" s="43" t="n">
        <f aca="false">Tasks[[#This Row],[_Res2Work]]*Tasks[[#This Row],[_LeafProgress]]</f>
        <v>0</v>
      </c>
      <c r="EB38" s="43" t="str">
        <f aca="false">IF(Tasks[[#This Row],[_Res3Text]]="","",IF(Tasks[[#This Row],[_Res3Row]]&gt;0,INDEX(res_Name,Tasks[[#This Row],[_Res3Row]]),TRIM(LEFT(Tasks[[#This Row],[_Res3Text]],FIND("[",Tasks[[#This Row],[_Res3Text]]&amp;"[")-1))))</f>
        <v/>
      </c>
      <c r="EC3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8" s="43" t="n">
        <f aca="false">IF(OR(NOT(Tasks[[#This Row],[_IsLeaf]]=1),Tasks[[#This Row],[_Res3Row]]=0),0,N(Tasks[[#This Row],[_Days]])*HoursPerDay*IF(Tasks[[#This Row],[_Res3Units]]="",DefaultUnits,Tasks[[#This Row],[_Res3Units]]))</f>
        <v>0</v>
      </c>
      <c r="EE38" s="43" t="n">
        <f aca="false">IF(AND(AND(Tasks[[#This Row],[_IsLeaf]]=1,Tasks[[#This Row],[_LeafTotalWork]]&gt;0),Tasks[[#This Row],[_Res3Work]]&gt;0),Tasks[[#This Row],[_Res3Work]]/(Tasks[[#This Row],[_FinishWorkday]]-Tasks[[#This Row],[_StartWorkday]]+1),0)</f>
        <v>0</v>
      </c>
      <c r="EF38" s="43" t="n">
        <f aca="false">Tasks[[#This Row],[_Res3WorkPerWD]]*MAX(0,Tasks[[#This Row],[_StartWorkday]]-1)</f>
        <v>0</v>
      </c>
      <c r="EG38" s="43" t="n">
        <f aca="false">Tasks[[#This Row],[_Res3Work]]*Tasks[[#This Row],[_LeafProgress]]</f>
        <v>0</v>
      </c>
      <c r="EH38" s="43" t="str">
        <f aca="false">IF(Tasks[[#This Row],[_Res4Text]]="","",IF(Tasks[[#This Row],[_Res4Row]]&gt;0,INDEX(res_Name,Tasks[[#This Row],[_Res4Row]]),TRIM(LEFT(Tasks[[#This Row],[_Res4Text]],FIND("[",Tasks[[#This Row],[_Res4Text]]&amp;"[")-1))))</f>
        <v/>
      </c>
      <c r="EI3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8" s="43" t="n">
        <f aca="false">IF(OR(NOT(Tasks[[#This Row],[_IsLeaf]]=1),Tasks[[#This Row],[_Res4Row]]=0),0,N(Tasks[[#This Row],[_Days]])*HoursPerDay*IF(Tasks[[#This Row],[_Res4Units]]="",DefaultUnits,Tasks[[#This Row],[_Res4Units]]))</f>
        <v>0</v>
      </c>
      <c r="EK38" s="43" t="n">
        <f aca="false">IF(AND(AND(Tasks[[#This Row],[_IsLeaf]]=1,Tasks[[#This Row],[_LeafTotalWork]]&gt;0),Tasks[[#This Row],[_Res4Work]]&gt;0),Tasks[[#This Row],[_Res4Work]]/(Tasks[[#This Row],[_FinishWorkday]]-Tasks[[#This Row],[_StartWorkday]]+1),0)</f>
        <v>0</v>
      </c>
      <c r="EL38" s="43" t="n">
        <f aca="false">Tasks[[#This Row],[_Res4WorkPerWD]]*MAX(0,Tasks[[#This Row],[_StartWorkday]]-1)</f>
        <v>0</v>
      </c>
      <c r="EM38" s="43" t="n">
        <f aca="false">Tasks[[#This Row],[_Res4Work]]*Tasks[[#This Row],[_LeafProgress]]</f>
        <v>0</v>
      </c>
      <c r="EN38" s="43" t="n">
        <f aca="false">IF(ISNUMBER(Tasks[[#This Row],[% Complete]]),Tasks[[#This Row],[% Complete]],IF(Tasks[[#This Row],[Stage]]="",0,IFERROR(INDEX(stg_Pct,MATCH(Tasks[[#This Row],[Stage]],stg_Name,0)),0)))</f>
        <v>0</v>
      </c>
      <c r="EO38" s="43" t="n">
        <f aca="false">IF(NOT(Tasks[[#This Row],[_IsLeaf]]=1),0,IF(N(Tasks[[#This Row],[Actual Finish]])&gt;0,1,MIN(1,Tasks[[#This Row],[_Pct]])))</f>
        <v>0</v>
      </c>
      <c r="EP38" s="43" t="n">
        <f aca="false">IF(OR(NOT(Tasks[[#This Row],[_IsLeaf]]=1),Tasks[[#This Row],[_Res1Row]]=0),0,N(Tasks[[#This Row],[_Days]])*HoursPerDay*IF(Tasks[[#This Row],[_Units1]]="",DefaultUnits,Tasks[[#This Row],[_Units1]]))</f>
        <v>0</v>
      </c>
      <c r="EQ38" s="43" t="n">
        <f aca="false">Tasks[[#This Row],[_LeafWork]]+Tasks[[#This Row],[_Res2Work]]+Tasks[[#This Row],[_Res3Work]]+Tasks[[#This Row],[_Res4Work]]</f>
        <v>0</v>
      </c>
      <c r="ER3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8" s="43" t="n">
        <f aca="false">IF(NOT(Tasks[[#This Row],[_IsLeaf]]=1),0,MAX(_xlfn.MAXIFS(Tasks[_Row],Tasks[_Pred1UID],Tasks[[#This Row],[UID]]),_xlfn.MAXIFS(Tasks[_Row],Tasks[_Pred2UID],Tasks[[#This Row],[UID]]),_xlfn.MAXIFS(Tasks[_Row],Tasks[_Pred3UID],Tasks[[#This Row],[UID]]),_xlfn.MAXIFS(Tasks[_Row],Tasks[_Pred4UID],Tasks[[#This Row],[UID]])))</f>
        <v>0</v>
      </c>
      <c r="FA3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8" s="91" t="str">
        <f aca="false">IF(NOT(Tasks[[#This Row],[_IsLeaf]]=1),"",IF(N(Tasks[[#This Row],[_Days]])&lt;=0,Tasks[[#This Row],[_LeafLateFinish]],WORKDAY.INTL(Tasks[[#This Row],[_LeafLateFinish]],-(Tasks[[#This Row],[_Days]]-1),WorkWeek,Holidays)))</f>
        <v/>
      </c>
      <c r="FD3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8" s="90" t="b">
        <f aca="false">AND(Tasks[[#This Row],[_IsLeaf]]=1,Tasks[[#This Row],[_LeafProgress]]&lt;1,N(Tasks[[#This Row],[_LeafTotalSlack]])&lt;=CriticalSlackDays)</f>
        <v>0</v>
      </c>
      <c r="FF38" s="43" t="n">
        <f aca="false">IF(AND(Tasks[[#This Row],[_IsLeaf]]=1,Tasks[[#This Row],[_ConstraintCode]]=1,Tasks[[#This Row],[Mode]]&lt;&gt;"Manual",N(Tasks[[#This Row],[Actual Start]])=0),MAX(0,N(Tasks[[#This Row],[Free Slack]])),0)</f>
        <v>0</v>
      </c>
      <c r="FG38" s="91" t="str">
        <f aca="false">IF(NOT(Tasks[[#This Row],[_IsLeaf]]=1),"",IF(Tasks[[#This Row],[_AlapShift]]=0,Tasks[[#This Row],[_LeafCalcStart]],WORKDAY.INTL(Tasks[[#This Row],[_LeafCalcStart]],Tasks[[#This Row],[_AlapShift]],WorkWeek,Holidays)))</f>
        <v/>
      </c>
      <c r="FH38" s="91" t="str">
        <f aca="false">IF(NOT(Tasks[[#This Row],[_IsLeaf]]=1),"",IF(Tasks[[#This Row],[_AlapShift]]=0,Tasks[[#This Row],[_LeafCalcFinish]],WORKDAY.INTL(Tasks[[#This Row],[_LeafCalcFinish]],Tasks[[#This Row],[_AlapShift]],WorkWeek,Holidays)))</f>
        <v/>
      </c>
      <c r="FI38" s="91" t="str">
        <f aca="false">IF(NOT(Tasks[[#This Row],[_IsLeaf]]=1),"",IF(Tasks[[#This Row],[_AlapShift]]=0,Tasks[[#This Row],[_LeafFcstStart]],WORKDAY.INTL(Tasks[[#This Row],[_LeafFcstStart]],Tasks[[#This Row],[_AlapShift]],WorkWeek,Holidays)))</f>
        <v/>
      </c>
      <c r="FJ38" s="91" t="str">
        <f aca="false">IF(NOT(Tasks[[#This Row],[_IsLeaf]]=1),"",IF(Tasks[[#This Row],[_AlapShift]]=0,Tasks[[#This Row],[_LeafFcstFinish]],WORKDAY.INTL(Tasks[[#This Row],[_LeafFcstFinish]],Tasks[[#This Row],[_AlapShift]],WorkWeek,Holidays)))</f>
        <v/>
      </c>
      <c r="FK38" s="91" t="str">
        <f aca="false">IF(Tasks[[#This Row],[Task Name]]="","",IF(Tasks[[#This Row],[_IsSummary]],MIN(INDEX(Tasks[_ShownCalcStart],Tasks[[#This Row],[_Row]]+1):INDEX(Tasks[_ShownCalcStart],Tasks[[#This Row],[_Row]]+Tasks[[#This Row],[_Descendants]])),Tasks[[#This Row],[_ShownCalcStart]]))</f>
        <v/>
      </c>
      <c r="FL38" s="91" t="str">
        <f aca="false">IF(Tasks[[#This Row],[Task Name]]="","",IF(Tasks[[#This Row],[_IsSummary]],MAX(INDEX(Tasks[_ShownCalcFinish],Tasks[[#This Row],[_Row]]+1):INDEX(Tasks[_ShownCalcFinish],Tasks[[#This Row],[_Row]]+Tasks[[#This Row],[_Descendants]])),Tasks[[#This Row],[_ShownCalcFinish]]))</f>
        <v/>
      </c>
      <c r="FM3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8" s="43" t="n">
        <f aca="false">IF(AND(Tasks[[#This Row],[_IsLeaf]]=1,Tasks[[#This Row],[_LeafTotalWork]]&gt;0),NETWORKDAYS.INTL(ProjectStart,Tasks[[#This Row],[_ShownFcstStart]],WorkWeek,Holidays),0)</f>
        <v>0</v>
      </c>
      <c r="FZ38" s="43" t="n">
        <f aca="false">IF(AND(Tasks[[#This Row],[_IsLeaf]]=1,Tasks[[#This Row],[_LeafTotalWork]]&gt;0),MAX(Tasks[[#This Row],[_StartWorkday]],NETWORKDAYS.INTL(ProjectStart,Tasks[[#This Row],[_ShownFcstFinish]],WorkWeek,Holidays)),0)</f>
        <v>0</v>
      </c>
      <c r="GA38" s="43" t="n">
        <f aca="false">IF(AND(Tasks[[#This Row],[_IsLeaf]]=1,Tasks[[#This Row],[_LeafTotalWork]]&gt;0),Tasks[[#This Row],[_LeafWork]]/(Tasks[[#This Row],[_FinishWorkday]]-Tasks[[#This Row],[_StartWorkday]]+1),0)</f>
        <v>0</v>
      </c>
      <c r="GB38" s="43" t="n">
        <f aca="false">Tasks[[#This Row],[_WorkPerWorkday]]*(Tasks[[#This Row],[_StartWorkday]]-1)</f>
        <v>-0</v>
      </c>
      <c r="GC38" s="43" t="n">
        <f aca="false">IF(Tasks[[#This Row],[_IsLeaf]]=1,MAX(N(Tasks[[#This Row],[_Days]]),0.1),0)</f>
        <v>0</v>
      </c>
      <c r="GD38" s="43" t="n">
        <f aca="false">Tasks[[#This Row],[_WeightDur]]*Tasks[[#This Row],[_LeafProgress]]</f>
        <v>0</v>
      </c>
      <c r="GE38" s="43" t="n">
        <f aca="false">Tasks[[#This Row],[_WeightDur]]*Tasks[[#This Row],[_PlannedPct]]</f>
        <v>0</v>
      </c>
      <c r="GF3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8" s="43" t="str">
        <f aca="false">IF(AND(Tasks[[#This Row],[_IsLeaf]]=1,N(Tasks[[#This Row],[_Days]])=0,Tasks[[#This Row],[_LeafProgress]]&lt;1),Tasks[[#This Row],[_ShownFcstFinish]]+Tasks[[#This Row],[_Row]]/100000,"")</f>
        <v/>
      </c>
      <c r="GH3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8" s="43" t="str">
        <f aca="false">IF(Tasks[[#This Row],[Task Name]]="","",LEFT(Tasks[[#This Row],[WBS]],FIND(".",Tasks[[#This Row],[WBS]]&amp;".")-1))</f>
        <v/>
      </c>
      <c r="GJ38" s="43" t="str">
        <f aca="false">IF(AND(Tasks[[#This Row],[Task Name]]&lt;&gt;"",Tasks[[#This Row],[_Level]]=1),Tasks[[#This Row],[_Row]],"")</f>
        <v/>
      </c>
      <c r="GK38" s="43" t="str">
        <f aca="false">IF(AND(Tasks[[#This Row],[_IsLeaf]]=1,N(Tasks[[#This Row],[_Days]])=0),Tasks[[#This Row],[Planned Finish]]+Tasks[[#This Row],[_Row]]/100000,"")</f>
        <v/>
      </c>
      <c r="GL38" s="43" t="str">
        <f aca="false">IF(AND(Tasks[[#This Row],[_IsLeaf]]=1,Tasks[[#This Row],[_LeafProgress]]&lt;1,OR(N(Tasks[[#This Row],[Finish Var]])&gt;0,Tasks[[#This Row],[Status]]="Late Start")),MAX(0,Tasks[[#This Row],[Finish Var]])+1-Tasks[[#This Row],[_Row]]/1000000,"")</f>
        <v/>
      </c>
      <c r="GM38" s="43" t="str">
        <f aca="false">IF(AND(Tasks[[#This Row],[_IsLeaf]]=1,N(Tasks[[#This Row],[Actual Start]])=0,Tasks[[#This Row],[_ShownFcstStart]]&gt;=StatusDate,Tasks[[#This Row],[_ShownFcstStart]]&lt;=LookaheadEnd),Tasks[[#This Row],[_ShownFcstStart]]+Tasks[[#This Row],[_Row]]/100000,"")</f>
        <v/>
      </c>
      <c r="GN38" s="43" t="str">
        <f aca="false">IF(AND(Tasks[[#This Row],[_IsLeaf]]=1,Tasks[[#This Row],[_LeafProgress]]&lt;1,Tasks[[#This Row],[_ShownFcstFinish]]&gt;=StatusDate,Tasks[[#This Row],[_ShownFcstFinish]]&lt;=LookaheadEnd),Tasks[[#This Row],[_ShownFcstFinish]]+Tasks[[#This Row],[_Row]]/100000,"")</f>
        <v/>
      </c>
      <c r="GO38" s="43" t="str">
        <f aca="false">IF(Tasks[[#This Row],[_LeafCritical]],Tasks[[#This Row],[_ShownFcstStart]]+Tasks[[#This Row],[_Row]]/100000,"")</f>
        <v/>
      </c>
      <c r="GP38" s="43" t="n">
        <f aca="false">Tasks[[#This Row],[_LeafWork]]*Tasks[[#This Row],[_LeafProgress]]</f>
        <v>0</v>
      </c>
      <c r="GQ38" s="91" t="str">
        <f aca="false">IF(AND(Tasks[[#This Row],[_IsLeaf]]=1,Tasks[[#This Row],[_LeafProgress]]&gt;=1),IF(N(Tasks[[#This Row],[Actual Finish]])&gt;0,Tasks[[#This Row],[Actual Finish]],Tasks[[#This Row],[_ShownFcstFinish]]),"")</f>
        <v/>
      </c>
      <c r="GR38" s="43" t="n">
        <f aca="false">IF(Tasks[[#This Row],[_IsLeaf]]=1,N(Tasks[[#This Row],[Story Points]]),0)</f>
        <v>0</v>
      </c>
      <c r="GS38" s="43" t="str">
        <f aca="false">""</f>
        <v/>
      </c>
      <c r="GT38" s="90" t="b">
        <f aca="false">IF(Tasks[[#This Row],[Task Name]]="",FALSE(),AND(Tasks[[#This Row],[_IsLeaf]]=1,N(Tasks[[#This Row],[_Days]])=0))</f>
        <v>0</v>
      </c>
      <c r="GU38" s="91" t="n">
        <f aca="false">IF(Tasks[[#This Row],[Task Name]]="",0,IF(AND(Tasks[[#This Row],[_IsLeaf]]=1,NOT(Tasks[[#This Row],[_IsMilestone]]),N(Tasks[[#This Row],[Progress]])&gt;0),Tasks[[#This Row],[Start]],0))</f>
        <v>0</v>
      </c>
      <c r="GV38" s="91" t="n">
        <f aca="false">IF(Tasks[[#This Row],[_DoneFrom]]=0,0,IF(Tasks[[#This Row],[Progress]]&gt;=1,Tasks[[#This Row],[Finish]],MAX(Tasks[[#This Row],[_DoneFrom]],Tasks[[#This Row],[Start]]+ROUND((Tasks[[#This Row],[Finish]]-Tasks[[#This Row],[Start]]+1)*Tasks[[#This Row],[Progress]],0)-1)))</f>
        <v>0</v>
      </c>
      <c r="GW38" s="91" t="n">
        <f aca="false">IF(Tasks[[#This Row],[Task Name]]="",0,IF(OR(NOT(Tasks[[#This Row],[_IsLeaf]]=1),Tasks[[#This Row],[_IsMilestone]],N(Tasks[[#This Row],[Progress]])&gt;=1),0,IF(Tasks[[#This Row],[_DoneTo]]&gt;0,Tasks[[#This Row],[_DoneTo]]+1,Tasks[[#This Row],[Start]])))</f>
        <v>0</v>
      </c>
      <c r="GX38" s="91" t="n">
        <f aca="false">IF(Tasks[[#This Row],[_RemFrom]]=0,0,Tasks[[#This Row],[Finish]])</f>
        <v>0</v>
      </c>
      <c r="GY38" s="90" t="b">
        <f aca="false">IF(Tasks[[#This Row],[Task Name]]="",FALSE(),OR(NOT(BaselineSet),N(Tasks[[#This Row],[Baseline Start]])&gt;0))</f>
        <v>0</v>
      </c>
      <c r="GZ3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8" s="92" t="str">
        <f aca="false">IF(Tasks[[#This Row],[_IsLeaf]]=1,Tasks[[#This Row],[_Row]],"")</f>
        <v/>
      </c>
      <c r="HD38" s="92" t="str">
        <f aca="false">IFERROR(INDEX(Tasks[UID],SMALL(Tasks[_PickKey],Tasks[[#This Row],[_Row]]))&amp;" "&amp;INDEX(Tasks[Task Name],SMALL(Tasks[_PickKey],Tasks[[#This Row],[_Row]])),"")</f>
        <v/>
      </c>
      <c r="HE38" s="43" t="str">
        <f aca="false">IF(Tasks[[#This Row],[Task Name]]="","",IF(Tasks[[#This Row],[_IsSummary]],NETWORKDAYS.INTL(Tasks[[#This Row],[Start]],Tasks[[#This Row],[Finish]],WorkWeek,Holidays),N(Tasks[[#This Row],[_Days]])))</f>
        <v/>
      </c>
      <c r="HF38" s="43" t="n">
        <f aca="false">IF(Tasks[[#This Row],[Expected]]="",0,((Tasks[[#This Row],[Pessimistic]]-Tasks[[#This Row],[Optimistic]])/6)^2)</f>
        <v>0</v>
      </c>
      <c r="HG38" s="43" t="n">
        <f aca="false">IF(Tasks[[#This Row],[Expected]]="",0,Tasks[[#This Row],[Expected]]-N(Tasks[[#This Row],[_Days]]))</f>
        <v>0</v>
      </c>
    </row>
    <row r="39" customFormat="false" ht="15" hidden="false" customHeight="false" outlineLevel="0" collapsed="false">
      <c r="A39" s="21" t="str">
        <f aca="false">IF(Tasks[[#This Row],[Task Name]]="","",COUNTA(Tasks[[#Headers],[Task Name]]:Tasks[[#This Row],[Task Name]])-1)</f>
        <v/>
      </c>
      <c r="B39" s="22" t="n">
        <v>47</v>
      </c>
      <c r="C39" s="22"/>
      <c r="D39" s="23"/>
      <c r="E39" s="22"/>
      <c r="F39" s="23"/>
      <c r="G39" s="22"/>
      <c r="H39" s="22"/>
      <c r="I39" s="23"/>
      <c r="J39" s="22"/>
      <c r="K39" s="22"/>
      <c r="L39" s="23"/>
      <c r="M39" s="22"/>
      <c r="N39" s="22"/>
      <c r="O39" s="23"/>
      <c r="P39" s="22"/>
      <c r="Q39" s="22"/>
      <c r="R39" s="23"/>
      <c r="S39" s="23"/>
      <c r="T39" s="84"/>
      <c r="U39" s="23"/>
      <c r="V39" s="84"/>
      <c r="W39" s="23"/>
      <c r="X39" s="84"/>
      <c r="Y39" s="23"/>
      <c r="Z39" s="84"/>
      <c r="AA39" s="23"/>
      <c r="AB39" s="23"/>
      <c r="AC39" s="7"/>
      <c r="AD39" s="7"/>
      <c r="AE39" s="63" t="str">
        <f aca="false">IF(Tasks[[#This Row],[Task Name]]="","",IF(Tasks[[#This Row],[_IsSummary]],MIN(INDEX(Tasks[_ShownFcstStart],Tasks[[#This Row],[_Row]]+1):INDEX(Tasks[_ShownFcstStart],Tasks[[#This Row],[_Row]]+Tasks[[#This Row],[_Descendants]])),Tasks[[#This Row],[_ShownFcstStart]]))</f>
        <v/>
      </c>
      <c r="AF39" s="63" t="str">
        <f aca="false">IF(Tasks[[#This Row],[Task Name]]="","",IF(Tasks[[#This Row],[_IsSummary]],MAX(INDEX(Tasks[_ShownFcstFinish],Tasks[[#This Row],[_Row]]+1):INDEX(Tasks[_ShownFcstFinish],Tasks[[#This Row],[_Row]]+Tasks[[#This Row],[_Descendants]])),Tasks[[#This Row],[_ShownFcstFinish]]))</f>
        <v/>
      </c>
      <c r="AG39" s="21" t="str">
        <f aca="false">""</f>
        <v/>
      </c>
      <c r="AH39" s="23"/>
      <c r="AI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9" s="7"/>
      <c r="AK39" s="22"/>
      <c r="AL39" s="23"/>
      <c r="AM39" s="7"/>
      <c r="AN39" s="47" t="str">
        <f aca="false">IF(Tasks[[#This Row],[Task Name]]="","",IF(Tasks[[#This Row],[Finish]]&gt;=Tasks[[#This Row],[Planned Finish]],NETWORKDAYS.INTL(Tasks[[#This Row],[Planned Finish]],Tasks[[#This Row],[Finish]],WorkWeek,Holidays)-1,1-NETWORKDAYS.INTL(Tasks[[#This Row],[Finish]],Tasks[[#This Row],[Planned Finish]],WorkWeek,Holidays)))</f>
        <v/>
      </c>
      <c r="AO39" s="21" t="str">
        <f aca="false">IF(Tasks[[#This Row],[Task Name]]="","",IF(Tasks[[#This Row],[Progress]]&gt;=1,"Complete",IF(OR(N(Tasks[[#This Row],[Actual Start]])&gt;0,Tasks[[#This Row],[Progress]]&gt;0),IF(Tasks[[#This Row],[Finish Var]]&gt;0,"Behind","In Progress"),IF(Tasks[[#This Row],[Planned Start]]&lt;StatusDate,"Late Start","Not Started"))))</f>
        <v/>
      </c>
      <c r="AP39" s="21" t="str">
        <f aca="false">IF(Tasks[[#This Row],[Task Name]]="","",IF(IF(Tasks[[#This Row],[_IsSummary]],COUNTIF(INDEX(Tasks[_LeafCritical],Tasks[[#This Row],[_Row]]+1):INDEX(Tasks[_LeafCritical],Tasks[[#This Row],[_Row]]+Tasks[[#This Row],[_Descendants]]),TRUE())&gt;0,Tasks[[#This Row],[_LeafCritical]]),"Yes",""))</f>
        <v/>
      </c>
      <c r="AQ39" s="63" t="str">
        <f aca="false">IF(Tasks[[#This Row],[Task Name]]="","",IF(N(Tasks[[#This Row],[Baseline Start]])&gt;0,Tasks[[#This Row],[Baseline Start]],Tasks[[#This Row],[_CalcStart]]))</f>
        <v/>
      </c>
      <c r="AR39" s="63" t="str">
        <f aca="false">IF(Tasks[[#This Row],[Task Name]]="","",IF(N(Tasks[[#This Row],[Baseline Finish]])&gt;0,Tasks[[#This Row],[Baseline Finish]],Tasks[[#This Row],[_CalcFinish]]))</f>
        <v/>
      </c>
      <c r="AS39" s="47" t="str">
        <f aca="false">IF(Tasks[[#This Row],[Task Name]]="","",IF(Tasks[[#This Row],[Start]]&gt;=Tasks[[#This Row],[Planned Start]],NETWORKDAYS.INTL(Tasks[[#This Row],[Planned Start]],Tasks[[#This Row],[Start]],WorkWeek,Holidays)-1,1-NETWORKDAYS.INTL(Tasks[[#This Row],[Start]],Tasks[[#This Row],[Planned Start]],WorkWeek,Holidays)))</f>
        <v/>
      </c>
      <c r="AT39" s="63" t="str">
        <f aca="false">IF(Tasks[[#This Row],[Task Name]]="","",IF(Tasks[[#This Row],[_IsSummary]],MIN(INDEX(Tasks[_LeafLateStart],Tasks[[#This Row],[_Row]]+1):INDEX(Tasks[_LeafLateStart],Tasks[[#This Row],[_Row]]+Tasks[[#This Row],[_Descendants]])),Tasks[[#This Row],[_LeafLateStart]]))</f>
        <v/>
      </c>
      <c r="AU39" s="63" t="str">
        <f aca="false">IF(Tasks[[#This Row],[Task Name]]="","",IF(Tasks[[#This Row],[_IsSummary]],MAX(INDEX(Tasks[_LeafLateFinish],Tasks[[#This Row],[_Row]]+1):INDEX(Tasks[_LeafLateFinish],Tasks[[#This Row],[_Row]]+Tasks[[#This Row],[_Descendants]])),Tasks[[#This Row],[_LeafLateFinish]]))</f>
        <v/>
      </c>
      <c r="AV39" s="47" t="str">
        <f aca="false">IF(Tasks[[#This Row],[Task Name]]="","",IF(Tasks[[#This Row],[_IsSummary]],MIN(INDEX(Tasks[_LeafTotalSlack],Tasks[[#This Row],[_Row]]+1):INDEX(Tasks[_LeafTotalSlack],Tasks[[#This Row],[_Row]]+Tasks[[#This Row],[_Descendants]])),Tasks[[#This Row],[_LeafTotalSlack]]))</f>
        <v/>
      </c>
      <c r="AW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5"/>
      <c r="BA3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1" t="str">
        <f aca="false">IF(Tasks[[#This Row],[Task Name]]="","",IF(Tasks[[#This Row],[_Level]]&lt;=OutlineShowLevel,"Yes","No"))</f>
        <v/>
      </c>
      <c r="BE39" s="86" t="str">
        <f aca="false">IF(Tasks[[#This Row],[Task Name]]="","",IF(Tasks[[#This Row],[_IsSummary]],SUM(INDEX(Tasks[_LeafTotalWork],Tasks[[#This Row],[_Row]]+1):INDEX(Tasks[_LeafTotalWork],Tasks[[#This Row],[_Row]]+Tasks[[#This Row],[_Descendants]])),Tasks[[#This Row],[_LeafTotalWork]]))</f>
        <v/>
      </c>
      <c r="BF39" s="23"/>
      <c r="BG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9" s="21" t="str">
        <f aca="false">""</f>
        <v/>
      </c>
      <c r="BI39" s="87"/>
      <c r="BJ39" s="22"/>
      <c r="BK39" s="47" t="str">
        <f aca="false">IF(OR(Tasks[[#This Row],[Task Name]]="",Tasks[[#This Row],[Baseline Duration]]=""),"",Tasks[[#This Row],[_SpanDays]]-N(Tasks[[#This Row],[Baseline Duration]]))</f>
        <v/>
      </c>
      <c r="BL39" s="86" t="str">
        <f aca="false">IF(OR(Tasks[[#This Row],[Task Name]]="",Tasks[[#This Row],[Baseline Work]]=""),"",Tasks[[#This Row],[Work]]-N(Tasks[[#This Row],[Baseline Work]]))</f>
        <v/>
      </c>
      <c r="BM39" s="63" t="str">
        <f aca="false">IF(Tasks[[#This Row],[Task Name]]="","",IF(OR(TakeBaseline="Yes",N(Tasks[[#This Row],[Baseline Start]])=0),Tasks[[#This Row],[Start]],Tasks[[#This Row],[Baseline Start]]))</f>
        <v/>
      </c>
      <c r="BN39" s="63" t="str">
        <f aca="false">IF(Tasks[[#This Row],[Task Name]]="","",IF(OR(TakeBaseline="Yes",N(Tasks[[#This Row],[Baseline Finish]])=0),Tasks[[#This Row],[Finish]],Tasks[[#This Row],[Baseline Finish]]))</f>
        <v/>
      </c>
      <c r="BO39" s="21" t="str">
        <f aca="false">IF(Tasks[[#This Row],[Task Name]]="","",IF(OR(TakeBaseline="Yes",N(Tasks[[#This Row],[Baseline Duration]])=0),Tasks[[#This Row],[_SpanDays]],Tasks[[#This Row],[Baseline Duration]]))</f>
        <v/>
      </c>
      <c r="BP39" s="86" t="str">
        <f aca="false">IF(Tasks[[#This Row],[Task Name]]="","",IF(OR(TakeBaseline="Yes",N(Tasks[[#This Row],[Baseline Work]])=0),Tasks[[#This Row],[Work]],Tasks[[#This Row],[Baseline Work]]))</f>
        <v/>
      </c>
      <c r="BQ39" s="7"/>
      <c r="BR39" s="7"/>
      <c r="BS39" s="22"/>
      <c r="BT39" s="88"/>
      <c r="BU39" s="23"/>
      <c r="BV39" s="23"/>
      <c r="BW39" s="23"/>
      <c r="BX39" s="89" t="str">
        <f aca="false">IF(AND(Tasks[[#This Row],[_IsLeaf]]=1,ISNUMBER(Tasks[[#This Row],[Optimistic]]),ISNUMBER(Tasks[[#This Row],[Pessimistic]])),ROUND((Tasks[[#This Row],[Optimistic]]+4*N(Tasks[[#This Row],[_Days]])+Tasks[[#This Row],[Pessimistic]])/6,1),"")</f>
        <v/>
      </c>
      <c r="BY39" s="87"/>
      <c r="BZ39" s="87"/>
      <c r="CA39" s="22"/>
      <c r="CB39" s="43" t="str">
        <f aca="false">IF(Tasks[[#This Row],[Task Name]]="","",MAX(1,N(Tasks[[#This Row],[Level]])))</f>
        <v/>
      </c>
      <c r="CC39" s="43" t="n">
        <f aca="false">ROW()-ROW(Tasks[[#Headers],[ID]])</f>
        <v>34</v>
      </c>
      <c r="CD39" s="43" t="n">
        <f aca="false">IF(OR(Tasks[[#This Row],[Task Name]]="",Tasks[[#This Row],[_Level]]&lt;=1),0,IFERROR(LOOKUP(2,1/(Tasks[[#Headers],[_Level]]:Tasks[[#This Row],[_Level]]=Tasks[[#This Row],[_Level]]-1),ROW(Tasks[[#Headers],[_Level]]:Tasks[[#This Row],[_Level]])),0))</f>
        <v>0</v>
      </c>
      <c r="CE39" s="43" t="n">
        <f aca="false">IFERROR(N(INDEX(Tasks[_Level],Tasks[[#This Row],[_Row]]+1)),0)</f>
        <v>0</v>
      </c>
      <c r="CF39" s="90" t="b">
        <f aca="false">AND(Tasks[[#This Row],[Task Name]]&lt;&gt;"",Tasks[[#This Row],[_NextLevel]]&gt;Tasks[[#This Row],[_Level]])</f>
        <v>0</v>
      </c>
      <c r="CG39" s="43" t="n">
        <f aca="false">IF(Tasks[[#This Row],[_IsSummary]],COUNTIF(Tasks[WBS],Tasks[[#This Row],[WBS]]&amp;".*"),0)</f>
        <v>0</v>
      </c>
      <c r="CH39" s="43" t="n">
        <f aca="false">IF(AND(Tasks[[#This Row],[Task Name]]&lt;&gt;"",NOT(Tasks[[#This Row],[_IsSummary]])),1,0)</f>
        <v>0</v>
      </c>
      <c r="CI39" s="43" t="n">
        <f aca="false">IF(N(Tasks[[#This Row],[_Pred1UID]])=0,0,IFERROR(MATCH(Tasks[[#This Row],[_Pred1UID]],Tasks[UID],0),-1))</f>
        <v>0</v>
      </c>
      <c r="CJ39" s="43" t="n">
        <f aca="false">IF(N(Tasks[[#This Row],[_Pred2UID]])=0,0,IFERROR(MATCH(Tasks[[#This Row],[_Pred2UID]],Tasks[UID],0),-1))</f>
        <v>0</v>
      </c>
      <c r="CK39" s="43" t="n">
        <f aca="false">IF(N(Tasks[[#This Row],[_Pred3UID]])=0,0,IFERROR(MATCH(Tasks[[#This Row],[_Pred3UID]],Tasks[UID],0),-1))</f>
        <v>0</v>
      </c>
      <c r="CL39" s="43" t="n">
        <f aca="false">IF(N(Tasks[[#This Row],[_Pred4UID]])=0,0,IFERROR(MATCH(Tasks[[#This Row],[_Pred4UID]],Tasks[UID],0),-1))</f>
        <v>0</v>
      </c>
      <c r="CM3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9" s="91" t="n">
        <f aca="false">IF(OR(Tasks[[#This Row],[_ConstraintCode]]=2,Tasks[[#This Row],[_ConstraintCode]]=3,Tasks[[#This Row],[_ConstraintCode]]=4,Tasks[[#This Row],[_ConstraintCode]]=6),Tasks[[#This Row],[_ConstraintStart]],0)</f>
        <v>0</v>
      </c>
      <c r="CP39" s="91" t="n">
        <f aca="false">IF(OR(Tasks[[#This Row],[_ConstraintCode]]=2,Tasks[[#This Row],[_ConstraintCode]]=3,Tasks[[#This Row],[_ConstraintCode]]=5,Tasks[[#This Row],[_ConstraintCode]]=7),Tasks[[#This Row],[_ConstraintStart]],2958465)</f>
        <v>2958465</v>
      </c>
      <c r="CQ3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9" s="91" t="str">
        <f aca="false">IF(NOT(Tasks[[#This Row],[_IsLeaf]]=1),"",IF(N(Tasks[[#This Row],[_Days]])&lt;=0,Tasks[[#This Row],[_LeafCalcStart]],WORKDAY.INTL(Tasks[[#This Row],[_LeafCalcStart]],Tasks[[#This Row],[_Days]]-1,WorkWeek,Holidays)))</f>
        <v/>
      </c>
      <c r="CS3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9" s="43" t="str">
        <f aca="false">IF(Tasks[[#This Row],[_Predecessors]]="","",TRIM(MID(SUBSTITUTE(SUBSTITUTE(SUBSTITUTE(UPPER(Tasks[[#This Row],[_Predecessors]]),";",",")," ",""),",",REPT(" ",99)),1,99)))</f>
        <v/>
      </c>
      <c r="CV39" s="43" t="str">
        <f aca="false">IF(Tasks[[#This Row],[_Pred1Text]]="","",IFERROR(VALUE(LEFT(Tasks[[#This Row],[_Pred1Text]],MIN(FIND("F",Tasks[[#This Row],[_Pred1Text]]&amp;"F"),FIND("S",Tasks[[#This Row],[_Pred1Text]]&amp;"S"),FIND("+",Tasks[[#This Row],[_Pred1Text]]&amp;"+"),FIND("-",Tasks[[#This Row],[_Pred1Text]]&amp;"-"))-1)),""))</f>
        <v/>
      </c>
      <c r="CW3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9" s="43" t="str">
        <f aca="false">IF(Tasks[[#This Row],[_Pred1Text]]="","",TRIM(MID(SUBSTITUTE(SUBSTITUTE(SUBSTITUTE(UPPER(Tasks[[#This Row],[_Predecessors]]),";",",")," ",""),",",REPT(" ",99)),100,99)))</f>
        <v/>
      </c>
      <c r="CZ39" s="43" t="str">
        <f aca="false">IF(Tasks[[#This Row],[_Pred2Text]]="","",IFERROR(VALUE(LEFT(Tasks[[#This Row],[_Pred2Text]],MIN(FIND("F",Tasks[[#This Row],[_Pred2Text]]&amp;"F"),FIND("S",Tasks[[#This Row],[_Pred2Text]]&amp;"S"),FIND("+",Tasks[[#This Row],[_Pred2Text]]&amp;"+"),FIND("-",Tasks[[#This Row],[_Pred2Text]]&amp;"-"))-1)),""))</f>
        <v/>
      </c>
      <c r="DA3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9" s="43" t="str">
        <f aca="false">IF(Tasks[[#This Row],[_Pred2Text]]="","",TRIM(MID(SUBSTITUTE(SUBSTITUTE(SUBSTITUTE(UPPER(Tasks[[#This Row],[_Predecessors]]),";",",")," ",""),",",REPT(" ",99)),199,99)))</f>
        <v/>
      </c>
      <c r="DD39" s="43" t="str">
        <f aca="false">IF(Tasks[[#This Row],[_Pred3Text]]="","",IFERROR(VALUE(LEFT(Tasks[[#This Row],[_Pred3Text]],MIN(FIND("F",Tasks[[#This Row],[_Pred3Text]]&amp;"F"),FIND("S",Tasks[[#This Row],[_Pred3Text]]&amp;"S"),FIND("+",Tasks[[#This Row],[_Pred3Text]]&amp;"+"),FIND("-",Tasks[[#This Row],[_Pred3Text]]&amp;"-"))-1)),""))</f>
        <v/>
      </c>
      <c r="DE3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9" s="43" t="str">
        <f aca="false">IF(Tasks[[#This Row],[_Pred3Text]]="","",TRIM(MID(SUBSTITUTE(SUBSTITUTE(SUBSTITUTE(UPPER(Tasks[[#This Row],[_Predecessors]]),";",",")," ",""),",",REPT(" ",99)),298,99)))</f>
        <v/>
      </c>
      <c r="DH39" s="43" t="str">
        <f aca="false">IF(Tasks[[#This Row],[_Pred4Text]]="","",IFERROR(VALUE(LEFT(Tasks[[#This Row],[_Pred4Text]],MIN(FIND("F",Tasks[[#This Row],[_Pred4Text]]&amp;"F"),FIND("S",Tasks[[#This Row],[_Pred4Text]]&amp;"S"),FIND("+",Tasks[[#This Row],[_Pred4Text]]&amp;"+"),FIND("-",Tasks[[#This Row],[_Pred4Text]]&amp;"-"))-1)),""))</f>
        <v/>
      </c>
      <c r="DI3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9" s="43" t="str">
        <f aca="false">IF(OR(Tasks[[#This Row],[Task Name]]="",Tasks[[#This Row],[_Resources]]=""),"",TRIM(MID(SUBSTITUTE(Tasks[[#This Row],[_Resources]],",",REPT(" ",99)),1,99)))</f>
        <v/>
      </c>
      <c r="DL39" s="43" t="str">
        <f aca="false">IF(Tasks[[#This Row],[_Res1Text]]="","",TRIM(MID(SUBSTITUTE(Tasks[[#This Row],[_Resources]],",",REPT(" ",99)),100,99)))</f>
        <v/>
      </c>
      <c r="DM39" s="43" t="str">
        <f aca="false">IF(Tasks[[#This Row],[_Res2Text]]="","",TRIM(MID(SUBSTITUTE(Tasks[[#This Row],[_Resources]],",",REPT(" ",99)),199,99)))</f>
        <v/>
      </c>
      <c r="DN39" s="43" t="str">
        <f aca="false">IF(Tasks[[#This Row],[_Res3Text]]="","",TRIM(MID(SUBSTITUTE(Tasks[[#This Row],[_Resources]],",",REPT(" ",99)),298,99)))</f>
        <v/>
      </c>
      <c r="DO39" s="43" t="n">
        <f aca="false">IF(Tasks[[#This Row],[_Res1Text]]="",0,IFERROR(MATCH(TRIM(LEFT(Tasks[[#This Row],[_Res1Text]],FIND("[",Tasks[[#This Row],[_Res1Text]]&amp;"[")-1)),res_Name,0),IFERROR(MATCH(TRIM(LEFT(Tasks[[#This Row],[_Res1Text]],FIND("[",Tasks[[#This Row],[_Res1Text]]&amp;"[")-1)),res_Initials,0),0)))</f>
        <v>0</v>
      </c>
      <c r="DP39" s="43" t="n">
        <f aca="false">IF(Tasks[[#This Row],[_Res2Text]]="",0,IFERROR(MATCH(TRIM(LEFT(Tasks[[#This Row],[_Res2Text]],FIND("[",Tasks[[#This Row],[_Res2Text]]&amp;"[")-1)),res_Name,0),IFERROR(MATCH(TRIM(LEFT(Tasks[[#This Row],[_Res2Text]],FIND("[",Tasks[[#This Row],[_Res2Text]]&amp;"[")-1)),res_Initials,0),0)))</f>
        <v>0</v>
      </c>
      <c r="DQ39" s="43" t="n">
        <f aca="false">IF(Tasks[[#This Row],[_Res3Text]]="",0,IFERROR(MATCH(TRIM(LEFT(Tasks[[#This Row],[_Res3Text]],FIND("[",Tasks[[#This Row],[_Res3Text]]&amp;"[")-1)),res_Name,0),IFERROR(MATCH(TRIM(LEFT(Tasks[[#This Row],[_Res3Text]],FIND("[",Tasks[[#This Row],[_Res3Text]]&amp;"[")-1)),res_Initials,0),0)))</f>
        <v>0</v>
      </c>
      <c r="DR39" s="43" t="n">
        <f aca="false">IF(Tasks[[#This Row],[_Res4Text]]="",0,IFERROR(MATCH(TRIM(LEFT(Tasks[[#This Row],[_Res4Text]],FIND("[",Tasks[[#This Row],[_Res4Text]]&amp;"[")-1)),res_Name,0),IFERROR(MATCH(TRIM(LEFT(Tasks[[#This Row],[_Res4Text]],FIND("[",Tasks[[#This Row],[_Res4Text]]&amp;"[")-1)),res_Initials,0),0)))</f>
        <v>0</v>
      </c>
      <c r="DS39" s="43" t="str">
        <f aca="false">IF(Tasks[[#This Row],[_Res1Text]]="","",IF(Tasks[[#This Row],[_Res1Row]]&gt;0,INDEX(res_Name,Tasks[[#This Row],[_Res1Row]]),TRIM(LEFT(Tasks[[#This Row],[_Res1Text]],FIND("[",Tasks[[#This Row],[_Res1Text]]&amp;"[")-1))))</f>
        <v/>
      </c>
      <c r="DT3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9" s="43" t="n">
        <f aca="false">IF(NOT(Tasks[[#This Row],[_IsLeaf]]=1),0,(Tasks[[#This Row],[_Resource1]]&lt;&gt;"")+(Tasks[[#This Row],[_Res2]]&lt;&gt;"")+(Tasks[[#This Row],[_Res3]]&lt;&gt;"")+(Tasks[[#This Row],[_Res4]]&lt;&gt;""))</f>
        <v>0</v>
      </c>
      <c r="DV39" s="43" t="str">
        <f aca="false">IF(Tasks[[#This Row],[_Res2Text]]="","",IF(Tasks[[#This Row],[_Res2Row]]&gt;0,INDEX(res_Name,Tasks[[#This Row],[_Res2Row]]),TRIM(LEFT(Tasks[[#This Row],[_Res2Text]],FIND("[",Tasks[[#This Row],[_Res2Text]]&amp;"[")-1))))</f>
        <v/>
      </c>
      <c r="DW3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9" s="43" t="n">
        <f aca="false">IF(OR(NOT(Tasks[[#This Row],[_IsLeaf]]=1),Tasks[[#This Row],[_Res2Row]]=0),0,N(Tasks[[#This Row],[_Days]])*HoursPerDay*IF(Tasks[[#This Row],[_Res2Units]]="",DefaultUnits,Tasks[[#This Row],[_Res2Units]]))</f>
        <v>0</v>
      </c>
      <c r="DY39" s="43" t="n">
        <f aca="false">IF(AND(AND(Tasks[[#This Row],[_IsLeaf]]=1,Tasks[[#This Row],[_LeafTotalWork]]&gt;0),Tasks[[#This Row],[_Res2Work]]&gt;0),Tasks[[#This Row],[_Res2Work]]/(Tasks[[#This Row],[_FinishWorkday]]-Tasks[[#This Row],[_StartWorkday]]+1),0)</f>
        <v>0</v>
      </c>
      <c r="DZ39" s="43" t="n">
        <f aca="false">Tasks[[#This Row],[_Res2WorkPerWD]]*MAX(0,Tasks[[#This Row],[_StartWorkday]]-1)</f>
        <v>0</v>
      </c>
      <c r="EA39" s="43" t="n">
        <f aca="false">Tasks[[#This Row],[_Res2Work]]*Tasks[[#This Row],[_LeafProgress]]</f>
        <v>0</v>
      </c>
      <c r="EB39" s="43" t="str">
        <f aca="false">IF(Tasks[[#This Row],[_Res3Text]]="","",IF(Tasks[[#This Row],[_Res3Row]]&gt;0,INDEX(res_Name,Tasks[[#This Row],[_Res3Row]]),TRIM(LEFT(Tasks[[#This Row],[_Res3Text]],FIND("[",Tasks[[#This Row],[_Res3Text]]&amp;"[")-1))))</f>
        <v/>
      </c>
      <c r="EC3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9" s="43" t="n">
        <f aca="false">IF(OR(NOT(Tasks[[#This Row],[_IsLeaf]]=1),Tasks[[#This Row],[_Res3Row]]=0),0,N(Tasks[[#This Row],[_Days]])*HoursPerDay*IF(Tasks[[#This Row],[_Res3Units]]="",DefaultUnits,Tasks[[#This Row],[_Res3Units]]))</f>
        <v>0</v>
      </c>
      <c r="EE39" s="43" t="n">
        <f aca="false">IF(AND(AND(Tasks[[#This Row],[_IsLeaf]]=1,Tasks[[#This Row],[_LeafTotalWork]]&gt;0),Tasks[[#This Row],[_Res3Work]]&gt;0),Tasks[[#This Row],[_Res3Work]]/(Tasks[[#This Row],[_FinishWorkday]]-Tasks[[#This Row],[_StartWorkday]]+1),0)</f>
        <v>0</v>
      </c>
      <c r="EF39" s="43" t="n">
        <f aca="false">Tasks[[#This Row],[_Res3WorkPerWD]]*MAX(0,Tasks[[#This Row],[_StartWorkday]]-1)</f>
        <v>0</v>
      </c>
      <c r="EG39" s="43" t="n">
        <f aca="false">Tasks[[#This Row],[_Res3Work]]*Tasks[[#This Row],[_LeafProgress]]</f>
        <v>0</v>
      </c>
      <c r="EH39" s="43" t="str">
        <f aca="false">IF(Tasks[[#This Row],[_Res4Text]]="","",IF(Tasks[[#This Row],[_Res4Row]]&gt;0,INDEX(res_Name,Tasks[[#This Row],[_Res4Row]]),TRIM(LEFT(Tasks[[#This Row],[_Res4Text]],FIND("[",Tasks[[#This Row],[_Res4Text]]&amp;"[")-1))))</f>
        <v/>
      </c>
      <c r="EI3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9" s="43" t="n">
        <f aca="false">IF(OR(NOT(Tasks[[#This Row],[_IsLeaf]]=1),Tasks[[#This Row],[_Res4Row]]=0),0,N(Tasks[[#This Row],[_Days]])*HoursPerDay*IF(Tasks[[#This Row],[_Res4Units]]="",DefaultUnits,Tasks[[#This Row],[_Res4Units]]))</f>
        <v>0</v>
      </c>
      <c r="EK39" s="43" t="n">
        <f aca="false">IF(AND(AND(Tasks[[#This Row],[_IsLeaf]]=1,Tasks[[#This Row],[_LeafTotalWork]]&gt;0),Tasks[[#This Row],[_Res4Work]]&gt;0),Tasks[[#This Row],[_Res4Work]]/(Tasks[[#This Row],[_FinishWorkday]]-Tasks[[#This Row],[_StartWorkday]]+1),0)</f>
        <v>0</v>
      </c>
      <c r="EL39" s="43" t="n">
        <f aca="false">Tasks[[#This Row],[_Res4WorkPerWD]]*MAX(0,Tasks[[#This Row],[_StartWorkday]]-1)</f>
        <v>0</v>
      </c>
      <c r="EM39" s="43" t="n">
        <f aca="false">Tasks[[#This Row],[_Res4Work]]*Tasks[[#This Row],[_LeafProgress]]</f>
        <v>0</v>
      </c>
      <c r="EN39" s="43" t="n">
        <f aca="false">IF(ISNUMBER(Tasks[[#This Row],[% Complete]]),Tasks[[#This Row],[% Complete]],IF(Tasks[[#This Row],[Stage]]="",0,IFERROR(INDEX(stg_Pct,MATCH(Tasks[[#This Row],[Stage]],stg_Name,0)),0)))</f>
        <v>0</v>
      </c>
      <c r="EO39" s="43" t="n">
        <f aca="false">IF(NOT(Tasks[[#This Row],[_IsLeaf]]=1),0,IF(N(Tasks[[#This Row],[Actual Finish]])&gt;0,1,MIN(1,Tasks[[#This Row],[_Pct]])))</f>
        <v>0</v>
      </c>
      <c r="EP39" s="43" t="n">
        <f aca="false">IF(OR(NOT(Tasks[[#This Row],[_IsLeaf]]=1),Tasks[[#This Row],[_Res1Row]]=0),0,N(Tasks[[#This Row],[_Days]])*HoursPerDay*IF(Tasks[[#This Row],[_Units1]]="",DefaultUnits,Tasks[[#This Row],[_Units1]]))</f>
        <v>0</v>
      </c>
      <c r="EQ39" s="43" t="n">
        <f aca="false">Tasks[[#This Row],[_LeafWork]]+Tasks[[#This Row],[_Res2Work]]+Tasks[[#This Row],[_Res3Work]]+Tasks[[#This Row],[_Res4Work]]</f>
        <v>0</v>
      </c>
      <c r="ER3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9" s="43" t="n">
        <f aca="false">IF(NOT(Tasks[[#This Row],[_IsLeaf]]=1),0,MAX(_xlfn.MAXIFS(Tasks[_Row],Tasks[_Pred1UID],Tasks[[#This Row],[UID]]),_xlfn.MAXIFS(Tasks[_Row],Tasks[_Pred2UID],Tasks[[#This Row],[UID]]),_xlfn.MAXIFS(Tasks[_Row],Tasks[_Pred3UID],Tasks[[#This Row],[UID]]),_xlfn.MAXIFS(Tasks[_Row],Tasks[_Pred4UID],Tasks[[#This Row],[UID]])))</f>
        <v>0</v>
      </c>
      <c r="FA3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9" s="91" t="str">
        <f aca="false">IF(NOT(Tasks[[#This Row],[_IsLeaf]]=1),"",IF(N(Tasks[[#This Row],[_Days]])&lt;=0,Tasks[[#This Row],[_LeafLateFinish]],WORKDAY.INTL(Tasks[[#This Row],[_LeafLateFinish]],-(Tasks[[#This Row],[_Days]]-1),WorkWeek,Holidays)))</f>
        <v/>
      </c>
      <c r="FD3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9" s="90" t="b">
        <f aca="false">AND(Tasks[[#This Row],[_IsLeaf]]=1,Tasks[[#This Row],[_LeafProgress]]&lt;1,N(Tasks[[#This Row],[_LeafTotalSlack]])&lt;=CriticalSlackDays)</f>
        <v>0</v>
      </c>
      <c r="FF39" s="43" t="n">
        <f aca="false">IF(AND(Tasks[[#This Row],[_IsLeaf]]=1,Tasks[[#This Row],[_ConstraintCode]]=1,Tasks[[#This Row],[Mode]]&lt;&gt;"Manual",N(Tasks[[#This Row],[Actual Start]])=0),MAX(0,N(Tasks[[#This Row],[Free Slack]])),0)</f>
        <v>0</v>
      </c>
      <c r="FG39" s="91" t="str">
        <f aca="false">IF(NOT(Tasks[[#This Row],[_IsLeaf]]=1),"",IF(Tasks[[#This Row],[_AlapShift]]=0,Tasks[[#This Row],[_LeafCalcStart]],WORKDAY.INTL(Tasks[[#This Row],[_LeafCalcStart]],Tasks[[#This Row],[_AlapShift]],WorkWeek,Holidays)))</f>
        <v/>
      </c>
      <c r="FH39" s="91" t="str">
        <f aca="false">IF(NOT(Tasks[[#This Row],[_IsLeaf]]=1),"",IF(Tasks[[#This Row],[_AlapShift]]=0,Tasks[[#This Row],[_LeafCalcFinish]],WORKDAY.INTL(Tasks[[#This Row],[_LeafCalcFinish]],Tasks[[#This Row],[_AlapShift]],WorkWeek,Holidays)))</f>
        <v/>
      </c>
      <c r="FI39" s="91" t="str">
        <f aca="false">IF(NOT(Tasks[[#This Row],[_IsLeaf]]=1),"",IF(Tasks[[#This Row],[_AlapShift]]=0,Tasks[[#This Row],[_LeafFcstStart]],WORKDAY.INTL(Tasks[[#This Row],[_LeafFcstStart]],Tasks[[#This Row],[_AlapShift]],WorkWeek,Holidays)))</f>
        <v/>
      </c>
      <c r="FJ39" s="91" t="str">
        <f aca="false">IF(NOT(Tasks[[#This Row],[_IsLeaf]]=1),"",IF(Tasks[[#This Row],[_AlapShift]]=0,Tasks[[#This Row],[_LeafFcstFinish]],WORKDAY.INTL(Tasks[[#This Row],[_LeafFcstFinish]],Tasks[[#This Row],[_AlapShift]],WorkWeek,Holidays)))</f>
        <v/>
      </c>
      <c r="FK39" s="91" t="str">
        <f aca="false">IF(Tasks[[#This Row],[Task Name]]="","",IF(Tasks[[#This Row],[_IsSummary]],MIN(INDEX(Tasks[_ShownCalcStart],Tasks[[#This Row],[_Row]]+1):INDEX(Tasks[_ShownCalcStart],Tasks[[#This Row],[_Row]]+Tasks[[#This Row],[_Descendants]])),Tasks[[#This Row],[_ShownCalcStart]]))</f>
        <v/>
      </c>
      <c r="FL39" s="91" t="str">
        <f aca="false">IF(Tasks[[#This Row],[Task Name]]="","",IF(Tasks[[#This Row],[_IsSummary]],MAX(INDEX(Tasks[_ShownCalcFinish],Tasks[[#This Row],[_Row]]+1):INDEX(Tasks[_ShownCalcFinish],Tasks[[#This Row],[_Row]]+Tasks[[#This Row],[_Descendants]])),Tasks[[#This Row],[_ShownCalcFinish]]))</f>
        <v/>
      </c>
      <c r="FM3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9" s="43" t="n">
        <f aca="false">IF(AND(Tasks[[#This Row],[_IsLeaf]]=1,Tasks[[#This Row],[_LeafTotalWork]]&gt;0),NETWORKDAYS.INTL(ProjectStart,Tasks[[#This Row],[_ShownFcstStart]],WorkWeek,Holidays),0)</f>
        <v>0</v>
      </c>
      <c r="FZ39" s="43" t="n">
        <f aca="false">IF(AND(Tasks[[#This Row],[_IsLeaf]]=1,Tasks[[#This Row],[_LeafTotalWork]]&gt;0),MAX(Tasks[[#This Row],[_StartWorkday]],NETWORKDAYS.INTL(ProjectStart,Tasks[[#This Row],[_ShownFcstFinish]],WorkWeek,Holidays)),0)</f>
        <v>0</v>
      </c>
      <c r="GA39" s="43" t="n">
        <f aca="false">IF(AND(Tasks[[#This Row],[_IsLeaf]]=1,Tasks[[#This Row],[_LeafTotalWork]]&gt;0),Tasks[[#This Row],[_LeafWork]]/(Tasks[[#This Row],[_FinishWorkday]]-Tasks[[#This Row],[_StartWorkday]]+1),0)</f>
        <v>0</v>
      </c>
      <c r="GB39" s="43" t="n">
        <f aca="false">Tasks[[#This Row],[_WorkPerWorkday]]*(Tasks[[#This Row],[_StartWorkday]]-1)</f>
        <v>-0</v>
      </c>
      <c r="GC39" s="43" t="n">
        <f aca="false">IF(Tasks[[#This Row],[_IsLeaf]]=1,MAX(N(Tasks[[#This Row],[_Days]]),0.1),0)</f>
        <v>0</v>
      </c>
      <c r="GD39" s="43" t="n">
        <f aca="false">Tasks[[#This Row],[_WeightDur]]*Tasks[[#This Row],[_LeafProgress]]</f>
        <v>0</v>
      </c>
      <c r="GE39" s="43" t="n">
        <f aca="false">Tasks[[#This Row],[_WeightDur]]*Tasks[[#This Row],[_PlannedPct]]</f>
        <v>0</v>
      </c>
      <c r="GF3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9" s="43" t="str">
        <f aca="false">IF(AND(Tasks[[#This Row],[_IsLeaf]]=1,N(Tasks[[#This Row],[_Days]])=0,Tasks[[#This Row],[_LeafProgress]]&lt;1),Tasks[[#This Row],[_ShownFcstFinish]]+Tasks[[#This Row],[_Row]]/100000,"")</f>
        <v/>
      </c>
      <c r="GH3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9" s="43" t="str">
        <f aca="false">IF(Tasks[[#This Row],[Task Name]]="","",LEFT(Tasks[[#This Row],[WBS]],FIND(".",Tasks[[#This Row],[WBS]]&amp;".")-1))</f>
        <v/>
      </c>
      <c r="GJ39" s="43" t="str">
        <f aca="false">IF(AND(Tasks[[#This Row],[Task Name]]&lt;&gt;"",Tasks[[#This Row],[_Level]]=1),Tasks[[#This Row],[_Row]],"")</f>
        <v/>
      </c>
      <c r="GK39" s="43" t="str">
        <f aca="false">IF(AND(Tasks[[#This Row],[_IsLeaf]]=1,N(Tasks[[#This Row],[_Days]])=0),Tasks[[#This Row],[Planned Finish]]+Tasks[[#This Row],[_Row]]/100000,"")</f>
        <v/>
      </c>
      <c r="GL39" s="43" t="str">
        <f aca="false">IF(AND(Tasks[[#This Row],[_IsLeaf]]=1,Tasks[[#This Row],[_LeafProgress]]&lt;1,OR(N(Tasks[[#This Row],[Finish Var]])&gt;0,Tasks[[#This Row],[Status]]="Late Start")),MAX(0,Tasks[[#This Row],[Finish Var]])+1-Tasks[[#This Row],[_Row]]/1000000,"")</f>
        <v/>
      </c>
      <c r="GM39" s="43" t="str">
        <f aca="false">IF(AND(Tasks[[#This Row],[_IsLeaf]]=1,N(Tasks[[#This Row],[Actual Start]])=0,Tasks[[#This Row],[_ShownFcstStart]]&gt;=StatusDate,Tasks[[#This Row],[_ShownFcstStart]]&lt;=LookaheadEnd),Tasks[[#This Row],[_ShownFcstStart]]+Tasks[[#This Row],[_Row]]/100000,"")</f>
        <v/>
      </c>
      <c r="GN39" s="43" t="str">
        <f aca="false">IF(AND(Tasks[[#This Row],[_IsLeaf]]=1,Tasks[[#This Row],[_LeafProgress]]&lt;1,Tasks[[#This Row],[_ShownFcstFinish]]&gt;=StatusDate,Tasks[[#This Row],[_ShownFcstFinish]]&lt;=LookaheadEnd),Tasks[[#This Row],[_ShownFcstFinish]]+Tasks[[#This Row],[_Row]]/100000,"")</f>
        <v/>
      </c>
      <c r="GO39" s="43" t="str">
        <f aca="false">IF(Tasks[[#This Row],[_LeafCritical]],Tasks[[#This Row],[_ShownFcstStart]]+Tasks[[#This Row],[_Row]]/100000,"")</f>
        <v/>
      </c>
      <c r="GP39" s="43" t="n">
        <f aca="false">Tasks[[#This Row],[_LeafWork]]*Tasks[[#This Row],[_LeafProgress]]</f>
        <v>0</v>
      </c>
      <c r="GQ39" s="91" t="str">
        <f aca="false">IF(AND(Tasks[[#This Row],[_IsLeaf]]=1,Tasks[[#This Row],[_LeafProgress]]&gt;=1),IF(N(Tasks[[#This Row],[Actual Finish]])&gt;0,Tasks[[#This Row],[Actual Finish]],Tasks[[#This Row],[_ShownFcstFinish]]),"")</f>
        <v/>
      </c>
      <c r="GR39" s="43" t="n">
        <f aca="false">IF(Tasks[[#This Row],[_IsLeaf]]=1,N(Tasks[[#This Row],[Story Points]]),0)</f>
        <v>0</v>
      </c>
      <c r="GS39" s="43" t="str">
        <f aca="false">""</f>
        <v/>
      </c>
      <c r="GT39" s="90" t="b">
        <f aca="false">IF(Tasks[[#This Row],[Task Name]]="",FALSE(),AND(Tasks[[#This Row],[_IsLeaf]]=1,N(Tasks[[#This Row],[_Days]])=0))</f>
        <v>0</v>
      </c>
      <c r="GU39" s="91" t="n">
        <f aca="false">IF(Tasks[[#This Row],[Task Name]]="",0,IF(AND(Tasks[[#This Row],[_IsLeaf]]=1,NOT(Tasks[[#This Row],[_IsMilestone]]),N(Tasks[[#This Row],[Progress]])&gt;0),Tasks[[#This Row],[Start]],0))</f>
        <v>0</v>
      </c>
      <c r="GV39" s="91" t="n">
        <f aca="false">IF(Tasks[[#This Row],[_DoneFrom]]=0,0,IF(Tasks[[#This Row],[Progress]]&gt;=1,Tasks[[#This Row],[Finish]],MAX(Tasks[[#This Row],[_DoneFrom]],Tasks[[#This Row],[Start]]+ROUND((Tasks[[#This Row],[Finish]]-Tasks[[#This Row],[Start]]+1)*Tasks[[#This Row],[Progress]],0)-1)))</f>
        <v>0</v>
      </c>
      <c r="GW39" s="91" t="n">
        <f aca="false">IF(Tasks[[#This Row],[Task Name]]="",0,IF(OR(NOT(Tasks[[#This Row],[_IsLeaf]]=1),Tasks[[#This Row],[_IsMilestone]],N(Tasks[[#This Row],[Progress]])&gt;=1),0,IF(Tasks[[#This Row],[_DoneTo]]&gt;0,Tasks[[#This Row],[_DoneTo]]+1,Tasks[[#This Row],[Start]])))</f>
        <v>0</v>
      </c>
      <c r="GX39" s="91" t="n">
        <f aca="false">IF(Tasks[[#This Row],[_RemFrom]]=0,0,Tasks[[#This Row],[Finish]])</f>
        <v>0</v>
      </c>
      <c r="GY39" s="90" t="b">
        <f aca="false">IF(Tasks[[#This Row],[Task Name]]="",FALSE(),OR(NOT(BaselineSet),N(Tasks[[#This Row],[Baseline Start]])&gt;0))</f>
        <v>0</v>
      </c>
      <c r="GZ3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9" s="92" t="str">
        <f aca="false">IF(Tasks[[#This Row],[_IsLeaf]]=1,Tasks[[#This Row],[_Row]],"")</f>
        <v/>
      </c>
      <c r="HD39" s="92" t="str">
        <f aca="false">IFERROR(INDEX(Tasks[UID],SMALL(Tasks[_PickKey],Tasks[[#This Row],[_Row]]))&amp;" "&amp;INDEX(Tasks[Task Name],SMALL(Tasks[_PickKey],Tasks[[#This Row],[_Row]])),"")</f>
        <v/>
      </c>
      <c r="HE39" s="43" t="str">
        <f aca="false">IF(Tasks[[#This Row],[Task Name]]="","",IF(Tasks[[#This Row],[_IsSummary]],NETWORKDAYS.INTL(Tasks[[#This Row],[Start]],Tasks[[#This Row],[Finish]],WorkWeek,Holidays),N(Tasks[[#This Row],[_Days]])))</f>
        <v/>
      </c>
      <c r="HF39" s="43" t="n">
        <f aca="false">IF(Tasks[[#This Row],[Expected]]="",0,((Tasks[[#This Row],[Pessimistic]]-Tasks[[#This Row],[Optimistic]])/6)^2)</f>
        <v>0</v>
      </c>
      <c r="HG39" s="43" t="n">
        <f aca="false">IF(Tasks[[#This Row],[Expected]]="",0,Tasks[[#This Row],[Expected]]-N(Tasks[[#This Row],[_Days]]))</f>
        <v>0</v>
      </c>
    </row>
    <row r="40" customFormat="false" ht="15" hidden="false" customHeight="false" outlineLevel="0" collapsed="false">
      <c r="A40" s="21" t="str">
        <f aca="false">IF(Tasks[[#This Row],[Task Name]]="","",COUNTA(Tasks[[#Headers],[Task Name]]:Tasks[[#This Row],[Task Name]])-1)</f>
        <v/>
      </c>
      <c r="B40" s="22" t="n">
        <v>48</v>
      </c>
      <c r="C40" s="22"/>
      <c r="D40" s="23"/>
      <c r="E40" s="22"/>
      <c r="F40" s="23"/>
      <c r="G40" s="22"/>
      <c r="H40" s="22"/>
      <c r="I40" s="23"/>
      <c r="J40" s="22"/>
      <c r="K40" s="22"/>
      <c r="L40" s="23"/>
      <c r="M40" s="22"/>
      <c r="N40" s="22"/>
      <c r="O40" s="23"/>
      <c r="P40" s="22"/>
      <c r="Q40" s="22"/>
      <c r="R40" s="23"/>
      <c r="S40" s="23"/>
      <c r="T40" s="84"/>
      <c r="U40" s="23"/>
      <c r="V40" s="84"/>
      <c r="W40" s="23"/>
      <c r="X40" s="84"/>
      <c r="Y40" s="23"/>
      <c r="Z40" s="84"/>
      <c r="AA40" s="23"/>
      <c r="AB40" s="23"/>
      <c r="AC40" s="7"/>
      <c r="AD40" s="7"/>
      <c r="AE40" s="63" t="str">
        <f aca="false">IF(Tasks[[#This Row],[Task Name]]="","",IF(Tasks[[#This Row],[_IsSummary]],MIN(INDEX(Tasks[_ShownFcstStart],Tasks[[#This Row],[_Row]]+1):INDEX(Tasks[_ShownFcstStart],Tasks[[#This Row],[_Row]]+Tasks[[#This Row],[_Descendants]])),Tasks[[#This Row],[_ShownFcstStart]]))</f>
        <v/>
      </c>
      <c r="AF40" s="63" t="str">
        <f aca="false">IF(Tasks[[#This Row],[Task Name]]="","",IF(Tasks[[#This Row],[_IsSummary]],MAX(INDEX(Tasks[_ShownFcstFinish],Tasks[[#This Row],[_Row]]+1):INDEX(Tasks[_ShownFcstFinish],Tasks[[#This Row],[_Row]]+Tasks[[#This Row],[_Descendants]])),Tasks[[#This Row],[_ShownFcstFinish]]))</f>
        <v/>
      </c>
      <c r="AG40" s="21" t="str">
        <f aca="false">""</f>
        <v/>
      </c>
      <c r="AH40" s="23"/>
      <c r="AI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0" s="7"/>
      <c r="AK40" s="22"/>
      <c r="AL40" s="23"/>
      <c r="AM40" s="7"/>
      <c r="AN40" s="47" t="str">
        <f aca="false">IF(Tasks[[#This Row],[Task Name]]="","",IF(Tasks[[#This Row],[Finish]]&gt;=Tasks[[#This Row],[Planned Finish]],NETWORKDAYS.INTL(Tasks[[#This Row],[Planned Finish]],Tasks[[#This Row],[Finish]],WorkWeek,Holidays)-1,1-NETWORKDAYS.INTL(Tasks[[#This Row],[Finish]],Tasks[[#This Row],[Planned Finish]],WorkWeek,Holidays)))</f>
        <v/>
      </c>
      <c r="AO40" s="21" t="str">
        <f aca="false">IF(Tasks[[#This Row],[Task Name]]="","",IF(Tasks[[#This Row],[Progress]]&gt;=1,"Complete",IF(OR(N(Tasks[[#This Row],[Actual Start]])&gt;0,Tasks[[#This Row],[Progress]]&gt;0),IF(Tasks[[#This Row],[Finish Var]]&gt;0,"Behind","In Progress"),IF(Tasks[[#This Row],[Planned Start]]&lt;StatusDate,"Late Start","Not Started"))))</f>
        <v/>
      </c>
      <c r="AP40" s="21" t="str">
        <f aca="false">IF(Tasks[[#This Row],[Task Name]]="","",IF(IF(Tasks[[#This Row],[_IsSummary]],COUNTIF(INDEX(Tasks[_LeafCritical],Tasks[[#This Row],[_Row]]+1):INDEX(Tasks[_LeafCritical],Tasks[[#This Row],[_Row]]+Tasks[[#This Row],[_Descendants]]),TRUE())&gt;0,Tasks[[#This Row],[_LeafCritical]]),"Yes",""))</f>
        <v/>
      </c>
      <c r="AQ40" s="63" t="str">
        <f aca="false">IF(Tasks[[#This Row],[Task Name]]="","",IF(N(Tasks[[#This Row],[Baseline Start]])&gt;0,Tasks[[#This Row],[Baseline Start]],Tasks[[#This Row],[_CalcStart]]))</f>
        <v/>
      </c>
      <c r="AR40" s="63" t="str">
        <f aca="false">IF(Tasks[[#This Row],[Task Name]]="","",IF(N(Tasks[[#This Row],[Baseline Finish]])&gt;0,Tasks[[#This Row],[Baseline Finish]],Tasks[[#This Row],[_CalcFinish]]))</f>
        <v/>
      </c>
      <c r="AS40" s="47" t="str">
        <f aca="false">IF(Tasks[[#This Row],[Task Name]]="","",IF(Tasks[[#This Row],[Start]]&gt;=Tasks[[#This Row],[Planned Start]],NETWORKDAYS.INTL(Tasks[[#This Row],[Planned Start]],Tasks[[#This Row],[Start]],WorkWeek,Holidays)-1,1-NETWORKDAYS.INTL(Tasks[[#This Row],[Start]],Tasks[[#This Row],[Planned Start]],WorkWeek,Holidays)))</f>
        <v/>
      </c>
      <c r="AT40" s="63" t="str">
        <f aca="false">IF(Tasks[[#This Row],[Task Name]]="","",IF(Tasks[[#This Row],[_IsSummary]],MIN(INDEX(Tasks[_LeafLateStart],Tasks[[#This Row],[_Row]]+1):INDEX(Tasks[_LeafLateStart],Tasks[[#This Row],[_Row]]+Tasks[[#This Row],[_Descendants]])),Tasks[[#This Row],[_LeafLateStart]]))</f>
        <v/>
      </c>
      <c r="AU40" s="63" t="str">
        <f aca="false">IF(Tasks[[#This Row],[Task Name]]="","",IF(Tasks[[#This Row],[_IsSummary]],MAX(INDEX(Tasks[_LeafLateFinish],Tasks[[#This Row],[_Row]]+1):INDEX(Tasks[_LeafLateFinish],Tasks[[#This Row],[_Row]]+Tasks[[#This Row],[_Descendants]])),Tasks[[#This Row],[_LeafLateFinish]]))</f>
        <v/>
      </c>
      <c r="AV40" s="47" t="str">
        <f aca="false">IF(Tasks[[#This Row],[Task Name]]="","",IF(Tasks[[#This Row],[_IsSummary]],MIN(INDEX(Tasks[_LeafTotalSlack],Tasks[[#This Row],[_Row]]+1):INDEX(Tasks[_LeafTotalSlack],Tasks[[#This Row],[_Row]]+Tasks[[#This Row],[_Descendants]])),Tasks[[#This Row],[_LeafTotalSlack]]))</f>
        <v/>
      </c>
      <c r="AW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5"/>
      <c r="BA4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1" t="str">
        <f aca="false">IF(Tasks[[#This Row],[Task Name]]="","",IF(Tasks[[#This Row],[_Level]]&lt;=OutlineShowLevel,"Yes","No"))</f>
        <v/>
      </c>
      <c r="BE40" s="86" t="str">
        <f aca="false">IF(Tasks[[#This Row],[Task Name]]="","",IF(Tasks[[#This Row],[_IsSummary]],SUM(INDEX(Tasks[_LeafTotalWork],Tasks[[#This Row],[_Row]]+1):INDEX(Tasks[_LeafTotalWork],Tasks[[#This Row],[_Row]]+Tasks[[#This Row],[_Descendants]])),Tasks[[#This Row],[_LeafTotalWork]]))</f>
        <v/>
      </c>
      <c r="BF40" s="23"/>
      <c r="BG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0" s="21" t="str">
        <f aca="false">""</f>
        <v/>
      </c>
      <c r="BI40" s="87"/>
      <c r="BJ40" s="22"/>
      <c r="BK40" s="47" t="str">
        <f aca="false">IF(OR(Tasks[[#This Row],[Task Name]]="",Tasks[[#This Row],[Baseline Duration]]=""),"",Tasks[[#This Row],[_SpanDays]]-N(Tasks[[#This Row],[Baseline Duration]]))</f>
        <v/>
      </c>
      <c r="BL40" s="86" t="str">
        <f aca="false">IF(OR(Tasks[[#This Row],[Task Name]]="",Tasks[[#This Row],[Baseline Work]]=""),"",Tasks[[#This Row],[Work]]-N(Tasks[[#This Row],[Baseline Work]]))</f>
        <v/>
      </c>
      <c r="BM40" s="63" t="str">
        <f aca="false">IF(Tasks[[#This Row],[Task Name]]="","",IF(OR(TakeBaseline="Yes",N(Tasks[[#This Row],[Baseline Start]])=0),Tasks[[#This Row],[Start]],Tasks[[#This Row],[Baseline Start]]))</f>
        <v/>
      </c>
      <c r="BN40" s="63" t="str">
        <f aca="false">IF(Tasks[[#This Row],[Task Name]]="","",IF(OR(TakeBaseline="Yes",N(Tasks[[#This Row],[Baseline Finish]])=0),Tasks[[#This Row],[Finish]],Tasks[[#This Row],[Baseline Finish]]))</f>
        <v/>
      </c>
      <c r="BO40" s="21" t="str">
        <f aca="false">IF(Tasks[[#This Row],[Task Name]]="","",IF(OR(TakeBaseline="Yes",N(Tasks[[#This Row],[Baseline Duration]])=0),Tasks[[#This Row],[_SpanDays]],Tasks[[#This Row],[Baseline Duration]]))</f>
        <v/>
      </c>
      <c r="BP40" s="86" t="str">
        <f aca="false">IF(Tasks[[#This Row],[Task Name]]="","",IF(OR(TakeBaseline="Yes",N(Tasks[[#This Row],[Baseline Work]])=0),Tasks[[#This Row],[Work]],Tasks[[#This Row],[Baseline Work]]))</f>
        <v/>
      </c>
      <c r="BQ40" s="7"/>
      <c r="BR40" s="7"/>
      <c r="BS40" s="22"/>
      <c r="BT40" s="88"/>
      <c r="BU40" s="23"/>
      <c r="BV40" s="23"/>
      <c r="BW40" s="23"/>
      <c r="BX40" s="89" t="str">
        <f aca="false">IF(AND(Tasks[[#This Row],[_IsLeaf]]=1,ISNUMBER(Tasks[[#This Row],[Optimistic]]),ISNUMBER(Tasks[[#This Row],[Pessimistic]])),ROUND((Tasks[[#This Row],[Optimistic]]+4*N(Tasks[[#This Row],[_Days]])+Tasks[[#This Row],[Pessimistic]])/6,1),"")</f>
        <v/>
      </c>
      <c r="BY40" s="87"/>
      <c r="BZ40" s="87"/>
      <c r="CA40" s="22"/>
      <c r="CB40" s="43" t="str">
        <f aca="false">IF(Tasks[[#This Row],[Task Name]]="","",MAX(1,N(Tasks[[#This Row],[Level]])))</f>
        <v/>
      </c>
      <c r="CC40" s="43" t="n">
        <f aca="false">ROW()-ROW(Tasks[[#Headers],[ID]])</f>
        <v>35</v>
      </c>
      <c r="CD40" s="43" t="n">
        <f aca="false">IF(OR(Tasks[[#This Row],[Task Name]]="",Tasks[[#This Row],[_Level]]&lt;=1),0,IFERROR(LOOKUP(2,1/(Tasks[[#Headers],[_Level]]:Tasks[[#This Row],[_Level]]=Tasks[[#This Row],[_Level]]-1),ROW(Tasks[[#Headers],[_Level]]:Tasks[[#This Row],[_Level]])),0))</f>
        <v>0</v>
      </c>
      <c r="CE40" s="43" t="n">
        <f aca="false">IFERROR(N(INDEX(Tasks[_Level],Tasks[[#This Row],[_Row]]+1)),0)</f>
        <v>0</v>
      </c>
      <c r="CF40" s="90" t="b">
        <f aca="false">AND(Tasks[[#This Row],[Task Name]]&lt;&gt;"",Tasks[[#This Row],[_NextLevel]]&gt;Tasks[[#This Row],[_Level]])</f>
        <v>0</v>
      </c>
      <c r="CG40" s="43" t="n">
        <f aca="false">IF(Tasks[[#This Row],[_IsSummary]],COUNTIF(Tasks[WBS],Tasks[[#This Row],[WBS]]&amp;".*"),0)</f>
        <v>0</v>
      </c>
      <c r="CH40" s="43" t="n">
        <f aca="false">IF(AND(Tasks[[#This Row],[Task Name]]&lt;&gt;"",NOT(Tasks[[#This Row],[_IsSummary]])),1,0)</f>
        <v>0</v>
      </c>
      <c r="CI40" s="43" t="n">
        <f aca="false">IF(N(Tasks[[#This Row],[_Pred1UID]])=0,0,IFERROR(MATCH(Tasks[[#This Row],[_Pred1UID]],Tasks[UID],0),-1))</f>
        <v>0</v>
      </c>
      <c r="CJ40" s="43" t="n">
        <f aca="false">IF(N(Tasks[[#This Row],[_Pred2UID]])=0,0,IFERROR(MATCH(Tasks[[#This Row],[_Pred2UID]],Tasks[UID],0),-1))</f>
        <v>0</v>
      </c>
      <c r="CK40" s="43" t="n">
        <f aca="false">IF(N(Tasks[[#This Row],[_Pred3UID]])=0,0,IFERROR(MATCH(Tasks[[#This Row],[_Pred3UID]],Tasks[UID],0),-1))</f>
        <v>0</v>
      </c>
      <c r="CL40" s="43" t="n">
        <f aca="false">IF(N(Tasks[[#This Row],[_Pred4UID]])=0,0,IFERROR(MATCH(Tasks[[#This Row],[_Pred4UID]],Tasks[UID],0),-1))</f>
        <v>0</v>
      </c>
      <c r="CM4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0" s="91" t="n">
        <f aca="false">IF(OR(Tasks[[#This Row],[_ConstraintCode]]=2,Tasks[[#This Row],[_ConstraintCode]]=3,Tasks[[#This Row],[_ConstraintCode]]=4,Tasks[[#This Row],[_ConstraintCode]]=6),Tasks[[#This Row],[_ConstraintStart]],0)</f>
        <v>0</v>
      </c>
      <c r="CP40" s="91" t="n">
        <f aca="false">IF(OR(Tasks[[#This Row],[_ConstraintCode]]=2,Tasks[[#This Row],[_ConstraintCode]]=3,Tasks[[#This Row],[_ConstraintCode]]=5,Tasks[[#This Row],[_ConstraintCode]]=7),Tasks[[#This Row],[_ConstraintStart]],2958465)</f>
        <v>2958465</v>
      </c>
      <c r="CQ4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0" s="91" t="str">
        <f aca="false">IF(NOT(Tasks[[#This Row],[_IsLeaf]]=1),"",IF(N(Tasks[[#This Row],[_Days]])&lt;=0,Tasks[[#This Row],[_LeafCalcStart]],WORKDAY.INTL(Tasks[[#This Row],[_LeafCalcStart]],Tasks[[#This Row],[_Days]]-1,WorkWeek,Holidays)))</f>
        <v/>
      </c>
      <c r="CS4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0" s="43" t="str">
        <f aca="false">IF(Tasks[[#This Row],[_Predecessors]]="","",TRIM(MID(SUBSTITUTE(SUBSTITUTE(SUBSTITUTE(UPPER(Tasks[[#This Row],[_Predecessors]]),";",",")," ",""),",",REPT(" ",99)),1,99)))</f>
        <v/>
      </c>
      <c r="CV40" s="43" t="str">
        <f aca="false">IF(Tasks[[#This Row],[_Pred1Text]]="","",IFERROR(VALUE(LEFT(Tasks[[#This Row],[_Pred1Text]],MIN(FIND("F",Tasks[[#This Row],[_Pred1Text]]&amp;"F"),FIND("S",Tasks[[#This Row],[_Pred1Text]]&amp;"S"),FIND("+",Tasks[[#This Row],[_Pred1Text]]&amp;"+"),FIND("-",Tasks[[#This Row],[_Pred1Text]]&amp;"-"))-1)),""))</f>
        <v/>
      </c>
      <c r="CW4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0" s="43" t="str">
        <f aca="false">IF(Tasks[[#This Row],[_Pred1Text]]="","",TRIM(MID(SUBSTITUTE(SUBSTITUTE(SUBSTITUTE(UPPER(Tasks[[#This Row],[_Predecessors]]),";",",")," ",""),",",REPT(" ",99)),100,99)))</f>
        <v/>
      </c>
      <c r="CZ40" s="43" t="str">
        <f aca="false">IF(Tasks[[#This Row],[_Pred2Text]]="","",IFERROR(VALUE(LEFT(Tasks[[#This Row],[_Pred2Text]],MIN(FIND("F",Tasks[[#This Row],[_Pred2Text]]&amp;"F"),FIND("S",Tasks[[#This Row],[_Pred2Text]]&amp;"S"),FIND("+",Tasks[[#This Row],[_Pred2Text]]&amp;"+"),FIND("-",Tasks[[#This Row],[_Pred2Text]]&amp;"-"))-1)),""))</f>
        <v/>
      </c>
      <c r="DA4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0" s="43" t="str">
        <f aca="false">IF(Tasks[[#This Row],[_Pred2Text]]="","",TRIM(MID(SUBSTITUTE(SUBSTITUTE(SUBSTITUTE(UPPER(Tasks[[#This Row],[_Predecessors]]),";",",")," ",""),",",REPT(" ",99)),199,99)))</f>
        <v/>
      </c>
      <c r="DD40" s="43" t="str">
        <f aca="false">IF(Tasks[[#This Row],[_Pred3Text]]="","",IFERROR(VALUE(LEFT(Tasks[[#This Row],[_Pred3Text]],MIN(FIND("F",Tasks[[#This Row],[_Pred3Text]]&amp;"F"),FIND("S",Tasks[[#This Row],[_Pred3Text]]&amp;"S"),FIND("+",Tasks[[#This Row],[_Pred3Text]]&amp;"+"),FIND("-",Tasks[[#This Row],[_Pred3Text]]&amp;"-"))-1)),""))</f>
        <v/>
      </c>
      <c r="DE4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0" s="43" t="str">
        <f aca="false">IF(Tasks[[#This Row],[_Pred3Text]]="","",TRIM(MID(SUBSTITUTE(SUBSTITUTE(SUBSTITUTE(UPPER(Tasks[[#This Row],[_Predecessors]]),";",",")," ",""),",",REPT(" ",99)),298,99)))</f>
        <v/>
      </c>
      <c r="DH40" s="43" t="str">
        <f aca="false">IF(Tasks[[#This Row],[_Pred4Text]]="","",IFERROR(VALUE(LEFT(Tasks[[#This Row],[_Pred4Text]],MIN(FIND("F",Tasks[[#This Row],[_Pred4Text]]&amp;"F"),FIND("S",Tasks[[#This Row],[_Pred4Text]]&amp;"S"),FIND("+",Tasks[[#This Row],[_Pred4Text]]&amp;"+"),FIND("-",Tasks[[#This Row],[_Pred4Text]]&amp;"-"))-1)),""))</f>
        <v/>
      </c>
      <c r="DI4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0" s="43" t="str">
        <f aca="false">IF(OR(Tasks[[#This Row],[Task Name]]="",Tasks[[#This Row],[_Resources]]=""),"",TRIM(MID(SUBSTITUTE(Tasks[[#This Row],[_Resources]],",",REPT(" ",99)),1,99)))</f>
        <v/>
      </c>
      <c r="DL40" s="43" t="str">
        <f aca="false">IF(Tasks[[#This Row],[_Res1Text]]="","",TRIM(MID(SUBSTITUTE(Tasks[[#This Row],[_Resources]],",",REPT(" ",99)),100,99)))</f>
        <v/>
      </c>
      <c r="DM40" s="43" t="str">
        <f aca="false">IF(Tasks[[#This Row],[_Res2Text]]="","",TRIM(MID(SUBSTITUTE(Tasks[[#This Row],[_Resources]],",",REPT(" ",99)),199,99)))</f>
        <v/>
      </c>
      <c r="DN40" s="43" t="str">
        <f aca="false">IF(Tasks[[#This Row],[_Res3Text]]="","",TRIM(MID(SUBSTITUTE(Tasks[[#This Row],[_Resources]],",",REPT(" ",99)),298,99)))</f>
        <v/>
      </c>
      <c r="DO40" s="43" t="n">
        <f aca="false">IF(Tasks[[#This Row],[_Res1Text]]="",0,IFERROR(MATCH(TRIM(LEFT(Tasks[[#This Row],[_Res1Text]],FIND("[",Tasks[[#This Row],[_Res1Text]]&amp;"[")-1)),res_Name,0),IFERROR(MATCH(TRIM(LEFT(Tasks[[#This Row],[_Res1Text]],FIND("[",Tasks[[#This Row],[_Res1Text]]&amp;"[")-1)),res_Initials,0),0)))</f>
        <v>0</v>
      </c>
      <c r="DP40" s="43" t="n">
        <f aca="false">IF(Tasks[[#This Row],[_Res2Text]]="",0,IFERROR(MATCH(TRIM(LEFT(Tasks[[#This Row],[_Res2Text]],FIND("[",Tasks[[#This Row],[_Res2Text]]&amp;"[")-1)),res_Name,0),IFERROR(MATCH(TRIM(LEFT(Tasks[[#This Row],[_Res2Text]],FIND("[",Tasks[[#This Row],[_Res2Text]]&amp;"[")-1)),res_Initials,0),0)))</f>
        <v>0</v>
      </c>
      <c r="DQ40" s="43" t="n">
        <f aca="false">IF(Tasks[[#This Row],[_Res3Text]]="",0,IFERROR(MATCH(TRIM(LEFT(Tasks[[#This Row],[_Res3Text]],FIND("[",Tasks[[#This Row],[_Res3Text]]&amp;"[")-1)),res_Name,0),IFERROR(MATCH(TRIM(LEFT(Tasks[[#This Row],[_Res3Text]],FIND("[",Tasks[[#This Row],[_Res3Text]]&amp;"[")-1)),res_Initials,0),0)))</f>
        <v>0</v>
      </c>
      <c r="DR40" s="43" t="n">
        <f aca="false">IF(Tasks[[#This Row],[_Res4Text]]="",0,IFERROR(MATCH(TRIM(LEFT(Tasks[[#This Row],[_Res4Text]],FIND("[",Tasks[[#This Row],[_Res4Text]]&amp;"[")-1)),res_Name,0),IFERROR(MATCH(TRIM(LEFT(Tasks[[#This Row],[_Res4Text]],FIND("[",Tasks[[#This Row],[_Res4Text]]&amp;"[")-1)),res_Initials,0),0)))</f>
        <v>0</v>
      </c>
      <c r="DS40" s="43" t="str">
        <f aca="false">IF(Tasks[[#This Row],[_Res1Text]]="","",IF(Tasks[[#This Row],[_Res1Row]]&gt;0,INDEX(res_Name,Tasks[[#This Row],[_Res1Row]]),TRIM(LEFT(Tasks[[#This Row],[_Res1Text]],FIND("[",Tasks[[#This Row],[_Res1Text]]&amp;"[")-1))))</f>
        <v/>
      </c>
      <c r="DT4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0" s="43" t="n">
        <f aca="false">IF(NOT(Tasks[[#This Row],[_IsLeaf]]=1),0,(Tasks[[#This Row],[_Resource1]]&lt;&gt;"")+(Tasks[[#This Row],[_Res2]]&lt;&gt;"")+(Tasks[[#This Row],[_Res3]]&lt;&gt;"")+(Tasks[[#This Row],[_Res4]]&lt;&gt;""))</f>
        <v>0</v>
      </c>
      <c r="DV40" s="43" t="str">
        <f aca="false">IF(Tasks[[#This Row],[_Res2Text]]="","",IF(Tasks[[#This Row],[_Res2Row]]&gt;0,INDEX(res_Name,Tasks[[#This Row],[_Res2Row]]),TRIM(LEFT(Tasks[[#This Row],[_Res2Text]],FIND("[",Tasks[[#This Row],[_Res2Text]]&amp;"[")-1))))</f>
        <v/>
      </c>
      <c r="DW4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0" s="43" t="n">
        <f aca="false">IF(OR(NOT(Tasks[[#This Row],[_IsLeaf]]=1),Tasks[[#This Row],[_Res2Row]]=0),0,N(Tasks[[#This Row],[_Days]])*HoursPerDay*IF(Tasks[[#This Row],[_Res2Units]]="",DefaultUnits,Tasks[[#This Row],[_Res2Units]]))</f>
        <v>0</v>
      </c>
      <c r="DY40" s="43" t="n">
        <f aca="false">IF(AND(AND(Tasks[[#This Row],[_IsLeaf]]=1,Tasks[[#This Row],[_LeafTotalWork]]&gt;0),Tasks[[#This Row],[_Res2Work]]&gt;0),Tasks[[#This Row],[_Res2Work]]/(Tasks[[#This Row],[_FinishWorkday]]-Tasks[[#This Row],[_StartWorkday]]+1),0)</f>
        <v>0</v>
      </c>
      <c r="DZ40" s="43" t="n">
        <f aca="false">Tasks[[#This Row],[_Res2WorkPerWD]]*MAX(0,Tasks[[#This Row],[_StartWorkday]]-1)</f>
        <v>0</v>
      </c>
      <c r="EA40" s="43" t="n">
        <f aca="false">Tasks[[#This Row],[_Res2Work]]*Tasks[[#This Row],[_LeafProgress]]</f>
        <v>0</v>
      </c>
      <c r="EB40" s="43" t="str">
        <f aca="false">IF(Tasks[[#This Row],[_Res3Text]]="","",IF(Tasks[[#This Row],[_Res3Row]]&gt;0,INDEX(res_Name,Tasks[[#This Row],[_Res3Row]]),TRIM(LEFT(Tasks[[#This Row],[_Res3Text]],FIND("[",Tasks[[#This Row],[_Res3Text]]&amp;"[")-1))))</f>
        <v/>
      </c>
      <c r="EC4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0" s="43" t="n">
        <f aca="false">IF(OR(NOT(Tasks[[#This Row],[_IsLeaf]]=1),Tasks[[#This Row],[_Res3Row]]=0),0,N(Tasks[[#This Row],[_Days]])*HoursPerDay*IF(Tasks[[#This Row],[_Res3Units]]="",DefaultUnits,Tasks[[#This Row],[_Res3Units]]))</f>
        <v>0</v>
      </c>
      <c r="EE40" s="43" t="n">
        <f aca="false">IF(AND(AND(Tasks[[#This Row],[_IsLeaf]]=1,Tasks[[#This Row],[_LeafTotalWork]]&gt;0),Tasks[[#This Row],[_Res3Work]]&gt;0),Tasks[[#This Row],[_Res3Work]]/(Tasks[[#This Row],[_FinishWorkday]]-Tasks[[#This Row],[_StartWorkday]]+1),0)</f>
        <v>0</v>
      </c>
      <c r="EF40" s="43" t="n">
        <f aca="false">Tasks[[#This Row],[_Res3WorkPerWD]]*MAX(0,Tasks[[#This Row],[_StartWorkday]]-1)</f>
        <v>0</v>
      </c>
      <c r="EG40" s="43" t="n">
        <f aca="false">Tasks[[#This Row],[_Res3Work]]*Tasks[[#This Row],[_LeafProgress]]</f>
        <v>0</v>
      </c>
      <c r="EH40" s="43" t="str">
        <f aca="false">IF(Tasks[[#This Row],[_Res4Text]]="","",IF(Tasks[[#This Row],[_Res4Row]]&gt;0,INDEX(res_Name,Tasks[[#This Row],[_Res4Row]]),TRIM(LEFT(Tasks[[#This Row],[_Res4Text]],FIND("[",Tasks[[#This Row],[_Res4Text]]&amp;"[")-1))))</f>
        <v/>
      </c>
      <c r="EI4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0" s="43" t="n">
        <f aca="false">IF(OR(NOT(Tasks[[#This Row],[_IsLeaf]]=1),Tasks[[#This Row],[_Res4Row]]=0),0,N(Tasks[[#This Row],[_Days]])*HoursPerDay*IF(Tasks[[#This Row],[_Res4Units]]="",DefaultUnits,Tasks[[#This Row],[_Res4Units]]))</f>
        <v>0</v>
      </c>
      <c r="EK40" s="43" t="n">
        <f aca="false">IF(AND(AND(Tasks[[#This Row],[_IsLeaf]]=1,Tasks[[#This Row],[_LeafTotalWork]]&gt;0),Tasks[[#This Row],[_Res4Work]]&gt;0),Tasks[[#This Row],[_Res4Work]]/(Tasks[[#This Row],[_FinishWorkday]]-Tasks[[#This Row],[_StartWorkday]]+1),0)</f>
        <v>0</v>
      </c>
      <c r="EL40" s="43" t="n">
        <f aca="false">Tasks[[#This Row],[_Res4WorkPerWD]]*MAX(0,Tasks[[#This Row],[_StartWorkday]]-1)</f>
        <v>0</v>
      </c>
      <c r="EM40" s="43" t="n">
        <f aca="false">Tasks[[#This Row],[_Res4Work]]*Tasks[[#This Row],[_LeafProgress]]</f>
        <v>0</v>
      </c>
      <c r="EN40" s="43" t="n">
        <f aca="false">IF(ISNUMBER(Tasks[[#This Row],[% Complete]]),Tasks[[#This Row],[% Complete]],IF(Tasks[[#This Row],[Stage]]="",0,IFERROR(INDEX(stg_Pct,MATCH(Tasks[[#This Row],[Stage]],stg_Name,0)),0)))</f>
        <v>0</v>
      </c>
      <c r="EO40" s="43" t="n">
        <f aca="false">IF(NOT(Tasks[[#This Row],[_IsLeaf]]=1),0,IF(N(Tasks[[#This Row],[Actual Finish]])&gt;0,1,MIN(1,Tasks[[#This Row],[_Pct]])))</f>
        <v>0</v>
      </c>
      <c r="EP40" s="43" t="n">
        <f aca="false">IF(OR(NOT(Tasks[[#This Row],[_IsLeaf]]=1),Tasks[[#This Row],[_Res1Row]]=0),0,N(Tasks[[#This Row],[_Days]])*HoursPerDay*IF(Tasks[[#This Row],[_Units1]]="",DefaultUnits,Tasks[[#This Row],[_Units1]]))</f>
        <v>0</v>
      </c>
      <c r="EQ40" s="43" t="n">
        <f aca="false">Tasks[[#This Row],[_LeafWork]]+Tasks[[#This Row],[_Res2Work]]+Tasks[[#This Row],[_Res3Work]]+Tasks[[#This Row],[_Res4Work]]</f>
        <v>0</v>
      </c>
      <c r="ER4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0" s="43" t="n">
        <f aca="false">IF(NOT(Tasks[[#This Row],[_IsLeaf]]=1),0,MAX(_xlfn.MAXIFS(Tasks[_Row],Tasks[_Pred1UID],Tasks[[#This Row],[UID]]),_xlfn.MAXIFS(Tasks[_Row],Tasks[_Pred2UID],Tasks[[#This Row],[UID]]),_xlfn.MAXIFS(Tasks[_Row],Tasks[_Pred3UID],Tasks[[#This Row],[UID]]),_xlfn.MAXIFS(Tasks[_Row],Tasks[_Pred4UID],Tasks[[#This Row],[UID]])))</f>
        <v>0</v>
      </c>
      <c r="FA4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0" s="91" t="str">
        <f aca="false">IF(NOT(Tasks[[#This Row],[_IsLeaf]]=1),"",IF(N(Tasks[[#This Row],[_Days]])&lt;=0,Tasks[[#This Row],[_LeafLateFinish]],WORKDAY.INTL(Tasks[[#This Row],[_LeafLateFinish]],-(Tasks[[#This Row],[_Days]]-1),WorkWeek,Holidays)))</f>
        <v/>
      </c>
      <c r="FD4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0" s="90" t="b">
        <f aca="false">AND(Tasks[[#This Row],[_IsLeaf]]=1,Tasks[[#This Row],[_LeafProgress]]&lt;1,N(Tasks[[#This Row],[_LeafTotalSlack]])&lt;=CriticalSlackDays)</f>
        <v>0</v>
      </c>
      <c r="FF40" s="43" t="n">
        <f aca="false">IF(AND(Tasks[[#This Row],[_IsLeaf]]=1,Tasks[[#This Row],[_ConstraintCode]]=1,Tasks[[#This Row],[Mode]]&lt;&gt;"Manual",N(Tasks[[#This Row],[Actual Start]])=0),MAX(0,N(Tasks[[#This Row],[Free Slack]])),0)</f>
        <v>0</v>
      </c>
      <c r="FG40" s="91" t="str">
        <f aca="false">IF(NOT(Tasks[[#This Row],[_IsLeaf]]=1),"",IF(Tasks[[#This Row],[_AlapShift]]=0,Tasks[[#This Row],[_LeafCalcStart]],WORKDAY.INTL(Tasks[[#This Row],[_LeafCalcStart]],Tasks[[#This Row],[_AlapShift]],WorkWeek,Holidays)))</f>
        <v/>
      </c>
      <c r="FH40" s="91" t="str">
        <f aca="false">IF(NOT(Tasks[[#This Row],[_IsLeaf]]=1),"",IF(Tasks[[#This Row],[_AlapShift]]=0,Tasks[[#This Row],[_LeafCalcFinish]],WORKDAY.INTL(Tasks[[#This Row],[_LeafCalcFinish]],Tasks[[#This Row],[_AlapShift]],WorkWeek,Holidays)))</f>
        <v/>
      </c>
      <c r="FI40" s="91" t="str">
        <f aca="false">IF(NOT(Tasks[[#This Row],[_IsLeaf]]=1),"",IF(Tasks[[#This Row],[_AlapShift]]=0,Tasks[[#This Row],[_LeafFcstStart]],WORKDAY.INTL(Tasks[[#This Row],[_LeafFcstStart]],Tasks[[#This Row],[_AlapShift]],WorkWeek,Holidays)))</f>
        <v/>
      </c>
      <c r="FJ40" s="91" t="str">
        <f aca="false">IF(NOT(Tasks[[#This Row],[_IsLeaf]]=1),"",IF(Tasks[[#This Row],[_AlapShift]]=0,Tasks[[#This Row],[_LeafFcstFinish]],WORKDAY.INTL(Tasks[[#This Row],[_LeafFcstFinish]],Tasks[[#This Row],[_AlapShift]],WorkWeek,Holidays)))</f>
        <v/>
      </c>
      <c r="FK40" s="91" t="str">
        <f aca="false">IF(Tasks[[#This Row],[Task Name]]="","",IF(Tasks[[#This Row],[_IsSummary]],MIN(INDEX(Tasks[_ShownCalcStart],Tasks[[#This Row],[_Row]]+1):INDEX(Tasks[_ShownCalcStart],Tasks[[#This Row],[_Row]]+Tasks[[#This Row],[_Descendants]])),Tasks[[#This Row],[_ShownCalcStart]]))</f>
        <v/>
      </c>
      <c r="FL40" s="91" t="str">
        <f aca="false">IF(Tasks[[#This Row],[Task Name]]="","",IF(Tasks[[#This Row],[_IsSummary]],MAX(INDEX(Tasks[_ShownCalcFinish],Tasks[[#This Row],[_Row]]+1):INDEX(Tasks[_ShownCalcFinish],Tasks[[#This Row],[_Row]]+Tasks[[#This Row],[_Descendants]])),Tasks[[#This Row],[_ShownCalcFinish]]))</f>
        <v/>
      </c>
      <c r="FM4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0" s="43" t="n">
        <f aca="false">IF(AND(Tasks[[#This Row],[_IsLeaf]]=1,Tasks[[#This Row],[_LeafTotalWork]]&gt;0),NETWORKDAYS.INTL(ProjectStart,Tasks[[#This Row],[_ShownFcstStart]],WorkWeek,Holidays),0)</f>
        <v>0</v>
      </c>
      <c r="FZ40" s="43" t="n">
        <f aca="false">IF(AND(Tasks[[#This Row],[_IsLeaf]]=1,Tasks[[#This Row],[_LeafTotalWork]]&gt;0),MAX(Tasks[[#This Row],[_StartWorkday]],NETWORKDAYS.INTL(ProjectStart,Tasks[[#This Row],[_ShownFcstFinish]],WorkWeek,Holidays)),0)</f>
        <v>0</v>
      </c>
      <c r="GA40" s="43" t="n">
        <f aca="false">IF(AND(Tasks[[#This Row],[_IsLeaf]]=1,Tasks[[#This Row],[_LeafTotalWork]]&gt;0),Tasks[[#This Row],[_LeafWork]]/(Tasks[[#This Row],[_FinishWorkday]]-Tasks[[#This Row],[_StartWorkday]]+1),0)</f>
        <v>0</v>
      </c>
      <c r="GB40" s="43" t="n">
        <f aca="false">Tasks[[#This Row],[_WorkPerWorkday]]*(Tasks[[#This Row],[_StartWorkday]]-1)</f>
        <v>-0</v>
      </c>
      <c r="GC40" s="43" t="n">
        <f aca="false">IF(Tasks[[#This Row],[_IsLeaf]]=1,MAX(N(Tasks[[#This Row],[_Days]]),0.1),0)</f>
        <v>0</v>
      </c>
      <c r="GD40" s="43" t="n">
        <f aca="false">Tasks[[#This Row],[_WeightDur]]*Tasks[[#This Row],[_LeafProgress]]</f>
        <v>0</v>
      </c>
      <c r="GE40" s="43" t="n">
        <f aca="false">Tasks[[#This Row],[_WeightDur]]*Tasks[[#This Row],[_PlannedPct]]</f>
        <v>0</v>
      </c>
      <c r="GF4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0" s="43" t="str">
        <f aca="false">IF(AND(Tasks[[#This Row],[_IsLeaf]]=1,N(Tasks[[#This Row],[_Days]])=0,Tasks[[#This Row],[_LeafProgress]]&lt;1),Tasks[[#This Row],[_ShownFcstFinish]]+Tasks[[#This Row],[_Row]]/100000,"")</f>
        <v/>
      </c>
      <c r="GH4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0" s="43" t="str">
        <f aca="false">IF(Tasks[[#This Row],[Task Name]]="","",LEFT(Tasks[[#This Row],[WBS]],FIND(".",Tasks[[#This Row],[WBS]]&amp;".")-1))</f>
        <v/>
      </c>
      <c r="GJ40" s="43" t="str">
        <f aca="false">IF(AND(Tasks[[#This Row],[Task Name]]&lt;&gt;"",Tasks[[#This Row],[_Level]]=1),Tasks[[#This Row],[_Row]],"")</f>
        <v/>
      </c>
      <c r="GK40" s="43" t="str">
        <f aca="false">IF(AND(Tasks[[#This Row],[_IsLeaf]]=1,N(Tasks[[#This Row],[_Days]])=0),Tasks[[#This Row],[Planned Finish]]+Tasks[[#This Row],[_Row]]/100000,"")</f>
        <v/>
      </c>
      <c r="GL40" s="43" t="str">
        <f aca="false">IF(AND(Tasks[[#This Row],[_IsLeaf]]=1,Tasks[[#This Row],[_LeafProgress]]&lt;1,OR(N(Tasks[[#This Row],[Finish Var]])&gt;0,Tasks[[#This Row],[Status]]="Late Start")),MAX(0,Tasks[[#This Row],[Finish Var]])+1-Tasks[[#This Row],[_Row]]/1000000,"")</f>
        <v/>
      </c>
      <c r="GM40" s="43" t="str">
        <f aca="false">IF(AND(Tasks[[#This Row],[_IsLeaf]]=1,N(Tasks[[#This Row],[Actual Start]])=0,Tasks[[#This Row],[_ShownFcstStart]]&gt;=StatusDate,Tasks[[#This Row],[_ShownFcstStart]]&lt;=LookaheadEnd),Tasks[[#This Row],[_ShownFcstStart]]+Tasks[[#This Row],[_Row]]/100000,"")</f>
        <v/>
      </c>
      <c r="GN40" s="43" t="str">
        <f aca="false">IF(AND(Tasks[[#This Row],[_IsLeaf]]=1,Tasks[[#This Row],[_LeafProgress]]&lt;1,Tasks[[#This Row],[_ShownFcstFinish]]&gt;=StatusDate,Tasks[[#This Row],[_ShownFcstFinish]]&lt;=LookaheadEnd),Tasks[[#This Row],[_ShownFcstFinish]]+Tasks[[#This Row],[_Row]]/100000,"")</f>
        <v/>
      </c>
      <c r="GO40" s="43" t="str">
        <f aca="false">IF(Tasks[[#This Row],[_LeafCritical]],Tasks[[#This Row],[_ShownFcstStart]]+Tasks[[#This Row],[_Row]]/100000,"")</f>
        <v/>
      </c>
      <c r="GP40" s="43" t="n">
        <f aca="false">Tasks[[#This Row],[_LeafWork]]*Tasks[[#This Row],[_LeafProgress]]</f>
        <v>0</v>
      </c>
      <c r="GQ40" s="91" t="str">
        <f aca="false">IF(AND(Tasks[[#This Row],[_IsLeaf]]=1,Tasks[[#This Row],[_LeafProgress]]&gt;=1),IF(N(Tasks[[#This Row],[Actual Finish]])&gt;0,Tasks[[#This Row],[Actual Finish]],Tasks[[#This Row],[_ShownFcstFinish]]),"")</f>
        <v/>
      </c>
      <c r="GR40" s="43" t="n">
        <f aca="false">IF(Tasks[[#This Row],[_IsLeaf]]=1,N(Tasks[[#This Row],[Story Points]]),0)</f>
        <v>0</v>
      </c>
      <c r="GS40" s="43" t="str">
        <f aca="false">""</f>
        <v/>
      </c>
      <c r="GT40" s="90" t="b">
        <f aca="false">IF(Tasks[[#This Row],[Task Name]]="",FALSE(),AND(Tasks[[#This Row],[_IsLeaf]]=1,N(Tasks[[#This Row],[_Days]])=0))</f>
        <v>0</v>
      </c>
      <c r="GU40" s="91" t="n">
        <f aca="false">IF(Tasks[[#This Row],[Task Name]]="",0,IF(AND(Tasks[[#This Row],[_IsLeaf]]=1,NOT(Tasks[[#This Row],[_IsMilestone]]),N(Tasks[[#This Row],[Progress]])&gt;0),Tasks[[#This Row],[Start]],0))</f>
        <v>0</v>
      </c>
      <c r="GV40" s="91" t="n">
        <f aca="false">IF(Tasks[[#This Row],[_DoneFrom]]=0,0,IF(Tasks[[#This Row],[Progress]]&gt;=1,Tasks[[#This Row],[Finish]],MAX(Tasks[[#This Row],[_DoneFrom]],Tasks[[#This Row],[Start]]+ROUND((Tasks[[#This Row],[Finish]]-Tasks[[#This Row],[Start]]+1)*Tasks[[#This Row],[Progress]],0)-1)))</f>
        <v>0</v>
      </c>
      <c r="GW40" s="91" t="n">
        <f aca="false">IF(Tasks[[#This Row],[Task Name]]="",0,IF(OR(NOT(Tasks[[#This Row],[_IsLeaf]]=1),Tasks[[#This Row],[_IsMilestone]],N(Tasks[[#This Row],[Progress]])&gt;=1),0,IF(Tasks[[#This Row],[_DoneTo]]&gt;0,Tasks[[#This Row],[_DoneTo]]+1,Tasks[[#This Row],[Start]])))</f>
        <v>0</v>
      </c>
      <c r="GX40" s="91" t="n">
        <f aca="false">IF(Tasks[[#This Row],[_RemFrom]]=0,0,Tasks[[#This Row],[Finish]])</f>
        <v>0</v>
      </c>
      <c r="GY40" s="90" t="b">
        <f aca="false">IF(Tasks[[#This Row],[Task Name]]="",FALSE(),OR(NOT(BaselineSet),N(Tasks[[#This Row],[Baseline Start]])&gt;0))</f>
        <v>0</v>
      </c>
      <c r="GZ4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0" s="92" t="str">
        <f aca="false">IF(Tasks[[#This Row],[_IsLeaf]]=1,Tasks[[#This Row],[_Row]],"")</f>
        <v/>
      </c>
      <c r="HD40" s="92" t="str">
        <f aca="false">IFERROR(INDEX(Tasks[UID],SMALL(Tasks[_PickKey],Tasks[[#This Row],[_Row]]))&amp;" "&amp;INDEX(Tasks[Task Name],SMALL(Tasks[_PickKey],Tasks[[#This Row],[_Row]])),"")</f>
        <v/>
      </c>
      <c r="HE40" s="43" t="str">
        <f aca="false">IF(Tasks[[#This Row],[Task Name]]="","",IF(Tasks[[#This Row],[_IsSummary]],NETWORKDAYS.INTL(Tasks[[#This Row],[Start]],Tasks[[#This Row],[Finish]],WorkWeek,Holidays),N(Tasks[[#This Row],[_Days]])))</f>
        <v/>
      </c>
      <c r="HF40" s="43" t="n">
        <f aca="false">IF(Tasks[[#This Row],[Expected]]="",0,((Tasks[[#This Row],[Pessimistic]]-Tasks[[#This Row],[Optimistic]])/6)^2)</f>
        <v>0</v>
      </c>
      <c r="HG40" s="43" t="n">
        <f aca="false">IF(Tasks[[#This Row],[Expected]]="",0,Tasks[[#This Row],[Expected]]-N(Tasks[[#This Row],[_Days]]))</f>
        <v>0</v>
      </c>
    </row>
    <row r="41" customFormat="false" ht="15" hidden="false" customHeight="false" outlineLevel="0" collapsed="false">
      <c r="A41" s="21" t="str">
        <f aca="false">IF(Tasks[[#This Row],[Task Name]]="","",COUNTA(Tasks[[#Headers],[Task Name]]:Tasks[[#This Row],[Task Name]])-1)</f>
        <v/>
      </c>
      <c r="B41" s="22" t="n">
        <v>49</v>
      </c>
      <c r="C41" s="22"/>
      <c r="D41" s="23"/>
      <c r="E41" s="22"/>
      <c r="F41" s="23"/>
      <c r="G41" s="22"/>
      <c r="H41" s="22"/>
      <c r="I41" s="23"/>
      <c r="J41" s="22"/>
      <c r="K41" s="22"/>
      <c r="L41" s="23"/>
      <c r="M41" s="22"/>
      <c r="N41" s="22"/>
      <c r="O41" s="23"/>
      <c r="P41" s="22"/>
      <c r="Q41" s="22"/>
      <c r="R41" s="23"/>
      <c r="S41" s="23"/>
      <c r="T41" s="84"/>
      <c r="U41" s="23"/>
      <c r="V41" s="84"/>
      <c r="W41" s="23"/>
      <c r="X41" s="84"/>
      <c r="Y41" s="23"/>
      <c r="Z41" s="84"/>
      <c r="AA41" s="23"/>
      <c r="AB41" s="23"/>
      <c r="AC41" s="7"/>
      <c r="AD41" s="7"/>
      <c r="AE41" s="63" t="str">
        <f aca="false">IF(Tasks[[#This Row],[Task Name]]="","",IF(Tasks[[#This Row],[_IsSummary]],MIN(INDEX(Tasks[_ShownFcstStart],Tasks[[#This Row],[_Row]]+1):INDEX(Tasks[_ShownFcstStart],Tasks[[#This Row],[_Row]]+Tasks[[#This Row],[_Descendants]])),Tasks[[#This Row],[_ShownFcstStart]]))</f>
        <v/>
      </c>
      <c r="AF41" s="63" t="str">
        <f aca="false">IF(Tasks[[#This Row],[Task Name]]="","",IF(Tasks[[#This Row],[_IsSummary]],MAX(INDEX(Tasks[_ShownFcstFinish],Tasks[[#This Row],[_Row]]+1):INDEX(Tasks[_ShownFcstFinish],Tasks[[#This Row],[_Row]]+Tasks[[#This Row],[_Descendants]])),Tasks[[#This Row],[_ShownFcstFinish]]))</f>
        <v/>
      </c>
      <c r="AG41" s="21" t="str">
        <f aca="false">""</f>
        <v/>
      </c>
      <c r="AH41" s="23"/>
      <c r="AI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1" s="7"/>
      <c r="AK41" s="22"/>
      <c r="AL41" s="23"/>
      <c r="AM41" s="7"/>
      <c r="AN41" s="47" t="str">
        <f aca="false">IF(Tasks[[#This Row],[Task Name]]="","",IF(Tasks[[#This Row],[Finish]]&gt;=Tasks[[#This Row],[Planned Finish]],NETWORKDAYS.INTL(Tasks[[#This Row],[Planned Finish]],Tasks[[#This Row],[Finish]],WorkWeek,Holidays)-1,1-NETWORKDAYS.INTL(Tasks[[#This Row],[Finish]],Tasks[[#This Row],[Planned Finish]],WorkWeek,Holidays)))</f>
        <v/>
      </c>
      <c r="AO41" s="21" t="str">
        <f aca="false">IF(Tasks[[#This Row],[Task Name]]="","",IF(Tasks[[#This Row],[Progress]]&gt;=1,"Complete",IF(OR(N(Tasks[[#This Row],[Actual Start]])&gt;0,Tasks[[#This Row],[Progress]]&gt;0),IF(Tasks[[#This Row],[Finish Var]]&gt;0,"Behind","In Progress"),IF(Tasks[[#This Row],[Planned Start]]&lt;StatusDate,"Late Start","Not Started"))))</f>
        <v/>
      </c>
      <c r="AP41" s="21" t="str">
        <f aca="false">IF(Tasks[[#This Row],[Task Name]]="","",IF(IF(Tasks[[#This Row],[_IsSummary]],COUNTIF(INDEX(Tasks[_LeafCritical],Tasks[[#This Row],[_Row]]+1):INDEX(Tasks[_LeafCritical],Tasks[[#This Row],[_Row]]+Tasks[[#This Row],[_Descendants]]),TRUE())&gt;0,Tasks[[#This Row],[_LeafCritical]]),"Yes",""))</f>
        <v/>
      </c>
      <c r="AQ41" s="63" t="str">
        <f aca="false">IF(Tasks[[#This Row],[Task Name]]="","",IF(N(Tasks[[#This Row],[Baseline Start]])&gt;0,Tasks[[#This Row],[Baseline Start]],Tasks[[#This Row],[_CalcStart]]))</f>
        <v/>
      </c>
      <c r="AR41" s="63" t="str">
        <f aca="false">IF(Tasks[[#This Row],[Task Name]]="","",IF(N(Tasks[[#This Row],[Baseline Finish]])&gt;0,Tasks[[#This Row],[Baseline Finish]],Tasks[[#This Row],[_CalcFinish]]))</f>
        <v/>
      </c>
      <c r="AS41" s="47" t="str">
        <f aca="false">IF(Tasks[[#This Row],[Task Name]]="","",IF(Tasks[[#This Row],[Start]]&gt;=Tasks[[#This Row],[Planned Start]],NETWORKDAYS.INTL(Tasks[[#This Row],[Planned Start]],Tasks[[#This Row],[Start]],WorkWeek,Holidays)-1,1-NETWORKDAYS.INTL(Tasks[[#This Row],[Start]],Tasks[[#This Row],[Planned Start]],WorkWeek,Holidays)))</f>
        <v/>
      </c>
      <c r="AT41" s="63" t="str">
        <f aca="false">IF(Tasks[[#This Row],[Task Name]]="","",IF(Tasks[[#This Row],[_IsSummary]],MIN(INDEX(Tasks[_LeafLateStart],Tasks[[#This Row],[_Row]]+1):INDEX(Tasks[_LeafLateStart],Tasks[[#This Row],[_Row]]+Tasks[[#This Row],[_Descendants]])),Tasks[[#This Row],[_LeafLateStart]]))</f>
        <v/>
      </c>
      <c r="AU41" s="63" t="str">
        <f aca="false">IF(Tasks[[#This Row],[Task Name]]="","",IF(Tasks[[#This Row],[_IsSummary]],MAX(INDEX(Tasks[_LeafLateFinish],Tasks[[#This Row],[_Row]]+1):INDEX(Tasks[_LeafLateFinish],Tasks[[#This Row],[_Row]]+Tasks[[#This Row],[_Descendants]])),Tasks[[#This Row],[_LeafLateFinish]]))</f>
        <v/>
      </c>
      <c r="AV41" s="47" t="str">
        <f aca="false">IF(Tasks[[#This Row],[Task Name]]="","",IF(Tasks[[#This Row],[_IsSummary]],MIN(INDEX(Tasks[_LeafTotalSlack],Tasks[[#This Row],[_Row]]+1):INDEX(Tasks[_LeafTotalSlack],Tasks[[#This Row],[_Row]]+Tasks[[#This Row],[_Descendants]])),Tasks[[#This Row],[_LeafTotalSlack]]))</f>
        <v/>
      </c>
      <c r="AW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5"/>
      <c r="BA4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1" t="str">
        <f aca="false">IF(Tasks[[#This Row],[Task Name]]="","",IF(Tasks[[#This Row],[_Level]]&lt;=OutlineShowLevel,"Yes","No"))</f>
        <v/>
      </c>
      <c r="BE41" s="86" t="str">
        <f aca="false">IF(Tasks[[#This Row],[Task Name]]="","",IF(Tasks[[#This Row],[_IsSummary]],SUM(INDEX(Tasks[_LeafTotalWork],Tasks[[#This Row],[_Row]]+1):INDEX(Tasks[_LeafTotalWork],Tasks[[#This Row],[_Row]]+Tasks[[#This Row],[_Descendants]])),Tasks[[#This Row],[_LeafTotalWork]]))</f>
        <v/>
      </c>
      <c r="BF41" s="23"/>
      <c r="BG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1" s="21" t="str">
        <f aca="false">""</f>
        <v/>
      </c>
      <c r="BI41" s="87"/>
      <c r="BJ41" s="22"/>
      <c r="BK41" s="47" t="str">
        <f aca="false">IF(OR(Tasks[[#This Row],[Task Name]]="",Tasks[[#This Row],[Baseline Duration]]=""),"",Tasks[[#This Row],[_SpanDays]]-N(Tasks[[#This Row],[Baseline Duration]]))</f>
        <v/>
      </c>
      <c r="BL41" s="86" t="str">
        <f aca="false">IF(OR(Tasks[[#This Row],[Task Name]]="",Tasks[[#This Row],[Baseline Work]]=""),"",Tasks[[#This Row],[Work]]-N(Tasks[[#This Row],[Baseline Work]]))</f>
        <v/>
      </c>
      <c r="BM41" s="63" t="str">
        <f aca="false">IF(Tasks[[#This Row],[Task Name]]="","",IF(OR(TakeBaseline="Yes",N(Tasks[[#This Row],[Baseline Start]])=0),Tasks[[#This Row],[Start]],Tasks[[#This Row],[Baseline Start]]))</f>
        <v/>
      </c>
      <c r="BN41" s="63" t="str">
        <f aca="false">IF(Tasks[[#This Row],[Task Name]]="","",IF(OR(TakeBaseline="Yes",N(Tasks[[#This Row],[Baseline Finish]])=0),Tasks[[#This Row],[Finish]],Tasks[[#This Row],[Baseline Finish]]))</f>
        <v/>
      </c>
      <c r="BO41" s="21" t="str">
        <f aca="false">IF(Tasks[[#This Row],[Task Name]]="","",IF(OR(TakeBaseline="Yes",N(Tasks[[#This Row],[Baseline Duration]])=0),Tasks[[#This Row],[_SpanDays]],Tasks[[#This Row],[Baseline Duration]]))</f>
        <v/>
      </c>
      <c r="BP41" s="86" t="str">
        <f aca="false">IF(Tasks[[#This Row],[Task Name]]="","",IF(OR(TakeBaseline="Yes",N(Tasks[[#This Row],[Baseline Work]])=0),Tasks[[#This Row],[Work]],Tasks[[#This Row],[Baseline Work]]))</f>
        <v/>
      </c>
      <c r="BQ41" s="7"/>
      <c r="BR41" s="7"/>
      <c r="BS41" s="22"/>
      <c r="BT41" s="88"/>
      <c r="BU41" s="23"/>
      <c r="BV41" s="23"/>
      <c r="BW41" s="23"/>
      <c r="BX41" s="89" t="str">
        <f aca="false">IF(AND(Tasks[[#This Row],[_IsLeaf]]=1,ISNUMBER(Tasks[[#This Row],[Optimistic]]),ISNUMBER(Tasks[[#This Row],[Pessimistic]])),ROUND((Tasks[[#This Row],[Optimistic]]+4*N(Tasks[[#This Row],[_Days]])+Tasks[[#This Row],[Pessimistic]])/6,1),"")</f>
        <v/>
      </c>
      <c r="BY41" s="87"/>
      <c r="BZ41" s="87"/>
      <c r="CA41" s="22"/>
      <c r="CB41" s="43" t="str">
        <f aca="false">IF(Tasks[[#This Row],[Task Name]]="","",MAX(1,N(Tasks[[#This Row],[Level]])))</f>
        <v/>
      </c>
      <c r="CC41" s="43" t="n">
        <f aca="false">ROW()-ROW(Tasks[[#Headers],[ID]])</f>
        <v>36</v>
      </c>
      <c r="CD41" s="43" t="n">
        <f aca="false">IF(OR(Tasks[[#This Row],[Task Name]]="",Tasks[[#This Row],[_Level]]&lt;=1),0,IFERROR(LOOKUP(2,1/(Tasks[[#Headers],[_Level]]:Tasks[[#This Row],[_Level]]=Tasks[[#This Row],[_Level]]-1),ROW(Tasks[[#Headers],[_Level]]:Tasks[[#This Row],[_Level]])),0))</f>
        <v>0</v>
      </c>
      <c r="CE41" s="43" t="n">
        <f aca="false">IFERROR(N(INDEX(Tasks[_Level],Tasks[[#This Row],[_Row]]+1)),0)</f>
        <v>0</v>
      </c>
      <c r="CF41" s="90" t="b">
        <f aca="false">AND(Tasks[[#This Row],[Task Name]]&lt;&gt;"",Tasks[[#This Row],[_NextLevel]]&gt;Tasks[[#This Row],[_Level]])</f>
        <v>0</v>
      </c>
      <c r="CG41" s="43" t="n">
        <f aca="false">IF(Tasks[[#This Row],[_IsSummary]],COUNTIF(Tasks[WBS],Tasks[[#This Row],[WBS]]&amp;".*"),0)</f>
        <v>0</v>
      </c>
      <c r="CH41" s="43" t="n">
        <f aca="false">IF(AND(Tasks[[#This Row],[Task Name]]&lt;&gt;"",NOT(Tasks[[#This Row],[_IsSummary]])),1,0)</f>
        <v>0</v>
      </c>
      <c r="CI41" s="43" t="n">
        <f aca="false">IF(N(Tasks[[#This Row],[_Pred1UID]])=0,0,IFERROR(MATCH(Tasks[[#This Row],[_Pred1UID]],Tasks[UID],0),-1))</f>
        <v>0</v>
      </c>
      <c r="CJ41" s="43" t="n">
        <f aca="false">IF(N(Tasks[[#This Row],[_Pred2UID]])=0,0,IFERROR(MATCH(Tasks[[#This Row],[_Pred2UID]],Tasks[UID],0),-1))</f>
        <v>0</v>
      </c>
      <c r="CK41" s="43" t="n">
        <f aca="false">IF(N(Tasks[[#This Row],[_Pred3UID]])=0,0,IFERROR(MATCH(Tasks[[#This Row],[_Pred3UID]],Tasks[UID],0),-1))</f>
        <v>0</v>
      </c>
      <c r="CL41" s="43" t="n">
        <f aca="false">IF(N(Tasks[[#This Row],[_Pred4UID]])=0,0,IFERROR(MATCH(Tasks[[#This Row],[_Pred4UID]],Tasks[UID],0),-1))</f>
        <v>0</v>
      </c>
      <c r="CM4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1" s="91" t="n">
        <f aca="false">IF(OR(Tasks[[#This Row],[_ConstraintCode]]=2,Tasks[[#This Row],[_ConstraintCode]]=3,Tasks[[#This Row],[_ConstraintCode]]=4,Tasks[[#This Row],[_ConstraintCode]]=6),Tasks[[#This Row],[_ConstraintStart]],0)</f>
        <v>0</v>
      </c>
      <c r="CP41" s="91" t="n">
        <f aca="false">IF(OR(Tasks[[#This Row],[_ConstraintCode]]=2,Tasks[[#This Row],[_ConstraintCode]]=3,Tasks[[#This Row],[_ConstraintCode]]=5,Tasks[[#This Row],[_ConstraintCode]]=7),Tasks[[#This Row],[_ConstraintStart]],2958465)</f>
        <v>2958465</v>
      </c>
      <c r="CQ4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1" s="91" t="str">
        <f aca="false">IF(NOT(Tasks[[#This Row],[_IsLeaf]]=1),"",IF(N(Tasks[[#This Row],[_Days]])&lt;=0,Tasks[[#This Row],[_LeafCalcStart]],WORKDAY.INTL(Tasks[[#This Row],[_LeafCalcStart]],Tasks[[#This Row],[_Days]]-1,WorkWeek,Holidays)))</f>
        <v/>
      </c>
      <c r="CS4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1" s="43" t="str">
        <f aca="false">IF(Tasks[[#This Row],[_Predecessors]]="","",TRIM(MID(SUBSTITUTE(SUBSTITUTE(SUBSTITUTE(UPPER(Tasks[[#This Row],[_Predecessors]]),";",",")," ",""),",",REPT(" ",99)),1,99)))</f>
        <v/>
      </c>
      <c r="CV41" s="43" t="str">
        <f aca="false">IF(Tasks[[#This Row],[_Pred1Text]]="","",IFERROR(VALUE(LEFT(Tasks[[#This Row],[_Pred1Text]],MIN(FIND("F",Tasks[[#This Row],[_Pred1Text]]&amp;"F"),FIND("S",Tasks[[#This Row],[_Pred1Text]]&amp;"S"),FIND("+",Tasks[[#This Row],[_Pred1Text]]&amp;"+"),FIND("-",Tasks[[#This Row],[_Pred1Text]]&amp;"-"))-1)),""))</f>
        <v/>
      </c>
      <c r="CW4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1" s="43" t="str">
        <f aca="false">IF(Tasks[[#This Row],[_Pred1Text]]="","",TRIM(MID(SUBSTITUTE(SUBSTITUTE(SUBSTITUTE(UPPER(Tasks[[#This Row],[_Predecessors]]),";",",")," ",""),",",REPT(" ",99)),100,99)))</f>
        <v/>
      </c>
      <c r="CZ41" s="43" t="str">
        <f aca="false">IF(Tasks[[#This Row],[_Pred2Text]]="","",IFERROR(VALUE(LEFT(Tasks[[#This Row],[_Pred2Text]],MIN(FIND("F",Tasks[[#This Row],[_Pred2Text]]&amp;"F"),FIND("S",Tasks[[#This Row],[_Pred2Text]]&amp;"S"),FIND("+",Tasks[[#This Row],[_Pred2Text]]&amp;"+"),FIND("-",Tasks[[#This Row],[_Pred2Text]]&amp;"-"))-1)),""))</f>
        <v/>
      </c>
      <c r="DA4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1" s="43" t="str">
        <f aca="false">IF(Tasks[[#This Row],[_Pred2Text]]="","",TRIM(MID(SUBSTITUTE(SUBSTITUTE(SUBSTITUTE(UPPER(Tasks[[#This Row],[_Predecessors]]),";",",")," ",""),",",REPT(" ",99)),199,99)))</f>
        <v/>
      </c>
      <c r="DD41" s="43" t="str">
        <f aca="false">IF(Tasks[[#This Row],[_Pred3Text]]="","",IFERROR(VALUE(LEFT(Tasks[[#This Row],[_Pred3Text]],MIN(FIND("F",Tasks[[#This Row],[_Pred3Text]]&amp;"F"),FIND("S",Tasks[[#This Row],[_Pred3Text]]&amp;"S"),FIND("+",Tasks[[#This Row],[_Pred3Text]]&amp;"+"),FIND("-",Tasks[[#This Row],[_Pred3Text]]&amp;"-"))-1)),""))</f>
        <v/>
      </c>
      <c r="DE4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1" s="43" t="str">
        <f aca="false">IF(Tasks[[#This Row],[_Pred3Text]]="","",TRIM(MID(SUBSTITUTE(SUBSTITUTE(SUBSTITUTE(UPPER(Tasks[[#This Row],[_Predecessors]]),";",",")," ",""),",",REPT(" ",99)),298,99)))</f>
        <v/>
      </c>
      <c r="DH41" s="43" t="str">
        <f aca="false">IF(Tasks[[#This Row],[_Pred4Text]]="","",IFERROR(VALUE(LEFT(Tasks[[#This Row],[_Pred4Text]],MIN(FIND("F",Tasks[[#This Row],[_Pred4Text]]&amp;"F"),FIND("S",Tasks[[#This Row],[_Pred4Text]]&amp;"S"),FIND("+",Tasks[[#This Row],[_Pred4Text]]&amp;"+"),FIND("-",Tasks[[#This Row],[_Pred4Text]]&amp;"-"))-1)),""))</f>
        <v/>
      </c>
      <c r="DI4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1" s="43" t="str">
        <f aca="false">IF(OR(Tasks[[#This Row],[Task Name]]="",Tasks[[#This Row],[_Resources]]=""),"",TRIM(MID(SUBSTITUTE(Tasks[[#This Row],[_Resources]],",",REPT(" ",99)),1,99)))</f>
        <v/>
      </c>
      <c r="DL41" s="43" t="str">
        <f aca="false">IF(Tasks[[#This Row],[_Res1Text]]="","",TRIM(MID(SUBSTITUTE(Tasks[[#This Row],[_Resources]],",",REPT(" ",99)),100,99)))</f>
        <v/>
      </c>
      <c r="DM41" s="43" t="str">
        <f aca="false">IF(Tasks[[#This Row],[_Res2Text]]="","",TRIM(MID(SUBSTITUTE(Tasks[[#This Row],[_Resources]],",",REPT(" ",99)),199,99)))</f>
        <v/>
      </c>
      <c r="DN41" s="43" t="str">
        <f aca="false">IF(Tasks[[#This Row],[_Res3Text]]="","",TRIM(MID(SUBSTITUTE(Tasks[[#This Row],[_Resources]],",",REPT(" ",99)),298,99)))</f>
        <v/>
      </c>
      <c r="DO41" s="43" t="n">
        <f aca="false">IF(Tasks[[#This Row],[_Res1Text]]="",0,IFERROR(MATCH(TRIM(LEFT(Tasks[[#This Row],[_Res1Text]],FIND("[",Tasks[[#This Row],[_Res1Text]]&amp;"[")-1)),res_Name,0),IFERROR(MATCH(TRIM(LEFT(Tasks[[#This Row],[_Res1Text]],FIND("[",Tasks[[#This Row],[_Res1Text]]&amp;"[")-1)),res_Initials,0),0)))</f>
        <v>0</v>
      </c>
      <c r="DP41" s="43" t="n">
        <f aca="false">IF(Tasks[[#This Row],[_Res2Text]]="",0,IFERROR(MATCH(TRIM(LEFT(Tasks[[#This Row],[_Res2Text]],FIND("[",Tasks[[#This Row],[_Res2Text]]&amp;"[")-1)),res_Name,0),IFERROR(MATCH(TRIM(LEFT(Tasks[[#This Row],[_Res2Text]],FIND("[",Tasks[[#This Row],[_Res2Text]]&amp;"[")-1)),res_Initials,0),0)))</f>
        <v>0</v>
      </c>
      <c r="DQ41" s="43" t="n">
        <f aca="false">IF(Tasks[[#This Row],[_Res3Text]]="",0,IFERROR(MATCH(TRIM(LEFT(Tasks[[#This Row],[_Res3Text]],FIND("[",Tasks[[#This Row],[_Res3Text]]&amp;"[")-1)),res_Name,0),IFERROR(MATCH(TRIM(LEFT(Tasks[[#This Row],[_Res3Text]],FIND("[",Tasks[[#This Row],[_Res3Text]]&amp;"[")-1)),res_Initials,0),0)))</f>
        <v>0</v>
      </c>
      <c r="DR41" s="43" t="n">
        <f aca="false">IF(Tasks[[#This Row],[_Res4Text]]="",0,IFERROR(MATCH(TRIM(LEFT(Tasks[[#This Row],[_Res4Text]],FIND("[",Tasks[[#This Row],[_Res4Text]]&amp;"[")-1)),res_Name,0),IFERROR(MATCH(TRIM(LEFT(Tasks[[#This Row],[_Res4Text]],FIND("[",Tasks[[#This Row],[_Res4Text]]&amp;"[")-1)),res_Initials,0),0)))</f>
        <v>0</v>
      </c>
      <c r="DS41" s="43" t="str">
        <f aca="false">IF(Tasks[[#This Row],[_Res1Text]]="","",IF(Tasks[[#This Row],[_Res1Row]]&gt;0,INDEX(res_Name,Tasks[[#This Row],[_Res1Row]]),TRIM(LEFT(Tasks[[#This Row],[_Res1Text]],FIND("[",Tasks[[#This Row],[_Res1Text]]&amp;"[")-1))))</f>
        <v/>
      </c>
      <c r="DT4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1" s="43" t="n">
        <f aca="false">IF(NOT(Tasks[[#This Row],[_IsLeaf]]=1),0,(Tasks[[#This Row],[_Resource1]]&lt;&gt;"")+(Tasks[[#This Row],[_Res2]]&lt;&gt;"")+(Tasks[[#This Row],[_Res3]]&lt;&gt;"")+(Tasks[[#This Row],[_Res4]]&lt;&gt;""))</f>
        <v>0</v>
      </c>
      <c r="DV41" s="43" t="str">
        <f aca="false">IF(Tasks[[#This Row],[_Res2Text]]="","",IF(Tasks[[#This Row],[_Res2Row]]&gt;0,INDEX(res_Name,Tasks[[#This Row],[_Res2Row]]),TRIM(LEFT(Tasks[[#This Row],[_Res2Text]],FIND("[",Tasks[[#This Row],[_Res2Text]]&amp;"[")-1))))</f>
        <v/>
      </c>
      <c r="DW4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1" s="43" t="n">
        <f aca="false">IF(OR(NOT(Tasks[[#This Row],[_IsLeaf]]=1),Tasks[[#This Row],[_Res2Row]]=0),0,N(Tasks[[#This Row],[_Days]])*HoursPerDay*IF(Tasks[[#This Row],[_Res2Units]]="",DefaultUnits,Tasks[[#This Row],[_Res2Units]]))</f>
        <v>0</v>
      </c>
      <c r="DY41" s="43" t="n">
        <f aca="false">IF(AND(AND(Tasks[[#This Row],[_IsLeaf]]=1,Tasks[[#This Row],[_LeafTotalWork]]&gt;0),Tasks[[#This Row],[_Res2Work]]&gt;0),Tasks[[#This Row],[_Res2Work]]/(Tasks[[#This Row],[_FinishWorkday]]-Tasks[[#This Row],[_StartWorkday]]+1),0)</f>
        <v>0</v>
      </c>
      <c r="DZ41" s="43" t="n">
        <f aca="false">Tasks[[#This Row],[_Res2WorkPerWD]]*MAX(0,Tasks[[#This Row],[_StartWorkday]]-1)</f>
        <v>0</v>
      </c>
      <c r="EA41" s="43" t="n">
        <f aca="false">Tasks[[#This Row],[_Res2Work]]*Tasks[[#This Row],[_LeafProgress]]</f>
        <v>0</v>
      </c>
      <c r="EB41" s="43" t="str">
        <f aca="false">IF(Tasks[[#This Row],[_Res3Text]]="","",IF(Tasks[[#This Row],[_Res3Row]]&gt;0,INDEX(res_Name,Tasks[[#This Row],[_Res3Row]]),TRIM(LEFT(Tasks[[#This Row],[_Res3Text]],FIND("[",Tasks[[#This Row],[_Res3Text]]&amp;"[")-1))))</f>
        <v/>
      </c>
      <c r="EC4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1" s="43" t="n">
        <f aca="false">IF(OR(NOT(Tasks[[#This Row],[_IsLeaf]]=1),Tasks[[#This Row],[_Res3Row]]=0),0,N(Tasks[[#This Row],[_Days]])*HoursPerDay*IF(Tasks[[#This Row],[_Res3Units]]="",DefaultUnits,Tasks[[#This Row],[_Res3Units]]))</f>
        <v>0</v>
      </c>
      <c r="EE41" s="43" t="n">
        <f aca="false">IF(AND(AND(Tasks[[#This Row],[_IsLeaf]]=1,Tasks[[#This Row],[_LeafTotalWork]]&gt;0),Tasks[[#This Row],[_Res3Work]]&gt;0),Tasks[[#This Row],[_Res3Work]]/(Tasks[[#This Row],[_FinishWorkday]]-Tasks[[#This Row],[_StartWorkday]]+1),0)</f>
        <v>0</v>
      </c>
      <c r="EF41" s="43" t="n">
        <f aca="false">Tasks[[#This Row],[_Res3WorkPerWD]]*MAX(0,Tasks[[#This Row],[_StartWorkday]]-1)</f>
        <v>0</v>
      </c>
      <c r="EG41" s="43" t="n">
        <f aca="false">Tasks[[#This Row],[_Res3Work]]*Tasks[[#This Row],[_LeafProgress]]</f>
        <v>0</v>
      </c>
      <c r="EH41" s="43" t="str">
        <f aca="false">IF(Tasks[[#This Row],[_Res4Text]]="","",IF(Tasks[[#This Row],[_Res4Row]]&gt;0,INDEX(res_Name,Tasks[[#This Row],[_Res4Row]]),TRIM(LEFT(Tasks[[#This Row],[_Res4Text]],FIND("[",Tasks[[#This Row],[_Res4Text]]&amp;"[")-1))))</f>
        <v/>
      </c>
      <c r="EI4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1" s="43" t="n">
        <f aca="false">IF(OR(NOT(Tasks[[#This Row],[_IsLeaf]]=1),Tasks[[#This Row],[_Res4Row]]=0),0,N(Tasks[[#This Row],[_Days]])*HoursPerDay*IF(Tasks[[#This Row],[_Res4Units]]="",DefaultUnits,Tasks[[#This Row],[_Res4Units]]))</f>
        <v>0</v>
      </c>
      <c r="EK41" s="43" t="n">
        <f aca="false">IF(AND(AND(Tasks[[#This Row],[_IsLeaf]]=1,Tasks[[#This Row],[_LeafTotalWork]]&gt;0),Tasks[[#This Row],[_Res4Work]]&gt;0),Tasks[[#This Row],[_Res4Work]]/(Tasks[[#This Row],[_FinishWorkday]]-Tasks[[#This Row],[_StartWorkday]]+1),0)</f>
        <v>0</v>
      </c>
      <c r="EL41" s="43" t="n">
        <f aca="false">Tasks[[#This Row],[_Res4WorkPerWD]]*MAX(0,Tasks[[#This Row],[_StartWorkday]]-1)</f>
        <v>0</v>
      </c>
      <c r="EM41" s="43" t="n">
        <f aca="false">Tasks[[#This Row],[_Res4Work]]*Tasks[[#This Row],[_LeafProgress]]</f>
        <v>0</v>
      </c>
      <c r="EN41" s="43" t="n">
        <f aca="false">IF(ISNUMBER(Tasks[[#This Row],[% Complete]]),Tasks[[#This Row],[% Complete]],IF(Tasks[[#This Row],[Stage]]="",0,IFERROR(INDEX(stg_Pct,MATCH(Tasks[[#This Row],[Stage]],stg_Name,0)),0)))</f>
        <v>0</v>
      </c>
      <c r="EO41" s="43" t="n">
        <f aca="false">IF(NOT(Tasks[[#This Row],[_IsLeaf]]=1),0,IF(N(Tasks[[#This Row],[Actual Finish]])&gt;0,1,MIN(1,Tasks[[#This Row],[_Pct]])))</f>
        <v>0</v>
      </c>
      <c r="EP41" s="43" t="n">
        <f aca="false">IF(OR(NOT(Tasks[[#This Row],[_IsLeaf]]=1),Tasks[[#This Row],[_Res1Row]]=0),0,N(Tasks[[#This Row],[_Days]])*HoursPerDay*IF(Tasks[[#This Row],[_Units1]]="",DefaultUnits,Tasks[[#This Row],[_Units1]]))</f>
        <v>0</v>
      </c>
      <c r="EQ41" s="43" t="n">
        <f aca="false">Tasks[[#This Row],[_LeafWork]]+Tasks[[#This Row],[_Res2Work]]+Tasks[[#This Row],[_Res3Work]]+Tasks[[#This Row],[_Res4Work]]</f>
        <v>0</v>
      </c>
      <c r="ER4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1" s="43" t="n">
        <f aca="false">IF(NOT(Tasks[[#This Row],[_IsLeaf]]=1),0,MAX(_xlfn.MAXIFS(Tasks[_Row],Tasks[_Pred1UID],Tasks[[#This Row],[UID]]),_xlfn.MAXIFS(Tasks[_Row],Tasks[_Pred2UID],Tasks[[#This Row],[UID]]),_xlfn.MAXIFS(Tasks[_Row],Tasks[_Pred3UID],Tasks[[#This Row],[UID]]),_xlfn.MAXIFS(Tasks[_Row],Tasks[_Pred4UID],Tasks[[#This Row],[UID]])))</f>
        <v>0</v>
      </c>
      <c r="FA4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1" s="91" t="str">
        <f aca="false">IF(NOT(Tasks[[#This Row],[_IsLeaf]]=1),"",IF(N(Tasks[[#This Row],[_Days]])&lt;=0,Tasks[[#This Row],[_LeafLateFinish]],WORKDAY.INTL(Tasks[[#This Row],[_LeafLateFinish]],-(Tasks[[#This Row],[_Days]]-1),WorkWeek,Holidays)))</f>
        <v/>
      </c>
      <c r="FD4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1" s="90" t="b">
        <f aca="false">AND(Tasks[[#This Row],[_IsLeaf]]=1,Tasks[[#This Row],[_LeafProgress]]&lt;1,N(Tasks[[#This Row],[_LeafTotalSlack]])&lt;=CriticalSlackDays)</f>
        <v>0</v>
      </c>
      <c r="FF41" s="43" t="n">
        <f aca="false">IF(AND(Tasks[[#This Row],[_IsLeaf]]=1,Tasks[[#This Row],[_ConstraintCode]]=1,Tasks[[#This Row],[Mode]]&lt;&gt;"Manual",N(Tasks[[#This Row],[Actual Start]])=0),MAX(0,N(Tasks[[#This Row],[Free Slack]])),0)</f>
        <v>0</v>
      </c>
      <c r="FG41" s="91" t="str">
        <f aca="false">IF(NOT(Tasks[[#This Row],[_IsLeaf]]=1),"",IF(Tasks[[#This Row],[_AlapShift]]=0,Tasks[[#This Row],[_LeafCalcStart]],WORKDAY.INTL(Tasks[[#This Row],[_LeafCalcStart]],Tasks[[#This Row],[_AlapShift]],WorkWeek,Holidays)))</f>
        <v/>
      </c>
      <c r="FH41" s="91" t="str">
        <f aca="false">IF(NOT(Tasks[[#This Row],[_IsLeaf]]=1),"",IF(Tasks[[#This Row],[_AlapShift]]=0,Tasks[[#This Row],[_LeafCalcFinish]],WORKDAY.INTL(Tasks[[#This Row],[_LeafCalcFinish]],Tasks[[#This Row],[_AlapShift]],WorkWeek,Holidays)))</f>
        <v/>
      </c>
      <c r="FI41" s="91" t="str">
        <f aca="false">IF(NOT(Tasks[[#This Row],[_IsLeaf]]=1),"",IF(Tasks[[#This Row],[_AlapShift]]=0,Tasks[[#This Row],[_LeafFcstStart]],WORKDAY.INTL(Tasks[[#This Row],[_LeafFcstStart]],Tasks[[#This Row],[_AlapShift]],WorkWeek,Holidays)))</f>
        <v/>
      </c>
      <c r="FJ41" s="91" t="str">
        <f aca="false">IF(NOT(Tasks[[#This Row],[_IsLeaf]]=1),"",IF(Tasks[[#This Row],[_AlapShift]]=0,Tasks[[#This Row],[_LeafFcstFinish]],WORKDAY.INTL(Tasks[[#This Row],[_LeafFcstFinish]],Tasks[[#This Row],[_AlapShift]],WorkWeek,Holidays)))</f>
        <v/>
      </c>
      <c r="FK41" s="91" t="str">
        <f aca="false">IF(Tasks[[#This Row],[Task Name]]="","",IF(Tasks[[#This Row],[_IsSummary]],MIN(INDEX(Tasks[_ShownCalcStart],Tasks[[#This Row],[_Row]]+1):INDEX(Tasks[_ShownCalcStart],Tasks[[#This Row],[_Row]]+Tasks[[#This Row],[_Descendants]])),Tasks[[#This Row],[_ShownCalcStart]]))</f>
        <v/>
      </c>
      <c r="FL41" s="91" t="str">
        <f aca="false">IF(Tasks[[#This Row],[Task Name]]="","",IF(Tasks[[#This Row],[_IsSummary]],MAX(INDEX(Tasks[_ShownCalcFinish],Tasks[[#This Row],[_Row]]+1):INDEX(Tasks[_ShownCalcFinish],Tasks[[#This Row],[_Row]]+Tasks[[#This Row],[_Descendants]])),Tasks[[#This Row],[_ShownCalcFinish]]))</f>
        <v/>
      </c>
      <c r="FM4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1" s="43" t="n">
        <f aca="false">IF(AND(Tasks[[#This Row],[_IsLeaf]]=1,Tasks[[#This Row],[_LeafTotalWork]]&gt;0),NETWORKDAYS.INTL(ProjectStart,Tasks[[#This Row],[_ShownFcstStart]],WorkWeek,Holidays),0)</f>
        <v>0</v>
      </c>
      <c r="FZ41" s="43" t="n">
        <f aca="false">IF(AND(Tasks[[#This Row],[_IsLeaf]]=1,Tasks[[#This Row],[_LeafTotalWork]]&gt;0),MAX(Tasks[[#This Row],[_StartWorkday]],NETWORKDAYS.INTL(ProjectStart,Tasks[[#This Row],[_ShownFcstFinish]],WorkWeek,Holidays)),0)</f>
        <v>0</v>
      </c>
      <c r="GA41" s="43" t="n">
        <f aca="false">IF(AND(Tasks[[#This Row],[_IsLeaf]]=1,Tasks[[#This Row],[_LeafTotalWork]]&gt;0),Tasks[[#This Row],[_LeafWork]]/(Tasks[[#This Row],[_FinishWorkday]]-Tasks[[#This Row],[_StartWorkday]]+1),0)</f>
        <v>0</v>
      </c>
      <c r="GB41" s="43" t="n">
        <f aca="false">Tasks[[#This Row],[_WorkPerWorkday]]*(Tasks[[#This Row],[_StartWorkday]]-1)</f>
        <v>-0</v>
      </c>
      <c r="GC41" s="43" t="n">
        <f aca="false">IF(Tasks[[#This Row],[_IsLeaf]]=1,MAX(N(Tasks[[#This Row],[_Days]]),0.1),0)</f>
        <v>0</v>
      </c>
      <c r="GD41" s="43" t="n">
        <f aca="false">Tasks[[#This Row],[_WeightDur]]*Tasks[[#This Row],[_LeafProgress]]</f>
        <v>0</v>
      </c>
      <c r="GE41" s="43" t="n">
        <f aca="false">Tasks[[#This Row],[_WeightDur]]*Tasks[[#This Row],[_PlannedPct]]</f>
        <v>0</v>
      </c>
      <c r="GF4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1" s="43" t="str">
        <f aca="false">IF(AND(Tasks[[#This Row],[_IsLeaf]]=1,N(Tasks[[#This Row],[_Days]])=0,Tasks[[#This Row],[_LeafProgress]]&lt;1),Tasks[[#This Row],[_ShownFcstFinish]]+Tasks[[#This Row],[_Row]]/100000,"")</f>
        <v/>
      </c>
      <c r="GH4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1" s="43" t="str">
        <f aca="false">IF(Tasks[[#This Row],[Task Name]]="","",LEFT(Tasks[[#This Row],[WBS]],FIND(".",Tasks[[#This Row],[WBS]]&amp;".")-1))</f>
        <v/>
      </c>
      <c r="GJ41" s="43" t="str">
        <f aca="false">IF(AND(Tasks[[#This Row],[Task Name]]&lt;&gt;"",Tasks[[#This Row],[_Level]]=1),Tasks[[#This Row],[_Row]],"")</f>
        <v/>
      </c>
      <c r="GK41" s="43" t="str">
        <f aca="false">IF(AND(Tasks[[#This Row],[_IsLeaf]]=1,N(Tasks[[#This Row],[_Days]])=0),Tasks[[#This Row],[Planned Finish]]+Tasks[[#This Row],[_Row]]/100000,"")</f>
        <v/>
      </c>
      <c r="GL41" s="43" t="str">
        <f aca="false">IF(AND(Tasks[[#This Row],[_IsLeaf]]=1,Tasks[[#This Row],[_LeafProgress]]&lt;1,OR(N(Tasks[[#This Row],[Finish Var]])&gt;0,Tasks[[#This Row],[Status]]="Late Start")),MAX(0,Tasks[[#This Row],[Finish Var]])+1-Tasks[[#This Row],[_Row]]/1000000,"")</f>
        <v/>
      </c>
      <c r="GM41" s="43" t="str">
        <f aca="false">IF(AND(Tasks[[#This Row],[_IsLeaf]]=1,N(Tasks[[#This Row],[Actual Start]])=0,Tasks[[#This Row],[_ShownFcstStart]]&gt;=StatusDate,Tasks[[#This Row],[_ShownFcstStart]]&lt;=LookaheadEnd),Tasks[[#This Row],[_ShownFcstStart]]+Tasks[[#This Row],[_Row]]/100000,"")</f>
        <v/>
      </c>
      <c r="GN41" s="43" t="str">
        <f aca="false">IF(AND(Tasks[[#This Row],[_IsLeaf]]=1,Tasks[[#This Row],[_LeafProgress]]&lt;1,Tasks[[#This Row],[_ShownFcstFinish]]&gt;=StatusDate,Tasks[[#This Row],[_ShownFcstFinish]]&lt;=LookaheadEnd),Tasks[[#This Row],[_ShownFcstFinish]]+Tasks[[#This Row],[_Row]]/100000,"")</f>
        <v/>
      </c>
      <c r="GO41" s="43" t="str">
        <f aca="false">IF(Tasks[[#This Row],[_LeafCritical]],Tasks[[#This Row],[_ShownFcstStart]]+Tasks[[#This Row],[_Row]]/100000,"")</f>
        <v/>
      </c>
      <c r="GP41" s="43" t="n">
        <f aca="false">Tasks[[#This Row],[_LeafWork]]*Tasks[[#This Row],[_LeafProgress]]</f>
        <v>0</v>
      </c>
      <c r="GQ41" s="91" t="str">
        <f aca="false">IF(AND(Tasks[[#This Row],[_IsLeaf]]=1,Tasks[[#This Row],[_LeafProgress]]&gt;=1),IF(N(Tasks[[#This Row],[Actual Finish]])&gt;0,Tasks[[#This Row],[Actual Finish]],Tasks[[#This Row],[_ShownFcstFinish]]),"")</f>
        <v/>
      </c>
      <c r="GR41" s="43" t="n">
        <f aca="false">IF(Tasks[[#This Row],[_IsLeaf]]=1,N(Tasks[[#This Row],[Story Points]]),0)</f>
        <v>0</v>
      </c>
      <c r="GS41" s="43" t="str">
        <f aca="false">""</f>
        <v/>
      </c>
      <c r="GT41" s="90" t="b">
        <f aca="false">IF(Tasks[[#This Row],[Task Name]]="",FALSE(),AND(Tasks[[#This Row],[_IsLeaf]]=1,N(Tasks[[#This Row],[_Days]])=0))</f>
        <v>0</v>
      </c>
      <c r="GU41" s="91" t="n">
        <f aca="false">IF(Tasks[[#This Row],[Task Name]]="",0,IF(AND(Tasks[[#This Row],[_IsLeaf]]=1,NOT(Tasks[[#This Row],[_IsMilestone]]),N(Tasks[[#This Row],[Progress]])&gt;0),Tasks[[#This Row],[Start]],0))</f>
        <v>0</v>
      </c>
      <c r="GV41" s="91" t="n">
        <f aca="false">IF(Tasks[[#This Row],[_DoneFrom]]=0,0,IF(Tasks[[#This Row],[Progress]]&gt;=1,Tasks[[#This Row],[Finish]],MAX(Tasks[[#This Row],[_DoneFrom]],Tasks[[#This Row],[Start]]+ROUND((Tasks[[#This Row],[Finish]]-Tasks[[#This Row],[Start]]+1)*Tasks[[#This Row],[Progress]],0)-1)))</f>
        <v>0</v>
      </c>
      <c r="GW41" s="91" t="n">
        <f aca="false">IF(Tasks[[#This Row],[Task Name]]="",0,IF(OR(NOT(Tasks[[#This Row],[_IsLeaf]]=1),Tasks[[#This Row],[_IsMilestone]],N(Tasks[[#This Row],[Progress]])&gt;=1),0,IF(Tasks[[#This Row],[_DoneTo]]&gt;0,Tasks[[#This Row],[_DoneTo]]+1,Tasks[[#This Row],[Start]])))</f>
        <v>0</v>
      </c>
      <c r="GX41" s="91" t="n">
        <f aca="false">IF(Tasks[[#This Row],[_RemFrom]]=0,0,Tasks[[#This Row],[Finish]])</f>
        <v>0</v>
      </c>
      <c r="GY41" s="90" t="b">
        <f aca="false">IF(Tasks[[#This Row],[Task Name]]="",FALSE(),OR(NOT(BaselineSet),N(Tasks[[#This Row],[Baseline Start]])&gt;0))</f>
        <v>0</v>
      </c>
      <c r="GZ4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1" s="92" t="str">
        <f aca="false">IF(Tasks[[#This Row],[_IsLeaf]]=1,Tasks[[#This Row],[_Row]],"")</f>
        <v/>
      </c>
      <c r="HD41" s="92" t="str">
        <f aca="false">IFERROR(INDEX(Tasks[UID],SMALL(Tasks[_PickKey],Tasks[[#This Row],[_Row]]))&amp;" "&amp;INDEX(Tasks[Task Name],SMALL(Tasks[_PickKey],Tasks[[#This Row],[_Row]])),"")</f>
        <v/>
      </c>
      <c r="HE41" s="43" t="str">
        <f aca="false">IF(Tasks[[#This Row],[Task Name]]="","",IF(Tasks[[#This Row],[_IsSummary]],NETWORKDAYS.INTL(Tasks[[#This Row],[Start]],Tasks[[#This Row],[Finish]],WorkWeek,Holidays),N(Tasks[[#This Row],[_Days]])))</f>
        <v/>
      </c>
      <c r="HF41" s="43" t="n">
        <f aca="false">IF(Tasks[[#This Row],[Expected]]="",0,((Tasks[[#This Row],[Pessimistic]]-Tasks[[#This Row],[Optimistic]])/6)^2)</f>
        <v>0</v>
      </c>
      <c r="HG41" s="43" t="n">
        <f aca="false">IF(Tasks[[#This Row],[Expected]]="",0,Tasks[[#This Row],[Expected]]-N(Tasks[[#This Row],[_Days]]))</f>
        <v>0</v>
      </c>
    </row>
    <row r="42" customFormat="false" ht="15" hidden="false" customHeight="false" outlineLevel="0" collapsed="false">
      <c r="A42" s="21" t="str">
        <f aca="false">IF(Tasks[[#This Row],[Task Name]]="","",COUNTA(Tasks[[#Headers],[Task Name]]:Tasks[[#This Row],[Task Name]])-1)</f>
        <v/>
      </c>
      <c r="B42" s="22" t="n">
        <v>50</v>
      </c>
      <c r="C42" s="22"/>
      <c r="D42" s="23"/>
      <c r="E42" s="22"/>
      <c r="F42" s="23"/>
      <c r="G42" s="22"/>
      <c r="H42" s="22"/>
      <c r="I42" s="23"/>
      <c r="J42" s="22"/>
      <c r="K42" s="22"/>
      <c r="L42" s="23"/>
      <c r="M42" s="22"/>
      <c r="N42" s="22"/>
      <c r="O42" s="23"/>
      <c r="P42" s="22"/>
      <c r="Q42" s="22"/>
      <c r="R42" s="23"/>
      <c r="S42" s="23"/>
      <c r="T42" s="84"/>
      <c r="U42" s="23"/>
      <c r="V42" s="84"/>
      <c r="W42" s="23"/>
      <c r="X42" s="84"/>
      <c r="Y42" s="23"/>
      <c r="Z42" s="84"/>
      <c r="AA42" s="23"/>
      <c r="AB42" s="23"/>
      <c r="AC42" s="7"/>
      <c r="AD42" s="7"/>
      <c r="AE42" s="63" t="str">
        <f aca="false">IF(Tasks[[#This Row],[Task Name]]="","",IF(Tasks[[#This Row],[_IsSummary]],MIN(INDEX(Tasks[_ShownFcstStart],Tasks[[#This Row],[_Row]]+1):INDEX(Tasks[_ShownFcstStart],Tasks[[#This Row],[_Row]]+Tasks[[#This Row],[_Descendants]])),Tasks[[#This Row],[_ShownFcstStart]]))</f>
        <v/>
      </c>
      <c r="AF42" s="63" t="str">
        <f aca="false">IF(Tasks[[#This Row],[Task Name]]="","",IF(Tasks[[#This Row],[_IsSummary]],MAX(INDEX(Tasks[_ShownFcstFinish],Tasks[[#This Row],[_Row]]+1):INDEX(Tasks[_ShownFcstFinish],Tasks[[#This Row],[_Row]]+Tasks[[#This Row],[_Descendants]])),Tasks[[#This Row],[_ShownFcstFinish]]))</f>
        <v/>
      </c>
      <c r="AG42" s="21" t="str">
        <f aca="false">""</f>
        <v/>
      </c>
      <c r="AH42" s="23"/>
      <c r="AI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2" s="7"/>
      <c r="AK42" s="22"/>
      <c r="AL42" s="23"/>
      <c r="AM42" s="7"/>
      <c r="AN42" s="47" t="str">
        <f aca="false">IF(Tasks[[#This Row],[Task Name]]="","",IF(Tasks[[#This Row],[Finish]]&gt;=Tasks[[#This Row],[Planned Finish]],NETWORKDAYS.INTL(Tasks[[#This Row],[Planned Finish]],Tasks[[#This Row],[Finish]],WorkWeek,Holidays)-1,1-NETWORKDAYS.INTL(Tasks[[#This Row],[Finish]],Tasks[[#This Row],[Planned Finish]],WorkWeek,Holidays)))</f>
        <v/>
      </c>
      <c r="AO42" s="21" t="str">
        <f aca="false">IF(Tasks[[#This Row],[Task Name]]="","",IF(Tasks[[#This Row],[Progress]]&gt;=1,"Complete",IF(OR(N(Tasks[[#This Row],[Actual Start]])&gt;0,Tasks[[#This Row],[Progress]]&gt;0),IF(Tasks[[#This Row],[Finish Var]]&gt;0,"Behind","In Progress"),IF(Tasks[[#This Row],[Planned Start]]&lt;StatusDate,"Late Start","Not Started"))))</f>
        <v/>
      </c>
      <c r="AP42" s="21" t="str">
        <f aca="false">IF(Tasks[[#This Row],[Task Name]]="","",IF(IF(Tasks[[#This Row],[_IsSummary]],COUNTIF(INDEX(Tasks[_LeafCritical],Tasks[[#This Row],[_Row]]+1):INDEX(Tasks[_LeafCritical],Tasks[[#This Row],[_Row]]+Tasks[[#This Row],[_Descendants]]),TRUE())&gt;0,Tasks[[#This Row],[_LeafCritical]]),"Yes",""))</f>
        <v/>
      </c>
      <c r="AQ42" s="63" t="str">
        <f aca="false">IF(Tasks[[#This Row],[Task Name]]="","",IF(N(Tasks[[#This Row],[Baseline Start]])&gt;0,Tasks[[#This Row],[Baseline Start]],Tasks[[#This Row],[_CalcStart]]))</f>
        <v/>
      </c>
      <c r="AR42" s="63" t="str">
        <f aca="false">IF(Tasks[[#This Row],[Task Name]]="","",IF(N(Tasks[[#This Row],[Baseline Finish]])&gt;0,Tasks[[#This Row],[Baseline Finish]],Tasks[[#This Row],[_CalcFinish]]))</f>
        <v/>
      </c>
      <c r="AS42" s="47" t="str">
        <f aca="false">IF(Tasks[[#This Row],[Task Name]]="","",IF(Tasks[[#This Row],[Start]]&gt;=Tasks[[#This Row],[Planned Start]],NETWORKDAYS.INTL(Tasks[[#This Row],[Planned Start]],Tasks[[#This Row],[Start]],WorkWeek,Holidays)-1,1-NETWORKDAYS.INTL(Tasks[[#This Row],[Start]],Tasks[[#This Row],[Planned Start]],WorkWeek,Holidays)))</f>
        <v/>
      </c>
      <c r="AT42" s="63" t="str">
        <f aca="false">IF(Tasks[[#This Row],[Task Name]]="","",IF(Tasks[[#This Row],[_IsSummary]],MIN(INDEX(Tasks[_LeafLateStart],Tasks[[#This Row],[_Row]]+1):INDEX(Tasks[_LeafLateStart],Tasks[[#This Row],[_Row]]+Tasks[[#This Row],[_Descendants]])),Tasks[[#This Row],[_LeafLateStart]]))</f>
        <v/>
      </c>
      <c r="AU42" s="63" t="str">
        <f aca="false">IF(Tasks[[#This Row],[Task Name]]="","",IF(Tasks[[#This Row],[_IsSummary]],MAX(INDEX(Tasks[_LeafLateFinish],Tasks[[#This Row],[_Row]]+1):INDEX(Tasks[_LeafLateFinish],Tasks[[#This Row],[_Row]]+Tasks[[#This Row],[_Descendants]])),Tasks[[#This Row],[_LeafLateFinish]]))</f>
        <v/>
      </c>
      <c r="AV42" s="47" t="str">
        <f aca="false">IF(Tasks[[#This Row],[Task Name]]="","",IF(Tasks[[#This Row],[_IsSummary]],MIN(INDEX(Tasks[_LeafTotalSlack],Tasks[[#This Row],[_Row]]+1):INDEX(Tasks[_LeafTotalSlack],Tasks[[#This Row],[_Row]]+Tasks[[#This Row],[_Descendants]])),Tasks[[#This Row],[_LeafTotalSlack]]))</f>
        <v/>
      </c>
      <c r="AW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5"/>
      <c r="BA4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1" t="str">
        <f aca="false">IF(Tasks[[#This Row],[Task Name]]="","",IF(Tasks[[#This Row],[_Level]]&lt;=OutlineShowLevel,"Yes","No"))</f>
        <v/>
      </c>
      <c r="BE42" s="86" t="str">
        <f aca="false">IF(Tasks[[#This Row],[Task Name]]="","",IF(Tasks[[#This Row],[_IsSummary]],SUM(INDEX(Tasks[_LeafTotalWork],Tasks[[#This Row],[_Row]]+1):INDEX(Tasks[_LeafTotalWork],Tasks[[#This Row],[_Row]]+Tasks[[#This Row],[_Descendants]])),Tasks[[#This Row],[_LeafTotalWork]]))</f>
        <v/>
      </c>
      <c r="BF42" s="23"/>
      <c r="BG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2" s="21" t="str">
        <f aca="false">""</f>
        <v/>
      </c>
      <c r="BI42" s="87"/>
      <c r="BJ42" s="22"/>
      <c r="BK42" s="47" t="str">
        <f aca="false">IF(OR(Tasks[[#This Row],[Task Name]]="",Tasks[[#This Row],[Baseline Duration]]=""),"",Tasks[[#This Row],[_SpanDays]]-N(Tasks[[#This Row],[Baseline Duration]]))</f>
        <v/>
      </c>
      <c r="BL42" s="86" t="str">
        <f aca="false">IF(OR(Tasks[[#This Row],[Task Name]]="",Tasks[[#This Row],[Baseline Work]]=""),"",Tasks[[#This Row],[Work]]-N(Tasks[[#This Row],[Baseline Work]]))</f>
        <v/>
      </c>
      <c r="BM42" s="63" t="str">
        <f aca="false">IF(Tasks[[#This Row],[Task Name]]="","",IF(OR(TakeBaseline="Yes",N(Tasks[[#This Row],[Baseline Start]])=0),Tasks[[#This Row],[Start]],Tasks[[#This Row],[Baseline Start]]))</f>
        <v/>
      </c>
      <c r="BN42" s="63" t="str">
        <f aca="false">IF(Tasks[[#This Row],[Task Name]]="","",IF(OR(TakeBaseline="Yes",N(Tasks[[#This Row],[Baseline Finish]])=0),Tasks[[#This Row],[Finish]],Tasks[[#This Row],[Baseline Finish]]))</f>
        <v/>
      </c>
      <c r="BO42" s="21" t="str">
        <f aca="false">IF(Tasks[[#This Row],[Task Name]]="","",IF(OR(TakeBaseline="Yes",N(Tasks[[#This Row],[Baseline Duration]])=0),Tasks[[#This Row],[_SpanDays]],Tasks[[#This Row],[Baseline Duration]]))</f>
        <v/>
      </c>
      <c r="BP42" s="86" t="str">
        <f aca="false">IF(Tasks[[#This Row],[Task Name]]="","",IF(OR(TakeBaseline="Yes",N(Tasks[[#This Row],[Baseline Work]])=0),Tasks[[#This Row],[Work]],Tasks[[#This Row],[Baseline Work]]))</f>
        <v/>
      </c>
      <c r="BQ42" s="7"/>
      <c r="BR42" s="7"/>
      <c r="BS42" s="22"/>
      <c r="BT42" s="88"/>
      <c r="BU42" s="23"/>
      <c r="BV42" s="23"/>
      <c r="BW42" s="23"/>
      <c r="BX42" s="89" t="str">
        <f aca="false">IF(AND(Tasks[[#This Row],[_IsLeaf]]=1,ISNUMBER(Tasks[[#This Row],[Optimistic]]),ISNUMBER(Tasks[[#This Row],[Pessimistic]])),ROUND((Tasks[[#This Row],[Optimistic]]+4*N(Tasks[[#This Row],[_Days]])+Tasks[[#This Row],[Pessimistic]])/6,1),"")</f>
        <v/>
      </c>
      <c r="BY42" s="87"/>
      <c r="BZ42" s="87"/>
      <c r="CA42" s="22"/>
      <c r="CB42" s="43" t="str">
        <f aca="false">IF(Tasks[[#This Row],[Task Name]]="","",MAX(1,N(Tasks[[#This Row],[Level]])))</f>
        <v/>
      </c>
      <c r="CC42" s="43" t="n">
        <f aca="false">ROW()-ROW(Tasks[[#Headers],[ID]])</f>
        <v>37</v>
      </c>
      <c r="CD42" s="43" t="n">
        <f aca="false">IF(OR(Tasks[[#This Row],[Task Name]]="",Tasks[[#This Row],[_Level]]&lt;=1),0,IFERROR(LOOKUP(2,1/(Tasks[[#Headers],[_Level]]:Tasks[[#This Row],[_Level]]=Tasks[[#This Row],[_Level]]-1),ROW(Tasks[[#Headers],[_Level]]:Tasks[[#This Row],[_Level]])),0))</f>
        <v>0</v>
      </c>
      <c r="CE42" s="43" t="n">
        <f aca="false">IFERROR(N(INDEX(Tasks[_Level],Tasks[[#This Row],[_Row]]+1)),0)</f>
        <v>0</v>
      </c>
      <c r="CF42" s="90" t="b">
        <f aca="false">AND(Tasks[[#This Row],[Task Name]]&lt;&gt;"",Tasks[[#This Row],[_NextLevel]]&gt;Tasks[[#This Row],[_Level]])</f>
        <v>0</v>
      </c>
      <c r="CG42" s="43" t="n">
        <f aca="false">IF(Tasks[[#This Row],[_IsSummary]],COUNTIF(Tasks[WBS],Tasks[[#This Row],[WBS]]&amp;".*"),0)</f>
        <v>0</v>
      </c>
      <c r="CH42" s="43" t="n">
        <f aca="false">IF(AND(Tasks[[#This Row],[Task Name]]&lt;&gt;"",NOT(Tasks[[#This Row],[_IsSummary]])),1,0)</f>
        <v>0</v>
      </c>
      <c r="CI42" s="43" t="n">
        <f aca="false">IF(N(Tasks[[#This Row],[_Pred1UID]])=0,0,IFERROR(MATCH(Tasks[[#This Row],[_Pred1UID]],Tasks[UID],0),-1))</f>
        <v>0</v>
      </c>
      <c r="CJ42" s="43" t="n">
        <f aca="false">IF(N(Tasks[[#This Row],[_Pred2UID]])=0,0,IFERROR(MATCH(Tasks[[#This Row],[_Pred2UID]],Tasks[UID],0),-1))</f>
        <v>0</v>
      </c>
      <c r="CK42" s="43" t="n">
        <f aca="false">IF(N(Tasks[[#This Row],[_Pred3UID]])=0,0,IFERROR(MATCH(Tasks[[#This Row],[_Pred3UID]],Tasks[UID],0),-1))</f>
        <v>0</v>
      </c>
      <c r="CL42" s="43" t="n">
        <f aca="false">IF(N(Tasks[[#This Row],[_Pred4UID]])=0,0,IFERROR(MATCH(Tasks[[#This Row],[_Pred4UID]],Tasks[UID],0),-1))</f>
        <v>0</v>
      </c>
      <c r="CM4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2" s="91" t="n">
        <f aca="false">IF(OR(Tasks[[#This Row],[_ConstraintCode]]=2,Tasks[[#This Row],[_ConstraintCode]]=3,Tasks[[#This Row],[_ConstraintCode]]=4,Tasks[[#This Row],[_ConstraintCode]]=6),Tasks[[#This Row],[_ConstraintStart]],0)</f>
        <v>0</v>
      </c>
      <c r="CP42" s="91" t="n">
        <f aca="false">IF(OR(Tasks[[#This Row],[_ConstraintCode]]=2,Tasks[[#This Row],[_ConstraintCode]]=3,Tasks[[#This Row],[_ConstraintCode]]=5,Tasks[[#This Row],[_ConstraintCode]]=7),Tasks[[#This Row],[_ConstraintStart]],2958465)</f>
        <v>2958465</v>
      </c>
      <c r="CQ4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2" s="91" t="str">
        <f aca="false">IF(NOT(Tasks[[#This Row],[_IsLeaf]]=1),"",IF(N(Tasks[[#This Row],[_Days]])&lt;=0,Tasks[[#This Row],[_LeafCalcStart]],WORKDAY.INTL(Tasks[[#This Row],[_LeafCalcStart]],Tasks[[#This Row],[_Days]]-1,WorkWeek,Holidays)))</f>
        <v/>
      </c>
      <c r="CS4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2" s="43" t="str">
        <f aca="false">IF(Tasks[[#This Row],[_Predecessors]]="","",TRIM(MID(SUBSTITUTE(SUBSTITUTE(SUBSTITUTE(UPPER(Tasks[[#This Row],[_Predecessors]]),";",",")," ",""),",",REPT(" ",99)),1,99)))</f>
        <v/>
      </c>
      <c r="CV42" s="43" t="str">
        <f aca="false">IF(Tasks[[#This Row],[_Pred1Text]]="","",IFERROR(VALUE(LEFT(Tasks[[#This Row],[_Pred1Text]],MIN(FIND("F",Tasks[[#This Row],[_Pred1Text]]&amp;"F"),FIND("S",Tasks[[#This Row],[_Pred1Text]]&amp;"S"),FIND("+",Tasks[[#This Row],[_Pred1Text]]&amp;"+"),FIND("-",Tasks[[#This Row],[_Pred1Text]]&amp;"-"))-1)),""))</f>
        <v/>
      </c>
      <c r="CW4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2" s="43" t="str">
        <f aca="false">IF(Tasks[[#This Row],[_Pred1Text]]="","",TRIM(MID(SUBSTITUTE(SUBSTITUTE(SUBSTITUTE(UPPER(Tasks[[#This Row],[_Predecessors]]),";",",")," ",""),",",REPT(" ",99)),100,99)))</f>
        <v/>
      </c>
      <c r="CZ42" s="43" t="str">
        <f aca="false">IF(Tasks[[#This Row],[_Pred2Text]]="","",IFERROR(VALUE(LEFT(Tasks[[#This Row],[_Pred2Text]],MIN(FIND("F",Tasks[[#This Row],[_Pred2Text]]&amp;"F"),FIND("S",Tasks[[#This Row],[_Pred2Text]]&amp;"S"),FIND("+",Tasks[[#This Row],[_Pred2Text]]&amp;"+"),FIND("-",Tasks[[#This Row],[_Pred2Text]]&amp;"-"))-1)),""))</f>
        <v/>
      </c>
      <c r="DA4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2" s="43" t="str">
        <f aca="false">IF(Tasks[[#This Row],[_Pred2Text]]="","",TRIM(MID(SUBSTITUTE(SUBSTITUTE(SUBSTITUTE(UPPER(Tasks[[#This Row],[_Predecessors]]),";",",")," ",""),",",REPT(" ",99)),199,99)))</f>
        <v/>
      </c>
      <c r="DD42" s="43" t="str">
        <f aca="false">IF(Tasks[[#This Row],[_Pred3Text]]="","",IFERROR(VALUE(LEFT(Tasks[[#This Row],[_Pred3Text]],MIN(FIND("F",Tasks[[#This Row],[_Pred3Text]]&amp;"F"),FIND("S",Tasks[[#This Row],[_Pred3Text]]&amp;"S"),FIND("+",Tasks[[#This Row],[_Pred3Text]]&amp;"+"),FIND("-",Tasks[[#This Row],[_Pred3Text]]&amp;"-"))-1)),""))</f>
        <v/>
      </c>
      <c r="DE4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2" s="43" t="str">
        <f aca="false">IF(Tasks[[#This Row],[_Pred3Text]]="","",TRIM(MID(SUBSTITUTE(SUBSTITUTE(SUBSTITUTE(UPPER(Tasks[[#This Row],[_Predecessors]]),";",",")," ",""),",",REPT(" ",99)),298,99)))</f>
        <v/>
      </c>
      <c r="DH42" s="43" t="str">
        <f aca="false">IF(Tasks[[#This Row],[_Pred4Text]]="","",IFERROR(VALUE(LEFT(Tasks[[#This Row],[_Pred4Text]],MIN(FIND("F",Tasks[[#This Row],[_Pred4Text]]&amp;"F"),FIND("S",Tasks[[#This Row],[_Pred4Text]]&amp;"S"),FIND("+",Tasks[[#This Row],[_Pred4Text]]&amp;"+"),FIND("-",Tasks[[#This Row],[_Pred4Text]]&amp;"-"))-1)),""))</f>
        <v/>
      </c>
      <c r="DI4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2" s="43" t="str">
        <f aca="false">IF(OR(Tasks[[#This Row],[Task Name]]="",Tasks[[#This Row],[_Resources]]=""),"",TRIM(MID(SUBSTITUTE(Tasks[[#This Row],[_Resources]],",",REPT(" ",99)),1,99)))</f>
        <v/>
      </c>
      <c r="DL42" s="43" t="str">
        <f aca="false">IF(Tasks[[#This Row],[_Res1Text]]="","",TRIM(MID(SUBSTITUTE(Tasks[[#This Row],[_Resources]],",",REPT(" ",99)),100,99)))</f>
        <v/>
      </c>
      <c r="DM42" s="43" t="str">
        <f aca="false">IF(Tasks[[#This Row],[_Res2Text]]="","",TRIM(MID(SUBSTITUTE(Tasks[[#This Row],[_Resources]],",",REPT(" ",99)),199,99)))</f>
        <v/>
      </c>
      <c r="DN42" s="43" t="str">
        <f aca="false">IF(Tasks[[#This Row],[_Res3Text]]="","",TRIM(MID(SUBSTITUTE(Tasks[[#This Row],[_Resources]],",",REPT(" ",99)),298,99)))</f>
        <v/>
      </c>
      <c r="DO42" s="43" t="n">
        <f aca="false">IF(Tasks[[#This Row],[_Res1Text]]="",0,IFERROR(MATCH(TRIM(LEFT(Tasks[[#This Row],[_Res1Text]],FIND("[",Tasks[[#This Row],[_Res1Text]]&amp;"[")-1)),res_Name,0),IFERROR(MATCH(TRIM(LEFT(Tasks[[#This Row],[_Res1Text]],FIND("[",Tasks[[#This Row],[_Res1Text]]&amp;"[")-1)),res_Initials,0),0)))</f>
        <v>0</v>
      </c>
      <c r="DP42" s="43" t="n">
        <f aca="false">IF(Tasks[[#This Row],[_Res2Text]]="",0,IFERROR(MATCH(TRIM(LEFT(Tasks[[#This Row],[_Res2Text]],FIND("[",Tasks[[#This Row],[_Res2Text]]&amp;"[")-1)),res_Name,0),IFERROR(MATCH(TRIM(LEFT(Tasks[[#This Row],[_Res2Text]],FIND("[",Tasks[[#This Row],[_Res2Text]]&amp;"[")-1)),res_Initials,0),0)))</f>
        <v>0</v>
      </c>
      <c r="DQ42" s="43" t="n">
        <f aca="false">IF(Tasks[[#This Row],[_Res3Text]]="",0,IFERROR(MATCH(TRIM(LEFT(Tasks[[#This Row],[_Res3Text]],FIND("[",Tasks[[#This Row],[_Res3Text]]&amp;"[")-1)),res_Name,0),IFERROR(MATCH(TRIM(LEFT(Tasks[[#This Row],[_Res3Text]],FIND("[",Tasks[[#This Row],[_Res3Text]]&amp;"[")-1)),res_Initials,0),0)))</f>
        <v>0</v>
      </c>
      <c r="DR42" s="43" t="n">
        <f aca="false">IF(Tasks[[#This Row],[_Res4Text]]="",0,IFERROR(MATCH(TRIM(LEFT(Tasks[[#This Row],[_Res4Text]],FIND("[",Tasks[[#This Row],[_Res4Text]]&amp;"[")-1)),res_Name,0),IFERROR(MATCH(TRIM(LEFT(Tasks[[#This Row],[_Res4Text]],FIND("[",Tasks[[#This Row],[_Res4Text]]&amp;"[")-1)),res_Initials,0),0)))</f>
        <v>0</v>
      </c>
      <c r="DS42" s="43" t="str">
        <f aca="false">IF(Tasks[[#This Row],[_Res1Text]]="","",IF(Tasks[[#This Row],[_Res1Row]]&gt;0,INDEX(res_Name,Tasks[[#This Row],[_Res1Row]]),TRIM(LEFT(Tasks[[#This Row],[_Res1Text]],FIND("[",Tasks[[#This Row],[_Res1Text]]&amp;"[")-1))))</f>
        <v/>
      </c>
      <c r="DT4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2" s="43" t="n">
        <f aca="false">IF(NOT(Tasks[[#This Row],[_IsLeaf]]=1),0,(Tasks[[#This Row],[_Resource1]]&lt;&gt;"")+(Tasks[[#This Row],[_Res2]]&lt;&gt;"")+(Tasks[[#This Row],[_Res3]]&lt;&gt;"")+(Tasks[[#This Row],[_Res4]]&lt;&gt;""))</f>
        <v>0</v>
      </c>
      <c r="DV42" s="43" t="str">
        <f aca="false">IF(Tasks[[#This Row],[_Res2Text]]="","",IF(Tasks[[#This Row],[_Res2Row]]&gt;0,INDEX(res_Name,Tasks[[#This Row],[_Res2Row]]),TRIM(LEFT(Tasks[[#This Row],[_Res2Text]],FIND("[",Tasks[[#This Row],[_Res2Text]]&amp;"[")-1))))</f>
        <v/>
      </c>
      <c r="DW4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2" s="43" t="n">
        <f aca="false">IF(OR(NOT(Tasks[[#This Row],[_IsLeaf]]=1),Tasks[[#This Row],[_Res2Row]]=0),0,N(Tasks[[#This Row],[_Days]])*HoursPerDay*IF(Tasks[[#This Row],[_Res2Units]]="",DefaultUnits,Tasks[[#This Row],[_Res2Units]]))</f>
        <v>0</v>
      </c>
      <c r="DY42" s="43" t="n">
        <f aca="false">IF(AND(AND(Tasks[[#This Row],[_IsLeaf]]=1,Tasks[[#This Row],[_LeafTotalWork]]&gt;0),Tasks[[#This Row],[_Res2Work]]&gt;0),Tasks[[#This Row],[_Res2Work]]/(Tasks[[#This Row],[_FinishWorkday]]-Tasks[[#This Row],[_StartWorkday]]+1),0)</f>
        <v>0</v>
      </c>
      <c r="DZ42" s="43" t="n">
        <f aca="false">Tasks[[#This Row],[_Res2WorkPerWD]]*MAX(0,Tasks[[#This Row],[_StartWorkday]]-1)</f>
        <v>0</v>
      </c>
      <c r="EA42" s="43" t="n">
        <f aca="false">Tasks[[#This Row],[_Res2Work]]*Tasks[[#This Row],[_LeafProgress]]</f>
        <v>0</v>
      </c>
      <c r="EB42" s="43" t="str">
        <f aca="false">IF(Tasks[[#This Row],[_Res3Text]]="","",IF(Tasks[[#This Row],[_Res3Row]]&gt;0,INDEX(res_Name,Tasks[[#This Row],[_Res3Row]]),TRIM(LEFT(Tasks[[#This Row],[_Res3Text]],FIND("[",Tasks[[#This Row],[_Res3Text]]&amp;"[")-1))))</f>
        <v/>
      </c>
      <c r="EC4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2" s="43" t="n">
        <f aca="false">IF(OR(NOT(Tasks[[#This Row],[_IsLeaf]]=1),Tasks[[#This Row],[_Res3Row]]=0),0,N(Tasks[[#This Row],[_Days]])*HoursPerDay*IF(Tasks[[#This Row],[_Res3Units]]="",DefaultUnits,Tasks[[#This Row],[_Res3Units]]))</f>
        <v>0</v>
      </c>
      <c r="EE42" s="43" t="n">
        <f aca="false">IF(AND(AND(Tasks[[#This Row],[_IsLeaf]]=1,Tasks[[#This Row],[_LeafTotalWork]]&gt;0),Tasks[[#This Row],[_Res3Work]]&gt;0),Tasks[[#This Row],[_Res3Work]]/(Tasks[[#This Row],[_FinishWorkday]]-Tasks[[#This Row],[_StartWorkday]]+1),0)</f>
        <v>0</v>
      </c>
      <c r="EF42" s="43" t="n">
        <f aca="false">Tasks[[#This Row],[_Res3WorkPerWD]]*MAX(0,Tasks[[#This Row],[_StartWorkday]]-1)</f>
        <v>0</v>
      </c>
      <c r="EG42" s="43" t="n">
        <f aca="false">Tasks[[#This Row],[_Res3Work]]*Tasks[[#This Row],[_LeafProgress]]</f>
        <v>0</v>
      </c>
      <c r="EH42" s="43" t="str">
        <f aca="false">IF(Tasks[[#This Row],[_Res4Text]]="","",IF(Tasks[[#This Row],[_Res4Row]]&gt;0,INDEX(res_Name,Tasks[[#This Row],[_Res4Row]]),TRIM(LEFT(Tasks[[#This Row],[_Res4Text]],FIND("[",Tasks[[#This Row],[_Res4Text]]&amp;"[")-1))))</f>
        <v/>
      </c>
      <c r="EI4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2" s="43" t="n">
        <f aca="false">IF(OR(NOT(Tasks[[#This Row],[_IsLeaf]]=1),Tasks[[#This Row],[_Res4Row]]=0),0,N(Tasks[[#This Row],[_Days]])*HoursPerDay*IF(Tasks[[#This Row],[_Res4Units]]="",DefaultUnits,Tasks[[#This Row],[_Res4Units]]))</f>
        <v>0</v>
      </c>
      <c r="EK42" s="43" t="n">
        <f aca="false">IF(AND(AND(Tasks[[#This Row],[_IsLeaf]]=1,Tasks[[#This Row],[_LeafTotalWork]]&gt;0),Tasks[[#This Row],[_Res4Work]]&gt;0),Tasks[[#This Row],[_Res4Work]]/(Tasks[[#This Row],[_FinishWorkday]]-Tasks[[#This Row],[_StartWorkday]]+1),0)</f>
        <v>0</v>
      </c>
      <c r="EL42" s="43" t="n">
        <f aca="false">Tasks[[#This Row],[_Res4WorkPerWD]]*MAX(0,Tasks[[#This Row],[_StartWorkday]]-1)</f>
        <v>0</v>
      </c>
      <c r="EM42" s="43" t="n">
        <f aca="false">Tasks[[#This Row],[_Res4Work]]*Tasks[[#This Row],[_LeafProgress]]</f>
        <v>0</v>
      </c>
      <c r="EN42" s="43" t="n">
        <f aca="false">IF(ISNUMBER(Tasks[[#This Row],[% Complete]]),Tasks[[#This Row],[% Complete]],IF(Tasks[[#This Row],[Stage]]="",0,IFERROR(INDEX(stg_Pct,MATCH(Tasks[[#This Row],[Stage]],stg_Name,0)),0)))</f>
        <v>0</v>
      </c>
      <c r="EO42" s="43" t="n">
        <f aca="false">IF(NOT(Tasks[[#This Row],[_IsLeaf]]=1),0,IF(N(Tasks[[#This Row],[Actual Finish]])&gt;0,1,MIN(1,Tasks[[#This Row],[_Pct]])))</f>
        <v>0</v>
      </c>
      <c r="EP42" s="43" t="n">
        <f aca="false">IF(OR(NOT(Tasks[[#This Row],[_IsLeaf]]=1),Tasks[[#This Row],[_Res1Row]]=0),0,N(Tasks[[#This Row],[_Days]])*HoursPerDay*IF(Tasks[[#This Row],[_Units1]]="",DefaultUnits,Tasks[[#This Row],[_Units1]]))</f>
        <v>0</v>
      </c>
      <c r="EQ42" s="43" t="n">
        <f aca="false">Tasks[[#This Row],[_LeafWork]]+Tasks[[#This Row],[_Res2Work]]+Tasks[[#This Row],[_Res3Work]]+Tasks[[#This Row],[_Res4Work]]</f>
        <v>0</v>
      </c>
      <c r="ER4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2" s="43" t="n">
        <f aca="false">IF(NOT(Tasks[[#This Row],[_IsLeaf]]=1),0,MAX(_xlfn.MAXIFS(Tasks[_Row],Tasks[_Pred1UID],Tasks[[#This Row],[UID]]),_xlfn.MAXIFS(Tasks[_Row],Tasks[_Pred2UID],Tasks[[#This Row],[UID]]),_xlfn.MAXIFS(Tasks[_Row],Tasks[_Pred3UID],Tasks[[#This Row],[UID]]),_xlfn.MAXIFS(Tasks[_Row],Tasks[_Pred4UID],Tasks[[#This Row],[UID]])))</f>
        <v>0</v>
      </c>
      <c r="FA4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2" s="91" t="str">
        <f aca="false">IF(NOT(Tasks[[#This Row],[_IsLeaf]]=1),"",IF(N(Tasks[[#This Row],[_Days]])&lt;=0,Tasks[[#This Row],[_LeafLateFinish]],WORKDAY.INTL(Tasks[[#This Row],[_LeafLateFinish]],-(Tasks[[#This Row],[_Days]]-1),WorkWeek,Holidays)))</f>
        <v/>
      </c>
      <c r="FD4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2" s="90" t="b">
        <f aca="false">AND(Tasks[[#This Row],[_IsLeaf]]=1,Tasks[[#This Row],[_LeafProgress]]&lt;1,N(Tasks[[#This Row],[_LeafTotalSlack]])&lt;=CriticalSlackDays)</f>
        <v>0</v>
      </c>
      <c r="FF42" s="43" t="n">
        <f aca="false">IF(AND(Tasks[[#This Row],[_IsLeaf]]=1,Tasks[[#This Row],[_ConstraintCode]]=1,Tasks[[#This Row],[Mode]]&lt;&gt;"Manual",N(Tasks[[#This Row],[Actual Start]])=0),MAX(0,N(Tasks[[#This Row],[Free Slack]])),0)</f>
        <v>0</v>
      </c>
      <c r="FG42" s="91" t="str">
        <f aca="false">IF(NOT(Tasks[[#This Row],[_IsLeaf]]=1),"",IF(Tasks[[#This Row],[_AlapShift]]=0,Tasks[[#This Row],[_LeafCalcStart]],WORKDAY.INTL(Tasks[[#This Row],[_LeafCalcStart]],Tasks[[#This Row],[_AlapShift]],WorkWeek,Holidays)))</f>
        <v/>
      </c>
      <c r="FH42" s="91" t="str">
        <f aca="false">IF(NOT(Tasks[[#This Row],[_IsLeaf]]=1),"",IF(Tasks[[#This Row],[_AlapShift]]=0,Tasks[[#This Row],[_LeafCalcFinish]],WORKDAY.INTL(Tasks[[#This Row],[_LeafCalcFinish]],Tasks[[#This Row],[_AlapShift]],WorkWeek,Holidays)))</f>
        <v/>
      </c>
      <c r="FI42" s="91" t="str">
        <f aca="false">IF(NOT(Tasks[[#This Row],[_IsLeaf]]=1),"",IF(Tasks[[#This Row],[_AlapShift]]=0,Tasks[[#This Row],[_LeafFcstStart]],WORKDAY.INTL(Tasks[[#This Row],[_LeafFcstStart]],Tasks[[#This Row],[_AlapShift]],WorkWeek,Holidays)))</f>
        <v/>
      </c>
      <c r="FJ42" s="91" t="str">
        <f aca="false">IF(NOT(Tasks[[#This Row],[_IsLeaf]]=1),"",IF(Tasks[[#This Row],[_AlapShift]]=0,Tasks[[#This Row],[_LeafFcstFinish]],WORKDAY.INTL(Tasks[[#This Row],[_LeafFcstFinish]],Tasks[[#This Row],[_AlapShift]],WorkWeek,Holidays)))</f>
        <v/>
      </c>
      <c r="FK42" s="91" t="str">
        <f aca="false">IF(Tasks[[#This Row],[Task Name]]="","",IF(Tasks[[#This Row],[_IsSummary]],MIN(INDEX(Tasks[_ShownCalcStart],Tasks[[#This Row],[_Row]]+1):INDEX(Tasks[_ShownCalcStart],Tasks[[#This Row],[_Row]]+Tasks[[#This Row],[_Descendants]])),Tasks[[#This Row],[_ShownCalcStart]]))</f>
        <v/>
      </c>
      <c r="FL42" s="91" t="str">
        <f aca="false">IF(Tasks[[#This Row],[Task Name]]="","",IF(Tasks[[#This Row],[_IsSummary]],MAX(INDEX(Tasks[_ShownCalcFinish],Tasks[[#This Row],[_Row]]+1):INDEX(Tasks[_ShownCalcFinish],Tasks[[#This Row],[_Row]]+Tasks[[#This Row],[_Descendants]])),Tasks[[#This Row],[_ShownCalcFinish]]))</f>
        <v/>
      </c>
      <c r="FM4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2" s="43" t="n">
        <f aca="false">IF(AND(Tasks[[#This Row],[_IsLeaf]]=1,Tasks[[#This Row],[_LeafTotalWork]]&gt;0),NETWORKDAYS.INTL(ProjectStart,Tasks[[#This Row],[_ShownFcstStart]],WorkWeek,Holidays),0)</f>
        <v>0</v>
      </c>
      <c r="FZ42" s="43" t="n">
        <f aca="false">IF(AND(Tasks[[#This Row],[_IsLeaf]]=1,Tasks[[#This Row],[_LeafTotalWork]]&gt;0),MAX(Tasks[[#This Row],[_StartWorkday]],NETWORKDAYS.INTL(ProjectStart,Tasks[[#This Row],[_ShownFcstFinish]],WorkWeek,Holidays)),0)</f>
        <v>0</v>
      </c>
      <c r="GA42" s="43" t="n">
        <f aca="false">IF(AND(Tasks[[#This Row],[_IsLeaf]]=1,Tasks[[#This Row],[_LeafTotalWork]]&gt;0),Tasks[[#This Row],[_LeafWork]]/(Tasks[[#This Row],[_FinishWorkday]]-Tasks[[#This Row],[_StartWorkday]]+1),0)</f>
        <v>0</v>
      </c>
      <c r="GB42" s="43" t="n">
        <f aca="false">Tasks[[#This Row],[_WorkPerWorkday]]*(Tasks[[#This Row],[_StartWorkday]]-1)</f>
        <v>-0</v>
      </c>
      <c r="GC42" s="43" t="n">
        <f aca="false">IF(Tasks[[#This Row],[_IsLeaf]]=1,MAX(N(Tasks[[#This Row],[_Days]]),0.1),0)</f>
        <v>0</v>
      </c>
      <c r="GD42" s="43" t="n">
        <f aca="false">Tasks[[#This Row],[_WeightDur]]*Tasks[[#This Row],[_LeafProgress]]</f>
        <v>0</v>
      </c>
      <c r="GE42" s="43" t="n">
        <f aca="false">Tasks[[#This Row],[_WeightDur]]*Tasks[[#This Row],[_PlannedPct]]</f>
        <v>0</v>
      </c>
      <c r="GF4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2" s="43" t="str">
        <f aca="false">IF(AND(Tasks[[#This Row],[_IsLeaf]]=1,N(Tasks[[#This Row],[_Days]])=0,Tasks[[#This Row],[_LeafProgress]]&lt;1),Tasks[[#This Row],[_ShownFcstFinish]]+Tasks[[#This Row],[_Row]]/100000,"")</f>
        <v/>
      </c>
      <c r="GH4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2" s="43" t="str">
        <f aca="false">IF(Tasks[[#This Row],[Task Name]]="","",LEFT(Tasks[[#This Row],[WBS]],FIND(".",Tasks[[#This Row],[WBS]]&amp;".")-1))</f>
        <v/>
      </c>
      <c r="GJ42" s="43" t="str">
        <f aca="false">IF(AND(Tasks[[#This Row],[Task Name]]&lt;&gt;"",Tasks[[#This Row],[_Level]]=1),Tasks[[#This Row],[_Row]],"")</f>
        <v/>
      </c>
      <c r="GK42" s="43" t="str">
        <f aca="false">IF(AND(Tasks[[#This Row],[_IsLeaf]]=1,N(Tasks[[#This Row],[_Days]])=0),Tasks[[#This Row],[Planned Finish]]+Tasks[[#This Row],[_Row]]/100000,"")</f>
        <v/>
      </c>
      <c r="GL42" s="43" t="str">
        <f aca="false">IF(AND(Tasks[[#This Row],[_IsLeaf]]=1,Tasks[[#This Row],[_LeafProgress]]&lt;1,OR(N(Tasks[[#This Row],[Finish Var]])&gt;0,Tasks[[#This Row],[Status]]="Late Start")),MAX(0,Tasks[[#This Row],[Finish Var]])+1-Tasks[[#This Row],[_Row]]/1000000,"")</f>
        <v/>
      </c>
      <c r="GM42" s="43" t="str">
        <f aca="false">IF(AND(Tasks[[#This Row],[_IsLeaf]]=1,N(Tasks[[#This Row],[Actual Start]])=0,Tasks[[#This Row],[_ShownFcstStart]]&gt;=StatusDate,Tasks[[#This Row],[_ShownFcstStart]]&lt;=LookaheadEnd),Tasks[[#This Row],[_ShownFcstStart]]+Tasks[[#This Row],[_Row]]/100000,"")</f>
        <v/>
      </c>
      <c r="GN42" s="43" t="str">
        <f aca="false">IF(AND(Tasks[[#This Row],[_IsLeaf]]=1,Tasks[[#This Row],[_LeafProgress]]&lt;1,Tasks[[#This Row],[_ShownFcstFinish]]&gt;=StatusDate,Tasks[[#This Row],[_ShownFcstFinish]]&lt;=LookaheadEnd),Tasks[[#This Row],[_ShownFcstFinish]]+Tasks[[#This Row],[_Row]]/100000,"")</f>
        <v/>
      </c>
      <c r="GO42" s="43" t="str">
        <f aca="false">IF(Tasks[[#This Row],[_LeafCritical]],Tasks[[#This Row],[_ShownFcstStart]]+Tasks[[#This Row],[_Row]]/100000,"")</f>
        <v/>
      </c>
      <c r="GP42" s="43" t="n">
        <f aca="false">Tasks[[#This Row],[_LeafWork]]*Tasks[[#This Row],[_LeafProgress]]</f>
        <v>0</v>
      </c>
      <c r="GQ42" s="91" t="str">
        <f aca="false">IF(AND(Tasks[[#This Row],[_IsLeaf]]=1,Tasks[[#This Row],[_LeafProgress]]&gt;=1),IF(N(Tasks[[#This Row],[Actual Finish]])&gt;0,Tasks[[#This Row],[Actual Finish]],Tasks[[#This Row],[_ShownFcstFinish]]),"")</f>
        <v/>
      </c>
      <c r="GR42" s="43" t="n">
        <f aca="false">IF(Tasks[[#This Row],[_IsLeaf]]=1,N(Tasks[[#This Row],[Story Points]]),0)</f>
        <v>0</v>
      </c>
      <c r="GS42" s="43" t="str">
        <f aca="false">""</f>
        <v/>
      </c>
      <c r="GT42" s="90" t="b">
        <f aca="false">IF(Tasks[[#This Row],[Task Name]]="",FALSE(),AND(Tasks[[#This Row],[_IsLeaf]]=1,N(Tasks[[#This Row],[_Days]])=0))</f>
        <v>0</v>
      </c>
      <c r="GU42" s="91" t="n">
        <f aca="false">IF(Tasks[[#This Row],[Task Name]]="",0,IF(AND(Tasks[[#This Row],[_IsLeaf]]=1,NOT(Tasks[[#This Row],[_IsMilestone]]),N(Tasks[[#This Row],[Progress]])&gt;0),Tasks[[#This Row],[Start]],0))</f>
        <v>0</v>
      </c>
      <c r="GV42" s="91" t="n">
        <f aca="false">IF(Tasks[[#This Row],[_DoneFrom]]=0,0,IF(Tasks[[#This Row],[Progress]]&gt;=1,Tasks[[#This Row],[Finish]],MAX(Tasks[[#This Row],[_DoneFrom]],Tasks[[#This Row],[Start]]+ROUND((Tasks[[#This Row],[Finish]]-Tasks[[#This Row],[Start]]+1)*Tasks[[#This Row],[Progress]],0)-1)))</f>
        <v>0</v>
      </c>
      <c r="GW42" s="91" t="n">
        <f aca="false">IF(Tasks[[#This Row],[Task Name]]="",0,IF(OR(NOT(Tasks[[#This Row],[_IsLeaf]]=1),Tasks[[#This Row],[_IsMilestone]],N(Tasks[[#This Row],[Progress]])&gt;=1),0,IF(Tasks[[#This Row],[_DoneTo]]&gt;0,Tasks[[#This Row],[_DoneTo]]+1,Tasks[[#This Row],[Start]])))</f>
        <v>0</v>
      </c>
      <c r="GX42" s="91" t="n">
        <f aca="false">IF(Tasks[[#This Row],[_RemFrom]]=0,0,Tasks[[#This Row],[Finish]])</f>
        <v>0</v>
      </c>
      <c r="GY42" s="90" t="b">
        <f aca="false">IF(Tasks[[#This Row],[Task Name]]="",FALSE(),OR(NOT(BaselineSet),N(Tasks[[#This Row],[Baseline Start]])&gt;0))</f>
        <v>0</v>
      </c>
      <c r="GZ4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2" s="92" t="str">
        <f aca="false">IF(Tasks[[#This Row],[_IsLeaf]]=1,Tasks[[#This Row],[_Row]],"")</f>
        <v/>
      </c>
      <c r="HD42" s="92" t="str">
        <f aca="false">IFERROR(INDEX(Tasks[UID],SMALL(Tasks[_PickKey],Tasks[[#This Row],[_Row]]))&amp;" "&amp;INDEX(Tasks[Task Name],SMALL(Tasks[_PickKey],Tasks[[#This Row],[_Row]])),"")</f>
        <v/>
      </c>
      <c r="HE42" s="43" t="str">
        <f aca="false">IF(Tasks[[#This Row],[Task Name]]="","",IF(Tasks[[#This Row],[_IsSummary]],NETWORKDAYS.INTL(Tasks[[#This Row],[Start]],Tasks[[#This Row],[Finish]],WorkWeek,Holidays),N(Tasks[[#This Row],[_Days]])))</f>
        <v/>
      </c>
      <c r="HF42" s="43" t="n">
        <f aca="false">IF(Tasks[[#This Row],[Expected]]="",0,((Tasks[[#This Row],[Pessimistic]]-Tasks[[#This Row],[Optimistic]])/6)^2)</f>
        <v>0</v>
      </c>
      <c r="HG42" s="43" t="n">
        <f aca="false">IF(Tasks[[#This Row],[Expected]]="",0,Tasks[[#This Row],[Expected]]-N(Tasks[[#This Row],[_Days]]))</f>
        <v>0</v>
      </c>
    </row>
    <row r="43" customFormat="false" ht="15" hidden="false" customHeight="false" outlineLevel="0" collapsed="false">
      <c r="A43" s="21" t="str">
        <f aca="false">IF(Tasks[[#This Row],[Task Name]]="","",COUNTA(Tasks[[#Headers],[Task Name]]:Tasks[[#This Row],[Task Name]])-1)</f>
        <v/>
      </c>
      <c r="B43" s="22" t="n">
        <v>51</v>
      </c>
      <c r="C43" s="22"/>
      <c r="D43" s="23"/>
      <c r="E43" s="22"/>
      <c r="F43" s="23"/>
      <c r="G43" s="22"/>
      <c r="H43" s="22"/>
      <c r="I43" s="23"/>
      <c r="J43" s="22"/>
      <c r="K43" s="22"/>
      <c r="L43" s="23"/>
      <c r="M43" s="22"/>
      <c r="N43" s="22"/>
      <c r="O43" s="23"/>
      <c r="P43" s="22"/>
      <c r="Q43" s="22"/>
      <c r="R43" s="23"/>
      <c r="S43" s="23"/>
      <c r="T43" s="84"/>
      <c r="U43" s="23"/>
      <c r="V43" s="84"/>
      <c r="W43" s="23"/>
      <c r="X43" s="84"/>
      <c r="Y43" s="23"/>
      <c r="Z43" s="84"/>
      <c r="AA43" s="23"/>
      <c r="AB43" s="23"/>
      <c r="AC43" s="7"/>
      <c r="AD43" s="7"/>
      <c r="AE43" s="63" t="str">
        <f aca="false">IF(Tasks[[#This Row],[Task Name]]="","",IF(Tasks[[#This Row],[_IsSummary]],MIN(INDEX(Tasks[_ShownFcstStart],Tasks[[#This Row],[_Row]]+1):INDEX(Tasks[_ShownFcstStart],Tasks[[#This Row],[_Row]]+Tasks[[#This Row],[_Descendants]])),Tasks[[#This Row],[_ShownFcstStart]]))</f>
        <v/>
      </c>
      <c r="AF43" s="63" t="str">
        <f aca="false">IF(Tasks[[#This Row],[Task Name]]="","",IF(Tasks[[#This Row],[_IsSummary]],MAX(INDEX(Tasks[_ShownFcstFinish],Tasks[[#This Row],[_Row]]+1):INDEX(Tasks[_ShownFcstFinish],Tasks[[#This Row],[_Row]]+Tasks[[#This Row],[_Descendants]])),Tasks[[#This Row],[_ShownFcstFinish]]))</f>
        <v/>
      </c>
      <c r="AG43" s="21" t="str">
        <f aca="false">""</f>
        <v/>
      </c>
      <c r="AH43" s="23"/>
      <c r="AI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3" s="7"/>
      <c r="AK43" s="22"/>
      <c r="AL43" s="23"/>
      <c r="AM43" s="7"/>
      <c r="AN43" s="47" t="str">
        <f aca="false">IF(Tasks[[#This Row],[Task Name]]="","",IF(Tasks[[#This Row],[Finish]]&gt;=Tasks[[#This Row],[Planned Finish]],NETWORKDAYS.INTL(Tasks[[#This Row],[Planned Finish]],Tasks[[#This Row],[Finish]],WorkWeek,Holidays)-1,1-NETWORKDAYS.INTL(Tasks[[#This Row],[Finish]],Tasks[[#This Row],[Planned Finish]],WorkWeek,Holidays)))</f>
        <v/>
      </c>
      <c r="AO43" s="21" t="str">
        <f aca="false">IF(Tasks[[#This Row],[Task Name]]="","",IF(Tasks[[#This Row],[Progress]]&gt;=1,"Complete",IF(OR(N(Tasks[[#This Row],[Actual Start]])&gt;0,Tasks[[#This Row],[Progress]]&gt;0),IF(Tasks[[#This Row],[Finish Var]]&gt;0,"Behind","In Progress"),IF(Tasks[[#This Row],[Planned Start]]&lt;StatusDate,"Late Start","Not Started"))))</f>
        <v/>
      </c>
      <c r="AP43" s="21" t="str">
        <f aca="false">IF(Tasks[[#This Row],[Task Name]]="","",IF(IF(Tasks[[#This Row],[_IsSummary]],COUNTIF(INDEX(Tasks[_LeafCritical],Tasks[[#This Row],[_Row]]+1):INDEX(Tasks[_LeafCritical],Tasks[[#This Row],[_Row]]+Tasks[[#This Row],[_Descendants]]),TRUE())&gt;0,Tasks[[#This Row],[_LeafCritical]]),"Yes",""))</f>
        <v/>
      </c>
      <c r="AQ43" s="63" t="str">
        <f aca="false">IF(Tasks[[#This Row],[Task Name]]="","",IF(N(Tasks[[#This Row],[Baseline Start]])&gt;0,Tasks[[#This Row],[Baseline Start]],Tasks[[#This Row],[_CalcStart]]))</f>
        <v/>
      </c>
      <c r="AR43" s="63" t="str">
        <f aca="false">IF(Tasks[[#This Row],[Task Name]]="","",IF(N(Tasks[[#This Row],[Baseline Finish]])&gt;0,Tasks[[#This Row],[Baseline Finish]],Tasks[[#This Row],[_CalcFinish]]))</f>
        <v/>
      </c>
      <c r="AS43" s="47" t="str">
        <f aca="false">IF(Tasks[[#This Row],[Task Name]]="","",IF(Tasks[[#This Row],[Start]]&gt;=Tasks[[#This Row],[Planned Start]],NETWORKDAYS.INTL(Tasks[[#This Row],[Planned Start]],Tasks[[#This Row],[Start]],WorkWeek,Holidays)-1,1-NETWORKDAYS.INTL(Tasks[[#This Row],[Start]],Tasks[[#This Row],[Planned Start]],WorkWeek,Holidays)))</f>
        <v/>
      </c>
      <c r="AT43" s="63" t="str">
        <f aca="false">IF(Tasks[[#This Row],[Task Name]]="","",IF(Tasks[[#This Row],[_IsSummary]],MIN(INDEX(Tasks[_LeafLateStart],Tasks[[#This Row],[_Row]]+1):INDEX(Tasks[_LeafLateStart],Tasks[[#This Row],[_Row]]+Tasks[[#This Row],[_Descendants]])),Tasks[[#This Row],[_LeafLateStart]]))</f>
        <v/>
      </c>
      <c r="AU43" s="63" t="str">
        <f aca="false">IF(Tasks[[#This Row],[Task Name]]="","",IF(Tasks[[#This Row],[_IsSummary]],MAX(INDEX(Tasks[_LeafLateFinish],Tasks[[#This Row],[_Row]]+1):INDEX(Tasks[_LeafLateFinish],Tasks[[#This Row],[_Row]]+Tasks[[#This Row],[_Descendants]])),Tasks[[#This Row],[_LeafLateFinish]]))</f>
        <v/>
      </c>
      <c r="AV43" s="47" t="str">
        <f aca="false">IF(Tasks[[#This Row],[Task Name]]="","",IF(Tasks[[#This Row],[_IsSummary]],MIN(INDEX(Tasks[_LeafTotalSlack],Tasks[[#This Row],[_Row]]+1):INDEX(Tasks[_LeafTotalSlack],Tasks[[#This Row],[_Row]]+Tasks[[#This Row],[_Descendants]])),Tasks[[#This Row],[_LeafTotalSlack]]))</f>
        <v/>
      </c>
      <c r="AW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5"/>
      <c r="BA4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1" t="str">
        <f aca="false">IF(Tasks[[#This Row],[Task Name]]="","",IF(Tasks[[#This Row],[_Level]]&lt;=OutlineShowLevel,"Yes","No"))</f>
        <v/>
      </c>
      <c r="BE43" s="86" t="str">
        <f aca="false">IF(Tasks[[#This Row],[Task Name]]="","",IF(Tasks[[#This Row],[_IsSummary]],SUM(INDEX(Tasks[_LeafTotalWork],Tasks[[#This Row],[_Row]]+1):INDEX(Tasks[_LeafTotalWork],Tasks[[#This Row],[_Row]]+Tasks[[#This Row],[_Descendants]])),Tasks[[#This Row],[_LeafTotalWork]]))</f>
        <v/>
      </c>
      <c r="BF43" s="23"/>
      <c r="BG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3" s="21" t="str">
        <f aca="false">""</f>
        <v/>
      </c>
      <c r="BI43" s="87"/>
      <c r="BJ43" s="22"/>
      <c r="BK43" s="47" t="str">
        <f aca="false">IF(OR(Tasks[[#This Row],[Task Name]]="",Tasks[[#This Row],[Baseline Duration]]=""),"",Tasks[[#This Row],[_SpanDays]]-N(Tasks[[#This Row],[Baseline Duration]]))</f>
        <v/>
      </c>
      <c r="BL43" s="86" t="str">
        <f aca="false">IF(OR(Tasks[[#This Row],[Task Name]]="",Tasks[[#This Row],[Baseline Work]]=""),"",Tasks[[#This Row],[Work]]-N(Tasks[[#This Row],[Baseline Work]]))</f>
        <v/>
      </c>
      <c r="BM43" s="63" t="str">
        <f aca="false">IF(Tasks[[#This Row],[Task Name]]="","",IF(OR(TakeBaseline="Yes",N(Tasks[[#This Row],[Baseline Start]])=0),Tasks[[#This Row],[Start]],Tasks[[#This Row],[Baseline Start]]))</f>
        <v/>
      </c>
      <c r="BN43" s="63" t="str">
        <f aca="false">IF(Tasks[[#This Row],[Task Name]]="","",IF(OR(TakeBaseline="Yes",N(Tasks[[#This Row],[Baseline Finish]])=0),Tasks[[#This Row],[Finish]],Tasks[[#This Row],[Baseline Finish]]))</f>
        <v/>
      </c>
      <c r="BO43" s="21" t="str">
        <f aca="false">IF(Tasks[[#This Row],[Task Name]]="","",IF(OR(TakeBaseline="Yes",N(Tasks[[#This Row],[Baseline Duration]])=0),Tasks[[#This Row],[_SpanDays]],Tasks[[#This Row],[Baseline Duration]]))</f>
        <v/>
      </c>
      <c r="BP43" s="86" t="str">
        <f aca="false">IF(Tasks[[#This Row],[Task Name]]="","",IF(OR(TakeBaseline="Yes",N(Tasks[[#This Row],[Baseline Work]])=0),Tasks[[#This Row],[Work]],Tasks[[#This Row],[Baseline Work]]))</f>
        <v/>
      </c>
      <c r="BQ43" s="7"/>
      <c r="BR43" s="7"/>
      <c r="BS43" s="22"/>
      <c r="BT43" s="88"/>
      <c r="BU43" s="23"/>
      <c r="BV43" s="23"/>
      <c r="BW43" s="23"/>
      <c r="BX43" s="89" t="str">
        <f aca="false">IF(AND(Tasks[[#This Row],[_IsLeaf]]=1,ISNUMBER(Tasks[[#This Row],[Optimistic]]),ISNUMBER(Tasks[[#This Row],[Pessimistic]])),ROUND((Tasks[[#This Row],[Optimistic]]+4*N(Tasks[[#This Row],[_Days]])+Tasks[[#This Row],[Pessimistic]])/6,1),"")</f>
        <v/>
      </c>
      <c r="BY43" s="87"/>
      <c r="BZ43" s="87"/>
      <c r="CA43" s="22"/>
      <c r="CB43" s="43" t="str">
        <f aca="false">IF(Tasks[[#This Row],[Task Name]]="","",MAX(1,N(Tasks[[#This Row],[Level]])))</f>
        <v/>
      </c>
      <c r="CC43" s="43" t="n">
        <f aca="false">ROW()-ROW(Tasks[[#Headers],[ID]])</f>
        <v>38</v>
      </c>
      <c r="CD43" s="43" t="n">
        <f aca="false">IF(OR(Tasks[[#This Row],[Task Name]]="",Tasks[[#This Row],[_Level]]&lt;=1),0,IFERROR(LOOKUP(2,1/(Tasks[[#Headers],[_Level]]:Tasks[[#This Row],[_Level]]=Tasks[[#This Row],[_Level]]-1),ROW(Tasks[[#Headers],[_Level]]:Tasks[[#This Row],[_Level]])),0))</f>
        <v>0</v>
      </c>
      <c r="CE43" s="43" t="n">
        <f aca="false">IFERROR(N(INDEX(Tasks[_Level],Tasks[[#This Row],[_Row]]+1)),0)</f>
        <v>0</v>
      </c>
      <c r="CF43" s="90" t="b">
        <f aca="false">AND(Tasks[[#This Row],[Task Name]]&lt;&gt;"",Tasks[[#This Row],[_NextLevel]]&gt;Tasks[[#This Row],[_Level]])</f>
        <v>0</v>
      </c>
      <c r="CG43" s="43" t="n">
        <f aca="false">IF(Tasks[[#This Row],[_IsSummary]],COUNTIF(Tasks[WBS],Tasks[[#This Row],[WBS]]&amp;".*"),0)</f>
        <v>0</v>
      </c>
      <c r="CH43" s="43" t="n">
        <f aca="false">IF(AND(Tasks[[#This Row],[Task Name]]&lt;&gt;"",NOT(Tasks[[#This Row],[_IsSummary]])),1,0)</f>
        <v>0</v>
      </c>
      <c r="CI43" s="43" t="n">
        <f aca="false">IF(N(Tasks[[#This Row],[_Pred1UID]])=0,0,IFERROR(MATCH(Tasks[[#This Row],[_Pred1UID]],Tasks[UID],0),-1))</f>
        <v>0</v>
      </c>
      <c r="CJ43" s="43" t="n">
        <f aca="false">IF(N(Tasks[[#This Row],[_Pred2UID]])=0,0,IFERROR(MATCH(Tasks[[#This Row],[_Pred2UID]],Tasks[UID],0),-1))</f>
        <v>0</v>
      </c>
      <c r="CK43" s="43" t="n">
        <f aca="false">IF(N(Tasks[[#This Row],[_Pred3UID]])=0,0,IFERROR(MATCH(Tasks[[#This Row],[_Pred3UID]],Tasks[UID],0),-1))</f>
        <v>0</v>
      </c>
      <c r="CL43" s="43" t="n">
        <f aca="false">IF(N(Tasks[[#This Row],[_Pred4UID]])=0,0,IFERROR(MATCH(Tasks[[#This Row],[_Pred4UID]],Tasks[UID],0),-1))</f>
        <v>0</v>
      </c>
      <c r="CM4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3" s="91" t="n">
        <f aca="false">IF(OR(Tasks[[#This Row],[_ConstraintCode]]=2,Tasks[[#This Row],[_ConstraintCode]]=3,Tasks[[#This Row],[_ConstraintCode]]=4,Tasks[[#This Row],[_ConstraintCode]]=6),Tasks[[#This Row],[_ConstraintStart]],0)</f>
        <v>0</v>
      </c>
      <c r="CP43" s="91" t="n">
        <f aca="false">IF(OR(Tasks[[#This Row],[_ConstraintCode]]=2,Tasks[[#This Row],[_ConstraintCode]]=3,Tasks[[#This Row],[_ConstraintCode]]=5,Tasks[[#This Row],[_ConstraintCode]]=7),Tasks[[#This Row],[_ConstraintStart]],2958465)</f>
        <v>2958465</v>
      </c>
      <c r="CQ4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3" s="91" t="str">
        <f aca="false">IF(NOT(Tasks[[#This Row],[_IsLeaf]]=1),"",IF(N(Tasks[[#This Row],[_Days]])&lt;=0,Tasks[[#This Row],[_LeafCalcStart]],WORKDAY.INTL(Tasks[[#This Row],[_LeafCalcStart]],Tasks[[#This Row],[_Days]]-1,WorkWeek,Holidays)))</f>
        <v/>
      </c>
      <c r="CS4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3" s="43" t="str">
        <f aca="false">IF(Tasks[[#This Row],[_Predecessors]]="","",TRIM(MID(SUBSTITUTE(SUBSTITUTE(SUBSTITUTE(UPPER(Tasks[[#This Row],[_Predecessors]]),";",",")," ",""),",",REPT(" ",99)),1,99)))</f>
        <v/>
      </c>
      <c r="CV43" s="43" t="str">
        <f aca="false">IF(Tasks[[#This Row],[_Pred1Text]]="","",IFERROR(VALUE(LEFT(Tasks[[#This Row],[_Pred1Text]],MIN(FIND("F",Tasks[[#This Row],[_Pred1Text]]&amp;"F"),FIND("S",Tasks[[#This Row],[_Pred1Text]]&amp;"S"),FIND("+",Tasks[[#This Row],[_Pred1Text]]&amp;"+"),FIND("-",Tasks[[#This Row],[_Pred1Text]]&amp;"-"))-1)),""))</f>
        <v/>
      </c>
      <c r="CW4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3" s="43" t="str">
        <f aca="false">IF(Tasks[[#This Row],[_Pred1Text]]="","",TRIM(MID(SUBSTITUTE(SUBSTITUTE(SUBSTITUTE(UPPER(Tasks[[#This Row],[_Predecessors]]),";",",")," ",""),",",REPT(" ",99)),100,99)))</f>
        <v/>
      </c>
      <c r="CZ43" s="43" t="str">
        <f aca="false">IF(Tasks[[#This Row],[_Pred2Text]]="","",IFERROR(VALUE(LEFT(Tasks[[#This Row],[_Pred2Text]],MIN(FIND("F",Tasks[[#This Row],[_Pred2Text]]&amp;"F"),FIND("S",Tasks[[#This Row],[_Pred2Text]]&amp;"S"),FIND("+",Tasks[[#This Row],[_Pred2Text]]&amp;"+"),FIND("-",Tasks[[#This Row],[_Pred2Text]]&amp;"-"))-1)),""))</f>
        <v/>
      </c>
      <c r="DA4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3" s="43" t="str">
        <f aca="false">IF(Tasks[[#This Row],[_Pred2Text]]="","",TRIM(MID(SUBSTITUTE(SUBSTITUTE(SUBSTITUTE(UPPER(Tasks[[#This Row],[_Predecessors]]),";",",")," ",""),",",REPT(" ",99)),199,99)))</f>
        <v/>
      </c>
      <c r="DD43" s="43" t="str">
        <f aca="false">IF(Tasks[[#This Row],[_Pred3Text]]="","",IFERROR(VALUE(LEFT(Tasks[[#This Row],[_Pred3Text]],MIN(FIND("F",Tasks[[#This Row],[_Pred3Text]]&amp;"F"),FIND("S",Tasks[[#This Row],[_Pred3Text]]&amp;"S"),FIND("+",Tasks[[#This Row],[_Pred3Text]]&amp;"+"),FIND("-",Tasks[[#This Row],[_Pred3Text]]&amp;"-"))-1)),""))</f>
        <v/>
      </c>
      <c r="DE4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3" s="43" t="str">
        <f aca="false">IF(Tasks[[#This Row],[_Pred3Text]]="","",TRIM(MID(SUBSTITUTE(SUBSTITUTE(SUBSTITUTE(UPPER(Tasks[[#This Row],[_Predecessors]]),";",",")," ",""),",",REPT(" ",99)),298,99)))</f>
        <v/>
      </c>
      <c r="DH43" s="43" t="str">
        <f aca="false">IF(Tasks[[#This Row],[_Pred4Text]]="","",IFERROR(VALUE(LEFT(Tasks[[#This Row],[_Pred4Text]],MIN(FIND("F",Tasks[[#This Row],[_Pred4Text]]&amp;"F"),FIND("S",Tasks[[#This Row],[_Pred4Text]]&amp;"S"),FIND("+",Tasks[[#This Row],[_Pred4Text]]&amp;"+"),FIND("-",Tasks[[#This Row],[_Pred4Text]]&amp;"-"))-1)),""))</f>
        <v/>
      </c>
      <c r="DI4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3" s="43" t="str">
        <f aca="false">IF(OR(Tasks[[#This Row],[Task Name]]="",Tasks[[#This Row],[_Resources]]=""),"",TRIM(MID(SUBSTITUTE(Tasks[[#This Row],[_Resources]],",",REPT(" ",99)),1,99)))</f>
        <v/>
      </c>
      <c r="DL43" s="43" t="str">
        <f aca="false">IF(Tasks[[#This Row],[_Res1Text]]="","",TRIM(MID(SUBSTITUTE(Tasks[[#This Row],[_Resources]],",",REPT(" ",99)),100,99)))</f>
        <v/>
      </c>
      <c r="DM43" s="43" t="str">
        <f aca="false">IF(Tasks[[#This Row],[_Res2Text]]="","",TRIM(MID(SUBSTITUTE(Tasks[[#This Row],[_Resources]],",",REPT(" ",99)),199,99)))</f>
        <v/>
      </c>
      <c r="DN43" s="43" t="str">
        <f aca="false">IF(Tasks[[#This Row],[_Res3Text]]="","",TRIM(MID(SUBSTITUTE(Tasks[[#This Row],[_Resources]],",",REPT(" ",99)),298,99)))</f>
        <v/>
      </c>
      <c r="DO43" s="43" t="n">
        <f aca="false">IF(Tasks[[#This Row],[_Res1Text]]="",0,IFERROR(MATCH(TRIM(LEFT(Tasks[[#This Row],[_Res1Text]],FIND("[",Tasks[[#This Row],[_Res1Text]]&amp;"[")-1)),res_Name,0),IFERROR(MATCH(TRIM(LEFT(Tasks[[#This Row],[_Res1Text]],FIND("[",Tasks[[#This Row],[_Res1Text]]&amp;"[")-1)),res_Initials,0),0)))</f>
        <v>0</v>
      </c>
      <c r="DP43" s="43" t="n">
        <f aca="false">IF(Tasks[[#This Row],[_Res2Text]]="",0,IFERROR(MATCH(TRIM(LEFT(Tasks[[#This Row],[_Res2Text]],FIND("[",Tasks[[#This Row],[_Res2Text]]&amp;"[")-1)),res_Name,0),IFERROR(MATCH(TRIM(LEFT(Tasks[[#This Row],[_Res2Text]],FIND("[",Tasks[[#This Row],[_Res2Text]]&amp;"[")-1)),res_Initials,0),0)))</f>
        <v>0</v>
      </c>
      <c r="DQ43" s="43" t="n">
        <f aca="false">IF(Tasks[[#This Row],[_Res3Text]]="",0,IFERROR(MATCH(TRIM(LEFT(Tasks[[#This Row],[_Res3Text]],FIND("[",Tasks[[#This Row],[_Res3Text]]&amp;"[")-1)),res_Name,0),IFERROR(MATCH(TRIM(LEFT(Tasks[[#This Row],[_Res3Text]],FIND("[",Tasks[[#This Row],[_Res3Text]]&amp;"[")-1)),res_Initials,0),0)))</f>
        <v>0</v>
      </c>
      <c r="DR43" s="43" t="n">
        <f aca="false">IF(Tasks[[#This Row],[_Res4Text]]="",0,IFERROR(MATCH(TRIM(LEFT(Tasks[[#This Row],[_Res4Text]],FIND("[",Tasks[[#This Row],[_Res4Text]]&amp;"[")-1)),res_Name,0),IFERROR(MATCH(TRIM(LEFT(Tasks[[#This Row],[_Res4Text]],FIND("[",Tasks[[#This Row],[_Res4Text]]&amp;"[")-1)),res_Initials,0),0)))</f>
        <v>0</v>
      </c>
      <c r="DS43" s="43" t="str">
        <f aca="false">IF(Tasks[[#This Row],[_Res1Text]]="","",IF(Tasks[[#This Row],[_Res1Row]]&gt;0,INDEX(res_Name,Tasks[[#This Row],[_Res1Row]]),TRIM(LEFT(Tasks[[#This Row],[_Res1Text]],FIND("[",Tasks[[#This Row],[_Res1Text]]&amp;"[")-1))))</f>
        <v/>
      </c>
      <c r="DT4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3" s="43" t="n">
        <f aca="false">IF(NOT(Tasks[[#This Row],[_IsLeaf]]=1),0,(Tasks[[#This Row],[_Resource1]]&lt;&gt;"")+(Tasks[[#This Row],[_Res2]]&lt;&gt;"")+(Tasks[[#This Row],[_Res3]]&lt;&gt;"")+(Tasks[[#This Row],[_Res4]]&lt;&gt;""))</f>
        <v>0</v>
      </c>
      <c r="DV43" s="43" t="str">
        <f aca="false">IF(Tasks[[#This Row],[_Res2Text]]="","",IF(Tasks[[#This Row],[_Res2Row]]&gt;0,INDEX(res_Name,Tasks[[#This Row],[_Res2Row]]),TRIM(LEFT(Tasks[[#This Row],[_Res2Text]],FIND("[",Tasks[[#This Row],[_Res2Text]]&amp;"[")-1))))</f>
        <v/>
      </c>
      <c r="DW4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3" s="43" t="n">
        <f aca="false">IF(OR(NOT(Tasks[[#This Row],[_IsLeaf]]=1),Tasks[[#This Row],[_Res2Row]]=0),0,N(Tasks[[#This Row],[_Days]])*HoursPerDay*IF(Tasks[[#This Row],[_Res2Units]]="",DefaultUnits,Tasks[[#This Row],[_Res2Units]]))</f>
        <v>0</v>
      </c>
      <c r="DY43" s="43" t="n">
        <f aca="false">IF(AND(AND(Tasks[[#This Row],[_IsLeaf]]=1,Tasks[[#This Row],[_LeafTotalWork]]&gt;0),Tasks[[#This Row],[_Res2Work]]&gt;0),Tasks[[#This Row],[_Res2Work]]/(Tasks[[#This Row],[_FinishWorkday]]-Tasks[[#This Row],[_StartWorkday]]+1),0)</f>
        <v>0</v>
      </c>
      <c r="DZ43" s="43" t="n">
        <f aca="false">Tasks[[#This Row],[_Res2WorkPerWD]]*MAX(0,Tasks[[#This Row],[_StartWorkday]]-1)</f>
        <v>0</v>
      </c>
      <c r="EA43" s="43" t="n">
        <f aca="false">Tasks[[#This Row],[_Res2Work]]*Tasks[[#This Row],[_LeafProgress]]</f>
        <v>0</v>
      </c>
      <c r="EB43" s="43" t="str">
        <f aca="false">IF(Tasks[[#This Row],[_Res3Text]]="","",IF(Tasks[[#This Row],[_Res3Row]]&gt;0,INDEX(res_Name,Tasks[[#This Row],[_Res3Row]]),TRIM(LEFT(Tasks[[#This Row],[_Res3Text]],FIND("[",Tasks[[#This Row],[_Res3Text]]&amp;"[")-1))))</f>
        <v/>
      </c>
      <c r="EC4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3" s="43" t="n">
        <f aca="false">IF(OR(NOT(Tasks[[#This Row],[_IsLeaf]]=1),Tasks[[#This Row],[_Res3Row]]=0),0,N(Tasks[[#This Row],[_Days]])*HoursPerDay*IF(Tasks[[#This Row],[_Res3Units]]="",DefaultUnits,Tasks[[#This Row],[_Res3Units]]))</f>
        <v>0</v>
      </c>
      <c r="EE43" s="43" t="n">
        <f aca="false">IF(AND(AND(Tasks[[#This Row],[_IsLeaf]]=1,Tasks[[#This Row],[_LeafTotalWork]]&gt;0),Tasks[[#This Row],[_Res3Work]]&gt;0),Tasks[[#This Row],[_Res3Work]]/(Tasks[[#This Row],[_FinishWorkday]]-Tasks[[#This Row],[_StartWorkday]]+1),0)</f>
        <v>0</v>
      </c>
      <c r="EF43" s="43" t="n">
        <f aca="false">Tasks[[#This Row],[_Res3WorkPerWD]]*MAX(0,Tasks[[#This Row],[_StartWorkday]]-1)</f>
        <v>0</v>
      </c>
      <c r="EG43" s="43" t="n">
        <f aca="false">Tasks[[#This Row],[_Res3Work]]*Tasks[[#This Row],[_LeafProgress]]</f>
        <v>0</v>
      </c>
      <c r="EH43" s="43" t="str">
        <f aca="false">IF(Tasks[[#This Row],[_Res4Text]]="","",IF(Tasks[[#This Row],[_Res4Row]]&gt;0,INDEX(res_Name,Tasks[[#This Row],[_Res4Row]]),TRIM(LEFT(Tasks[[#This Row],[_Res4Text]],FIND("[",Tasks[[#This Row],[_Res4Text]]&amp;"[")-1))))</f>
        <v/>
      </c>
      <c r="EI4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3" s="43" t="n">
        <f aca="false">IF(OR(NOT(Tasks[[#This Row],[_IsLeaf]]=1),Tasks[[#This Row],[_Res4Row]]=0),0,N(Tasks[[#This Row],[_Days]])*HoursPerDay*IF(Tasks[[#This Row],[_Res4Units]]="",DefaultUnits,Tasks[[#This Row],[_Res4Units]]))</f>
        <v>0</v>
      </c>
      <c r="EK43" s="43" t="n">
        <f aca="false">IF(AND(AND(Tasks[[#This Row],[_IsLeaf]]=1,Tasks[[#This Row],[_LeafTotalWork]]&gt;0),Tasks[[#This Row],[_Res4Work]]&gt;0),Tasks[[#This Row],[_Res4Work]]/(Tasks[[#This Row],[_FinishWorkday]]-Tasks[[#This Row],[_StartWorkday]]+1),0)</f>
        <v>0</v>
      </c>
      <c r="EL43" s="43" t="n">
        <f aca="false">Tasks[[#This Row],[_Res4WorkPerWD]]*MAX(0,Tasks[[#This Row],[_StartWorkday]]-1)</f>
        <v>0</v>
      </c>
      <c r="EM43" s="43" t="n">
        <f aca="false">Tasks[[#This Row],[_Res4Work]]*Tasks[[#This Row],[_LeafProgress]]</f>
        <v>0</v>
      </c>
      <c r="EN43" s="43" t="n">
        <f aca="false">IF(ISNUMBER(Tasks[[#This Row],[% Complete]]),Tasks[[#This Row],[% Complete]],IF(Tasks[[#This Row],[Stage]]="",0,IFERROR(INDEX(stg_Pct,MATCH(Tasks[[#This Row],[Stage]],stg_Name,0)),0)))</f>
        <v>0</v>
      </c>
      <c r="EO43" s="43" t="n">
        <f aca="false">IF(NOT(Tasks[[#This Row],[_IsLeaf]]=1),0,IF(N(Tasks[[#This Row],[Actual Finish]])&gt;0,1,MIN(1,Tasks[[#This Row],[_Pct]])))</f>
        <v>0</v>
      </c>
      <c r="EP43" s="43" t="n">
        <f aca="false">IF(OR(NOT(Tasks[[#This Row],[_IsLeaf]]=1),Tasks[[#This Row],[_Res1Row]]=0),0,N(Tasks[[#This Row],[_Days]])*HoursPerDay*IF(Tasks[[#This Row],[_Units1]]="",DefaultUnits,Tasks[[#This Row],[_Units1]]))</f>
        <v>0</v>
      </c>
      <c r="EQ43" s="43" t="n">
        <f aca="false">Tasks[[#This Row],[_LeafWork]]+Tasks[[#This Row],[_Res2Work]]+Tasks[[#This Row],[_Res3Work]]+Tasks[[#This Row],[_Res4Work]]</f>
        <v>0</v>
      </c>
      <c r="ER4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3" s="43" t="n">
        <f aca="false">IF(NOT(Tasks[[#This Row],[_IsLeaf]]=1),0,MAX(_xlfn.MAXIFS(Tasks[_Row],Tasks[_Pred1UID],Tasks[[#This Row],[UID]]),_xlfn.MAXIFS(Tasks[_Row],Tasks[_Pred2UID],Tasks[[#This Row],[UID]]),_xlfn.MAXIFS(Tasks[_Row],Tasks[_Pred3UID],Tasks[[#This Row],[UID]]),_xlfn.MAXIFS(Tasks[_Row],Tasks[_Pred4UID],Tasks[[#This Row],[UID]])))</f>
        <v>0</v>
      </c>
      <c r="FA4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3" s="91" t="str">
        <f aca="false">IF(NOT(Tasks[[#This Row],[_IsLeaf]]=1),"",IF(N(Tasks[[#This Row],[_Days]])&lt;=0,Tasks[[#This Row],[_LeafLateFinish]],WORKDAY.INTL(Tasks[[#This Row],[_LeafLateFinish]],-(Tasks[[#This Row],[_Days]]-1),WorkWeek,Holidays)))</f>
        <v/>
      </c>
      <c r="FD4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3" s="90" t="b">
        <f aca="false">AND(Tasks[[#This Row],[_IsLeaf]]=1,Tasks[[#This Row],[_LeafProgress]]&lt;1,N(Tasks[[#This Row],[_LeafTotalSlack]])&lt;=CriticalSlackDays)</f>
        <v>0</v>
      </c>
      <c r="FF43" s="43" t="n">
        <f aca="false">IF(AND(Tasks[[#This Row],[_IsLeaf]]=1,Tasks[[#This Row],[_ConstraintCode]]=1,Tasks[[#This Row],[Mode]]&lt;&gt;"Manual",N(Tasks[[#This Row],[Actual Start]])=0),MAX(0,N(Tasks[[#This Row],[Free Slack]])),0)</f>
        <v>0</v>
      </c>
      <c r="FG43" s="91" t="str">
        <f aca="false">IF(NOT(Tasks[[#This Row],[_IsLeaf]]=1),"",IF(Tasks[[#This Row],[_AlapShift]]=0,Tasks[[#This Row],[_LeafCalcStart]],WORKDAY.INTL(Tasks[[#This Row],[_LeafCalcStart]],Tasks[[#This Row],[_AlapShift]],WorkWeek,Holidays)))</f>
        <v/>
      </c>
      <c r="FH43" s="91" t="str">
        <f aca="false">IF(NOT(Tasks[[#This Row],[_IsLeaf]]=1),"",IF(Tasks[[#This Row],[_AlapShift]]=0,Tasks[[#This Row],[_LeafCalcFinish]],WORKDAY.INTL(Tasks[[#This Row],[_LeafCalcFinish]],Tasks[[#This Row],[_AlapShift]],WorkWeek,Holidays)))</f>
        <v/>
      </c>
      <c r="FI43" s="91" t="str">
        <f aca="false">IF(NOT(Tasks[[#This Row],[_IsLeaf]]=1),"",IF(Tasks[[#This Row],[_AlapShift]]=0,Tasks[[#This Row],[_LeafFcstStart]],WORKDAY.INTL(Tasks[[#This Row],[_LeafFcstStart]],Tasks[[#This Row],[_AlapShift]],WorkWeek,Holidays)))</f>
        <v/>
      </c>
      <c r="FJ43" s="91" t="str">
        <f aca="false">IF(NOT(Tasks[[#This Row],[_IsLeaf]]=1),"",IF(Tasks[[#This Row],[_AlapShift]]=0,Tasks[[#This Row],[_LeafFcstFinish]],WORKDAY.INTL(Tasks[[#This Row],[_LeafFcstFinish]],Tasks[[#This Row],[_AlapShift]],WorkWeek,Holidays)))</f>
        <v/>
      </c>
      <c r="FK43" s="91" t="str">
        <f aca="false">IF(Tasks[[#This Row],[Task Name]]="","",IF(Tasks[[#This Row],[_IsSummary]],MIN(INDEX(Tasks[_ShownCalcStart],Tasks[[#This Row],[_Row]]+1):INDEX(Tasks[_ShownCalcStart],Tasks[[#This Row],[_Row]]+Tasks[[#This Row],[_Descendants]])),Tasks[[#This Row],[_ShownCalcStart]]))</f>
        <v/>
      </c>
      <c r="FL43" s="91" t="str">
        <f aca="false">IF(Tasks[[#This Row],[Task Name]]="","",IF(Tasks[[#This Row],[_IsSummary]],MAX(INDEX(Tasks[_ShownCalcFinish],Tasks[[#This Row],[_Row]]+1):INDEX(Tasks[_ShownCalcFinish],Tasks[[#This Row],[_Row]]+Tasks[[#This Row],[_Descendants]])),Tasks[[#This Row],[_ShownCalcFinish]]))</f>
        <v/>
      </c>
      <c r="FM4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3" s="43" t="n">
        <f aca="false">IF(AND(Tasks[[#This Row],[_IsLeaf]]=1,Tasks[[#This Row],[_LeafTotalWork]]&gt;0),NETWORKDAYS.INTL(ProjectStart,Tasks[[#This Row],[_ShownFcstStart]],WorkWeek,Holidays),0)</f>
        <v>0</v>
      </c>
      <c r="FZ43" s="43" t="n">
        <f aca="false">IF(AND(Tasks[[#This Row],[_IsLeaf]]=1,Tasks[[#This Row],[_LeafTotalWork]]&gt;0),MAX(Tasks[[#This Row],[_StartWorkday]],NETWORKDAYS.INTL(ProjectStart,Tasks[[#This Row],[_ShownFcstFinish]],WorkWeek,Holidays)),0)</f>
        <v>0</v>
      </c>
      <c r="GA43" s="43" t="n">
        <f aca="false">IF(AND(Tasks[[#This Row],[_IsLeaf]]=1,Tasks[[#This Row],[_LeafTotalWork]]&gt;0),Tasks[[#This Row],[_LeafWork]]/(Tasks[[#This Row],[_FinishWorkday]]-Tasks[[#This Row],[_StartWorkday]]+1),0)</f>
        <v>0</v>
      </c>
      <c r="GB43" s="43" t="n">
        <f aca="false">Tasks[[#This Row],[_WorkPerWorkday]]*(Tasks[[#This Row],[_StartWorkday]]-1)</f>
        <v>-0</v>
      </c>
      <c r="GC43" s="43" t="n">
        <f aca="false">IF(Tasks[[#This Row],[_IsLeaf]]=1,MAX(N(Tasks[[#This Row],[_Days]]),0.1),0)</f>
        <v>0</v>
      </c>
      <c r="GD43" s="43" t="n">
        <f aca="false">Tasks[[#This Row],[_WeightDur]]*Tasks[[#This Row],[_LeafProgress]]</f>
        <v>0</v>
      </c>
      <c r="GE43" s="43" t="n">
        <f aca="false">Tasks[[#This Row],[_WeightDur]]*Tasks[[#This Row],[_PlannedPct]]</f>
        <v>0</v>
      </c>
      <c r="GF4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3" s="43" t="str">
        <f aca="false">IF(AND(Tasks[[#This Row],[_IsLeaf]]=1,N(Tasks[[#This Row],[_Days]])=0,Tasks[[#This Row],[_LeafProgress]]&lt;1),Tasks[[#This Row],[_ShownFcstFinish]]+Tasks[[#This Row],[_Row]]/100000,"")</f>
        <v/>
      </c>
      <c r="GH4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3" s="43" t="str">
        <f aca="false">IF(Tasks[[#This Row],[Task Name]]="","",LEFT(Tasks[[#This Row],[WBS]],FIND(".",Tasks[[#This Row],[WBS]]&amp;".")-1))</f>
        <v/>
      </c>
      <c r="GJ43" s="43" t="str">
        <f aca="false">IF(AND(Tasks[[#This Row],[Task Name]]&lt;&gt;"",Tasks[[#This Row],[_Level]]=1),Tasks[[#This Row],[_Row]],"")</f>
        <v/>
      </c>
      <c r="GK43" s="43" t="str">
        <f aca="false">IF(AND(Tasks[[#This Row],[_IsLeaf]]=1,N(Tasks[[#This Row],[_Days]])=0),Tasks[[#This Row],[Planned Finish]]+Tasks[[#This Row],[_Row]]/100000,"")</f>
        <v/>
      </c>
      <c r="GL43" s="43" t="str">
        <f aca="false">IF(AND(Tasks[[#This Row],[_IsLeaf]]=1,Tasks[[#This Row],[_LeafProgress]]&lt;1,OR(N(Tasks[[#This Row],[Finish Var]])&gt;0,Tasks[[#This Row],[Status]]="Late Start")),MAX(0,Tasks[[#This Row],[Finish Var]])+1-Tasks[[#This Row],[_Row]]/1000000,"")</f>
        <v/>
      </c>
      <c r="GM43" s="43" t="str">
        <f aca="false">IF(AND(Tasks[[#This Row],[_IsLeaf]]=1,N(Tasks[[#This Row],[Actual Start]])=0,Tasks[[#This Row],[_ShownFcstStart]]&gt;=StatusDate,Tasks[[#This Row],[_ShownFcstStart]]&lt;=LookaheadEnd),Tasks[[#This Row],[_ShownFcstStart]]+Tasks[[#This Row],[_Row]]/100000,"")</f>
        <v/>
      </c>
      <c r="GN43" s="43" t="str">
        <f aca="false">IF(AND(Tasks[[#This Row],[_IsLeaf]]=1,Tasks[[#This Row],[_LeafProgress]]&lt;1,Tasks[[#This Row],[_ShownFcstFinish]]&gt;=StatusDate,Tasks[[#This Row],[_ShownFcstFinish]]&lt;=LookaheadEnd),Tasks[[#This Row],[_ShownFcstFinish]]+Tasks[[#This Row],[_Row]]/100000,"")</f>
        <v/>
      </c>
      <c r="GO43" s="43" t="str">
        <f aca="false">IF(Tasks[[#This Row],[_LeafCritical]],Tasks[[#This Row],[_ShownFcstStart]]+Tasks[[#This Row],[_Row]]/100000,"")</f>
        <v/>
      </c>
      <c r="GP43" s="43" t="n">
        <f aca="false">Tasks[[#This Row],[_LeafWork]]*Tasks[[#This Row],[_LeafProgress]]</f>
        <v>0</v>
      </c>
      <c r="GQ43" s="91" t="str">
        <f aca="false">IF(AND(Tasks[[#This Row],[_IsLeaf]]=1,Tasks[[#This Row],[_LeafProgress]]&gt;=1),IF(N(Tasks[[#This Row],[Actual Finish]])&gt;0,Tasks[[#This Row],[Actual Finish]],Tasks[[#This Row],[_ShownFcstFinish]]),"")</f>
        <v/>
      </c>
      <c r="GR43" s="43" t="n">
        <f aca="false">IF(Tasks[[#This Row],[_IsLeaf]]=1,N(Tasks[[#This Row],[Story Points]]),0)</f>
        <v>0</v>
      </c>
      <c r="GS43" s="43" t="str">
        <f aca="false">""</f>
        <v/>
      </c>
      <c r="GT43" s="90" t="b">
        <f aca="false">IF(Tasks[[#This Row],[Task Name]]="",FALSE(),AND(Tasks[[#This Row],[_IsLeaf]]=1,N(Tasks[[#This Row],[_Days]])=0))</f>
        <v>0</v>
      </c>
      <c r="GU43" s="91" t="n">
        <f aca="false">IF(Tasks[[#This Row],[Task Name]]="",0,IF(AND(Tasks[[#This Row],[_IsLeaf]]=1,NOT(Tasks[[#This Row],[_IsMilestone]]),N(Tasks[[#This Row],[Progress]])&gt;0),Tasks[[#This Row],[Start]],0))</f>
        <v>0</v>
      </c>
      <c r="GV43" s="91" t="n">
        <f aca="false">IF(Tasks[[#This Row],[_DoneFrom]]=0,0,IF(Tasks[[#This Row],[Progress]]&gt;=1,Tasks[[#This Row],[Finish]],MAX(Tasks[[#This Row],[_DoneFrom]],Tasks[[#This Row],[Start]]+ROUND((Tasks[[#This Row],[Finish]]-Tasks[[#This Row],[Start]]+1)*Tasks[[#This Row],[Progress]],0)-1)))</f>
        <v>0</v>
      </c>
      <c r="GW43" s="91" t="n">
        <f aca="false">IF(Tasks[[#This Row],[Task Name]]="",0,IF(OR(NOT(Tasks[[#This Row],[_IsLeaf]]=1),Tasks[[#This Row],[_IsMilestone]],N(Tasks[[#This Row],[Progress]])&gt;=1),0,IF(Tasks[[#This Row],[_DoneTo]]&gt;0,Tasks[[#This Row],[_DoneTo]]+1,Tasks[[#This Row],[Start]])))</f>
        <v>0</v>
      </c>
      <c r="GX43" s="91" t="n">
        <f aca="false">IF(Tasks[[#This Row],[_RemFrom]]=0,0,Tasks[[#This Row],[Finish]])</f>
        <v>0</v>
      </c>
      <c r="GY43" s="90" t="b">
        <f aca="false">IF(Tasks[[#This Row],[Task Name]]="",FALSE(),OR(NOT(BaselineSet),N(Tasks[[#This Row],[Baseline Start]])&gt;0))</f>
        <v>0</v>
      </c>
      <c r="GZ4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3" s="92" t="str">
        <f aca="false">IF(Tasks[[#This Row],[_IsLeaf]]=1,Tasks[[#This Row],[_Row]],"")</f>
        <v/>
      </c>
      <c r="HD43" s="92" t="str">
        <f aca="false">IFERROR(INDEX(Tasks[UID],SMALL(Tasks[_PickKey],Tasks[[#This Row],[_Row]]))&amp;" "&amp;INDEX(Tasks[Task Name],SMALL(Tasks[_PickKey],Tasks[[#This Row],[_Row]])),"")</f>
        <v/>
      </c>
      <c r="HE43" s="43" t="str">
        <f aca="false">IF(Tasks[[#This Row],[Task Name]]="","",IF(Tasks[[#This Row],[_IsSummary]],NETWORKDAYS.INTL(Tasks[[#This Row],[Start]],Tasks[[#This Row],[Finish]],WorkWeek,Holidays),N(Tasks[[#This Row],[_Days]])))</f>
        <v/>
      </c>
      <c r="HF43" s="43" t="n">
        <f aca="false">IF(Tasks[[#This Row],[Expected]]="",0,((Tasks[[#This Row],[Pessimistic]]-Tasks[[#This Row],[Optimistic]])/6)^2)</f>
        <v>0</v>
      </c>
      <c r="HG43" s="43" t="n">
        <f aca="false">IF(Tasks[[#This Row],[Expected]]="",0,Tasks[[#This Row],[Expected]]-N(Tasks[[#This Row],[_Days]]))</f>
        <v>0</v>
      </c>
    </row>
    <row r="44" customFormat="false" ht="15" hidden="false" customHeight="false" outlineLevel="0" collapsed="false">
      <c r="A44" s="21" t="str">
        <f aca="false">IF(Tasks[[#This Row],[Task Name]]="","",COUNTA(Tasks[[#Headers],[Task Name]]:Tasks[[#This Row],[Task Name]])-1)</f>
        <v/>
      </c>
      <c r="B44" s="22" t="n">
        <v>52</v>
      </c>
      <c r="C44" s="22"/>
      <c r="D44" s="23"/>
      <c r="E44" s="22"/>
      <c r="F44" s="23"/>
      <c r="G44" s="22"/>
      <c r="H44" s="22"/>
      <c r="I44" s="23"/>
      <c r="J44" s="22"/>
      <c r="K44" s="22"/>
      <c r="L44" s="23"/>
      <c r="M44" s="22"/>
      <c r="N44" s="22"/>
      <c r="O44" s="23"/>
      <c r="P44" s="22"/>
      <c r="Q44" s="22"/>
      <c r="R44" s="23"/>
      <c r="S44" s="23"/>
      <c r="T44" s="84"/>
      <c r="U44" s="23"/>
      <c r="V44" s="84"/>
      <c r="W44" s="23"/>
      <c r="X44" s="84"/>
      <c r="Y44" s="23"/>
      <c r="Z44" s="84"/>
      <c r="AA44" s="23"/>
      <c r="AB44" s="23"/>
      <c r="AC44" s="7"/>
      <c r="AD44" s="7"/>
      <c r="AE44" s="63" t="str">
        <f aca="false">IF(Tasks[[#This Row],[Task Name]]="","",IF(Tasks[[#This Row],[_IsSummary]],MIN(INDEX(Tasks[_ShownFcstStart],Tasks[[#This Row],[_Row]]+1):INDEX(Tasks[_ShownFcstStart],Tasks[[#This Row],[_Row]]+Tasks[[#This Row],[_Descendants]])),Tasks[[#This Row],[_ShownFcstStart]]))</f>
        <v/>
      </c>
      <c r="AF44" s="63" t="str">
        <f aca="false">IF(Tasks[[#This Row],[Task Name]]="","",IF(Tasks[[#This Row],[_IsSummary]],MAX(INDEX(Tasks[_ShownFcstFinish],Tasks[[#This Row],[_Row]]+1):INDEX(Tasks[_ShownFcstFinish],Tasks[[#This Row],[_Row]]+Tasks[[#This Row],[_Descendants]])),Tasks[[#This Row],[_ShownFcstFinish]]))</f>
        <v/>
      </c>
      <c r="AG44" s="21" t="str">
        <f aca="false">""</f>
        <v/>
      </c>
      <c r="AH44" s="23"/>
      <c r="AI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4" s="7"/>
      <c r="AK44" s="22"/>
      <c r="AL44" s="23"/>
      <c r="AM44" s="7"/>
      <c r="AN44" s="47" t="str">
        <f aca="false">IF(Tasks[[#This Row],[Task Name]]="","",IF(Tasks[[#This Row],[Finish]]&gt;=Tasks[[#This Row],[Planned Finish]],NETWORKDAYS.INTL(Tasks[[#This Row],[Planned Finish]],Tasks[[#This Row],[Finish]],WorkWeek,Holidays)-1,1-NETWORKDAYS.INTL(Tasks[[#This Row],[Finish]],Tasks[[#This Row],[Planned Finish]],WorkWeek,Holidays)))</f>
        <v/>
      </c>
      <c r="AO44" s="21" t="str">
        <f aca="false">IF(Tasks[[#This Row],[Task Name]]="","",IF(Tasks[[#This Row],[Progress]]&gt;=1,"Complete",IF(OR(N(Tasks[[#This Row],[Actual Start]])&gt;0,Tasks[[#This Row],[Progress]]&gt;0),IF(Tasks[[#This Row],[Finish Var]]&gt;0,"Behind","In Progress"),IF(Tasks[[#This Row],[Planned Start]]&lt;StatusDate,"Late Start","Not Started"))))</f>
        <v/>
      </c>
      <c r="AP44" s="21" t="str">
        <f aca="false">IF(Tasks[[#This Row],[Task Name]]="","",IF(IF(Tasks[[#This Row],[_IsSummary]],COUNTIF(INDEX(Tasks[_LeafCritical],Tasks[[#This Row],[_Row]]+1):INDEX(Tasks[_LeafCritical],Tasks[[#This Row],[_Row]]+Tasks[[#This Row],[_Descendants]]),TRUE())&gt;0,Tasks[[#This Row],[_LeafCritical]]),"Yes",""))</f>
        <v/>
      </c>
      <c r="AQ44" s="63" t="str">
        <f aca="false">IF(Tasks[[#This Row],[Task Name]]="","",IF(N(Tasks[[#This Row],[Baseline Start]])&gt;0,Tasks[[#This Row],[Baseline Start]],Tasks[[#This Row],[_CalcStart]]))</f>
        <v/>
      </c>
      <c r="AR44" s="63" t="str">
        <f aca="false">IF(Tasks[[#This Row],[Task Name]]="","",IF(N(Tasks[[#This Row],[Baseline Finish]])&gt;0,Tasks[[#This Row],[Baseline Finish]],Tasks[[#This Row],[_CalcFinish]]))</f>
        <v/>
      </c>
      <c r="AS44" s="47" t="str">
        <f aca="false">IF(Tasks[[#This Row],[Task Name]]="","",IF(Tasks[[#This Row],[Start]]&gt;=Tasks[[#This Row],[Planned Start]],NETWORKDAYS.INTL(Tasks[[#This Row],[Planned Start]],Tasks[[#This Row],[Start]],WorkWeek,Holidays)-1,1-NETWORKDAYS.INTL(Tasks[[#This Row],[Start]],Tasks[[#This Row],[Planned Start]],WorkWeek,Holidays)))</f>
        <v/>
      </c>
      <c r="AT44" s="63" t="str">
        <f aca="false">IF(Tasks[[#This Row],[Task Name]]="","",IF(Tasks[[#This Row],[_IsSummary]],MIN(INDEX(Tasks[_LeafLateStart],Tasks[[#This Row],[_Row]]+1):INDEX(Tasks[_LeafLateStart],Tasks[[#This Row],[_Row]]+Tasks[[#This Row],[_Descendants]])),Tasks[[#This Row],[_LeafLateStart]]))</f>
        <v/>
      </c>
      <c r="AU44" s="63" t="str">
        <f aca="false">IF(Tasks[[#This Row],[Task Name]]="","",IF(Tasks[[#This Row],[_IsSummary]],MAX(INDEX(Tasks[_LeafLateFinish],Tasks[[#This Row],[_Row]]+1):INDEX(Tasks[_LeafLateFinish],Tasks[[#This Row],[_Row]]+Tasks[[#This Row],[_Descendants]])),Tasks[[#This Row],[_LeafLateFinish]]))</f>
        <v/>
      </c>
      <c r="AV44" s="47" t="str">
        <f aca="false">IF(Tasks[[#This Row],[Task Name]]="","",IF(Tasks[[#This Row],[_IsSummary]],MIN(INDEX(Tasks[_LeafTotalSlack],Tasks[[#This Row],[_Row]]+1):INDEX(Tasks[_LeafTotalSlack],Tasks[[#This Row],[_Row]]+Tasks[[#This Row],[_Descendants]])),Tasks[[#This Row],[_LeafTotalSlack]]))</f>
        <v/>
      </c>
      <c r="AW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5"/>
      <c r="BA4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1" t="str">
        <f aca="false">IF(Tasks[[#This Row],[Task Name]]="","",IF(Tasks[[#This Row],[_Level]]&lt;=OutlineShowLevel,"Yes","No"))</f>
        <v/>
      </c>
      <c r="BE44" s="86" t="str">
        <f aca="false">IF(Tasks[[#This Row],[Task Name]]="","",IF(Tasks[[#This Row],[_IsSummary]],SUM(INDEX(Tasks[_LeafTotalWork],Tasks[[#This Row],[_Row]]+1):INDEX(Tasks[_LeafTotalWork],Tasks[[#This Row],[_Row]]+Tasks[[#This Row],[_Descendants]])),Tasks[[#This Row],[_LeafTotalWork]]))</f>
        <v/>
      </c>
      <c r="BF44" s="23"/>
      <c r="BG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4" s="21" t="str">
        <f aca="false">""</f>
        <v/>
      </c>
      <c r="BI44" s="87"/>
      <c r="BJ44" s="22"/>
      <c r="BK44" s="47" t="str">
        <f aca="false">IF(OR(Tasks[[#This Row],[Task Name]]="",Tasks[[#This Row],[Baseline Duration]]=""),"",Tasks[[#This Row],[_SpanDays]]-N(Tasks[[#This Row],[Baseline Duration]]))</f>
        <v/>
      </c>
      <c r="BL44" s="86" t="str">
        <f aca="false">IF(OR(Tasks[[#This Row],[Task Name]]="",Tasks[[#This Row],[Baseline Work]]=""),"",Tasks[[#This Row],[Work]]-N(Tasks[[#This Row],[Baseline Work]]))</f>
        <v/>
      </c>
      <c r="BM44" s="63" t="str">
        <f aca="false">IF(Tasks[[#This Row],[Task Name]]="","",IF(OR(TakeBaseline="Yes",N(Tasks[[#This Row],[Baseline Start]])=0),Tasks[[#This Row],[Start]],Tasks[[#This Row],[Baseline Start]]))</f>
        <v/>
      </c>
      <c r="BN44" s="63" t="str">
        <f aca="false">IF(Tasks[[#This Row],[Task Name]]="","",IF(OR(TakeBaseline="Yes",N(Tasks[[#This Row],[Baseline Finish]])=0),Tasks[[#This Row],[Finish]],Tasks[[#This Row],[Baseline Finish]]))</f>
        <v/>
      </c>
      <c r="BO44" s="21" t="str">
        <f aca="false">IF(Tasks[[#This Row],[Task Name]]="","",IF(OR(TakeBaseline="Yes",N(Tasks[[#This Row],[Baseline Duration]])=0),Tasks[[#This Row],[_SpanDays]],Tasks[[#This Row],[Baseline Duration]]))</f>
        <v/>
      </c>
      <c r="BP44" s="86" t="str">
        <f aca="false">IF(Tasks[[#This Row],[Task Name]]="","",IF(OR(TakeBaseline="Yes",N(Tasks[[#This Row],[Baseline Work]])=0),Tasks[[#This Row],[Work]],Tasks[[#This Row],[Baseline Work]]))</f>
        <v/>
      </c>
      <c r="BQ44" s="7"/>
      <c r="BR44" s="7"/>
      <c r="BS44" s="22"/>
      <c r="BT44" s="88"/>
      <c r="BU44" s="23"/>
      <c r="BV44" s="23"/>
      <c r="BW44" s="23"/>
      <c r="BX44" s="89" t="str">
        <f aca="false">IF(AND(Tasks[[#This Row],[_IsLeaf]]=1,ISNUMBER(Tasks[[#This Row],[Optimistic]]),ISNUMBER(Tasks[[#This Row],[Pessimistic]])),ROUND((Tasks[[#This Row],[Optimistic]]+4*N(Tasks[[#This Row],[_Days]])+Tasks[[#This Row],[Pessimistic]])/6,1),"")</f>
        <v/>
      </c>
      <c r="BY44" s="87"/>
      <c r="BZ44" s="87"/>
      <c r="CA44" s="22"/>
      <c r="CB44" s="43" t="str">
        <f aca="false">IF(Tasks[[#This Row],[Task Name]]="","",MAX(1,N(Tasks[[#This Row],[Level]])))</f>
        <v/>
      </c>
      <c r="CC44" s="43" t="n">
        <f aca="false">ROW()-ROW(Tasks[[#Headers],[ID]])</f>
        <v>39</v>
      </c>
      <c r="CD44" s="43" t="n">
        <f aca="false">IF(OR(Tasks[[#This Row],[Task Name]]="",Tasks[[#This Row],[_Level]]&lt;=1),0,IFERROR(LOOKUP(2,1/(Tasks[[#Headers],[_Level]]:Tasks[[#This Row],[_Level]]=Tasks[[#This Row],[_Level]]-1),ROW(Tasks[[#Headers],[_Level]]:Tasks[[#This Row],[_Level]])),0))</f>
        <v>0</v>
      </c>
      <c r="CE44" s="43" t="n">
        <f aca="false">IFERROR(N(INDEX(Tasks[_Level],Tasks[[#This Row],[_Row]]+1)),0)</f>
        <v>0</v>
      </c>
      <c r="CF44" s="90" t="b">
        <f aca="false">AND(Tasks[[#This Row],[Task Name]]&lt;&gt;"",Tasks[[#This Row],[_NextLevel]]&gt;Tasks[[#This Row],[_Level]])</f>
        <v>0</v>
      </c>
      <c r="CG44" s="43" t="n">
        <f aca="false">IF(Tasks[[#This Row],[_IsSummary]],COUNTIF(Tasks[WBS],Tasks[[#This Row],[WBS]]&amp;".*"),0)</f>
        <v>0</v>
      </c>
      <c r="CH44" s="43" t="n">
        <f aca="false">IF(AND(Tasks[[#This Row],[Task Name]]&lt;&gt;"",NOT(Tasks[[#This Row],[_IsSummary]])),1,0)</f>
        <v>0</v>
      </c>
      <c r="CI44" s="43" t="n">
        <f aca="false">IF(N(Tasks[[#This Row],[_Pred1UID]])=0,0,IFERROR(MATCH(Tasks[[#This Row],[_Pred1UID]],Tasks[UID],0),-1))</f>
        <v>0</v>
      </c>
      <c r="CJ44" s="43" t="n">
        <f aca="false">IF(N(Tasks[[#This Row],[_Pred2UID]])=0,0,IFERROR(MATCH(Tasks[[#This Row],[_Pred2UID]],Tasks[UID],0),-1))</f>
        <v>0</v>
      </c>
      <c r="CK44" s="43" t="n">
        <f aca="false">IF(N(Tasks[[#This Row],[_Pred3UID]])=0,0,IFERROR(MATCH(Tasks[[#This Row],[_Pred3UID]],Tasks[UID],0),-1))</f>
        <v>0</v>
      </c>
      <c r="CL44" s="43" t="n">
        <f aca="false">IF(N(Tasks[[#This Row],[_Pred4UID]])=0,0,IFERROR(MATCH(Tasks[[#This Row],[_Pred4UID]],Tasks[UID],0),-1))</f>
        <v>0</v>
      </c>
      <c r="CM4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4" s="91" t="n">
        <f aca="false">IF(OR(Tasks[[#This Row],[_ConstraintCode]]=2,Tasks[[#This Row],[_ConstraintCode]]=3,Tasks[[#This Row],[_ConstraintCode]]=4,Tasks[[#This Row],[_ConstraintCode]]=6),Tasks[[#This Row],[_ConstraintStart]],0)</f>
        <v>0</v>
      </c>
      <c r="CP44" s="91" t="n">
        <f aca="false">IF(OR(Tasks[[#This Row],[_ConstraintCode]]=2,Tasks[[#This Row],[_ConstraintCode]]=3,Tasks[[#This Row],[_ConstraintCode]]=5,Tasks[[#This Row],[_ConstraintCode]]=7),Tasks[[#This Row],[_ConstraintStart]],2958465)</f>
        <v>2958465</v>
      </c>
      <c r="CQ4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4" s="91" t="str">
        <f aca="false">IF(NOT(Tasks[[#This Row],[_IsLeaf]]=1),"",IF(N(Tasks[[#This Row],[_Days]])&lt;=0,Tasks[[#This Row],[_LeafCalcStart]],WORKDAY.INTL(Tasks[[#This Row],[_LeafCalcStart]],Tasks[[#This Row],[_Days]]-1,WorkWeek,Holidays)))</f>
        <v/>
      </c>
      <c r="CS4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4" s="43" t="str">
        <f aca="false">IF(Tasks[[#This Row],[_Predecessors]]="","",TRIM(MID(SUBSTITUTE(SUBSTITUTE(SUBSTITUTE(UPPER(Tasks[[#This Row],[_Predecessors]]),";",",")," ",""),",",REPT(" ",99)),1,99)))</f>
        <v/>
      </c>
      <c r="CV44" s="43" t="str">
        <f aca="false">IF(Tasks[[#This Row],[_Pred1Text]]="","",IFERROR(VALUE(LEFT(Tasks[[#This Row],[_Pred1Text]],MIN(FIND("F",Tasks[[#This Row],[_Pred1Text]]&amp;"F"),FIND("S",Tasks[[#This Row],[_Pred1Text]]&amp;"S"),FIND("+",Tasks[[#This Row],[_Pred1Text]]&amp;"+"),FIND("-",Tasks[[#This Row],[_Pred1Text]]&amp;"-"))-1)),""))</f>
        <v/>
      </c>
      <c r="CW4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4" s="43" t="str">
        <f aca="false">IF(Tasks[[#This Row],[_Pred1Text]]="","",TRIM(MID(SUBSTITUTE(SUBSTITUTE(SUBSTITUTE(UPPER(Tasks[[#This Row],[_Predecessors]]),";",",")," ",""),",",REPT(" ",99)),100,99)))</f>
        <v/>
      </c>
      <c r="CZ44" s="43" t="str">
        <f aca="false">IF(Tasks[[#This Row],[_Pred2Text]]="","",IFERROR(VALUE(LEFT(Tasks[[#This Row],[_Pred2Text]],MIN(FIND("F",Tasks[[#This Row],[_Pred2Text]]&amp;"F"),FIND("S",Tasks[[#This Row],[_Pred2Text]]&amp;"S"),FIND("+",Tasks[[#This Row],[_Pred2Text]]&amp;"+"),FIND("-",Tasks[[#This Row],[_Pred2Text]]&amp;"-"))-1)),""))</f>
        <v/>
      </c>
      <c r="DA4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4" s="43" t="str">
        <f aca="false">IF(Tasks[[#This Row],[_Pred2Text]]="","",TRIM(MID(SUBSTITUTE(SUBSTITUTE(SUBSTITUTE(UPPER(Tasks[[#This Row],[_Predecessors]]),";",",")," ",""),",",REPT(" ",99)),199,99)))</f>
        <v/>
      </c>
      <c r="DD44" s="43" t="str">
        <f aca="false">IF(Tasks[[#This Row],[_Pred3Text]]="","",IFERROR(VALUE(LEFT(Tasks[[#This Row],[_Pred3Text]],MIN(FIND("F",Tasks[[#This Row],[_Pred3Text]]&amp;"F"),FIND("S",Tasks[[#This Row],[_Pred3Text]]&amp;"S"),FIND("+",Tasks[[#This Row],[_Pred3Text]]&amp;"+"),FIND("-",Tasks[[#This Row],[_Pred3Text]]&amp;"-"))-1)),""))</f>
        <v/>
      </c>
      <c r="DE4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4" s="43" t="str">
        <f aca="false">IF(Tasks[[#This Row],[_Pred3Text]]="","",TRIM(MID(SUBSTITUTE(SUBSTITUTE(SUBSTITUTE(UPPER(Tasks[[#This Row],[_Predecessors]]),";",",")," ",""),",",REPT(" ",99)),298,99)))</f>
        <v/>
      </c>
      <c r="DH44" s="43" t="str">
        <f aca="false">IF(Tasks[[#This Row],[_Pred4Text]]="","",IFERROR(VALUE(LEFT(Tasks[[#This Row],[_Pred4Text]],MIN(FIND("F",Tasks[[#This Row],[_Pred4Text]]&amp;"F"),FIND("S",Tasks[[#This Row],[_Pred4Text]]&amp;"S"),FIND("+",Tasks[[#This Row],[_Pred4Text]]&amp;"+"),FIND("-",Tasks[[#This Row],[_Pred4Text]]&amp;"-"))-1)),""))</f>
        <v/>
      </c>
      <c r="DI4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4" s="43" t="str">
        <f aca="false">IF(OR(Tasks[[#This Row],[Task Name]]="",Tasks[[#This Row],[_Resources]]=""),"",TRIM(MID(SUBSTITUTE(Tasks[[#This Row],[_Resources]],",",REPT(" ",99)),1,99)))</f>
        <v/>
      </c>
      <c r="DL44" s="43" t="str">
        <f aca="false">IF(Tasks[[#This Row],[_Res1Text]]="","",TRIM(MID(SUBSTITUTE(Tasks[[#This Row],[_Resources]],",",REPT(" ",99)),100,99)))</f>
        <v/>
      </c>
      <c r="DM44" s="43" t="str">
        <f aca="false">IF(Tasks[[#This Row],[_Res2Text]]="","",TRIM(MID(SUBSTITUTE(Tasks[[#This Row],[_Resources]],",",REPT(" ",99)),199,99)))</f>
        <v/>
      </c>
      <c r="DN44" s="43" t="str">
        <f aca="false">IF(Tasks[[#This Row],[_Res3Text]]="","",TRIM(MID(SUBSTITUTE(Tasks[[#This Row],[_Resources]],",",REPT(" ",99)),298,99)))</f>
        <v/>
      </c>
      <c r="DO44" s="43" t="n">
        <f aca="false">IF(Tasks[[#This Row],[_Res1Text]]="",0,IFERROR(MATCH(TRIM(LEFT(Tasks[[#This Row],[_Res1Text]],FIND("[",Tasks[[#This Row],[_Res1Text]]&amp;"[")-1)),res_Name,0),IFERROR(MATCH(TRIM(LEFT(Tasks[[#This Row],[_Res1Text]],FIND("[",Tasks[[#This Row],[_Res1Text]]&amp;"[")-1)),res_Initials,0),0)))</f>
        <v>0</v>
      </c>
      <c r="DP44" s="43" t="n">
        <f aca="false">IF(Tasks[[#This Row],[_Res2Text]]="",0,IFERROR(MATCH(TRIM(LEFT(Tasks[[#This Row],[_Res2Text]],FIND("[",Tasks[[#This Row],[_Res2Text]]&amp;"[")-1)),res_Name,0),IFERROR(MATCH(TRIM(LEFT(Tasks[[#This Row],[_Res2Text]],FIND("[",Tasks[[#This Row],[_Res2Text]]&amp;"[")-1)),res_Initials,0),0)))</f>
        <v>0</v>
      </c>
      <c r="DQ44" s="43" t="n">
        <f aca="false">IF(Tasks[[#This Row],[_Res3Text]]="",0,IFERROR(MATCH(TRIM(LEFT(Tasks[[#This Row],[_Res3Text]],FIND("[",Tasks[[#This Row],[_Res3Text]]&amp;"[")-1)),res_Name,0),IFERROR(MATCH(TRIM(LEFT(Tasks[[#This Row],[_Res3Text]],FIND("[",Tasks[[#This Row],[_Res3Text]]&amp;"[")-1)),res_Initials,0),0)))</f>
        <v>0</v>
      </c>
      <c r="DR44" s="43" t="n">
        <f aca="false">IF(Tasks[[#This Row],[_Res4Text]]="",0,IFERROR(MATCH(TRIM(LEFT(Tasks[[#This Row],[_Res4Text]],FIND("[",Tasks[[#This Row],[_Res4Text]]&amp;"[")-1)),res_Name,0),IFERROR(MATCH(TRIM(LEFT(Tasks[[#This Row],[_Res4Text]],FIND("[",Tasks[[#This Row],[_Res4Text]]&amp;"[")-1)),res_Initials,0),0)))</f>
        <v>0</v>
      </c>
      <c r="DS44" s="43" t="str">
        <f aca="false">IF(Tasks[[#This Row],[_Res1Text]]="","",IF(Tasks[[#This Row],[_Res1Row]]&gt;0,INDEX(res_Name,Tasks[[#This Row],[_Res1Row]]),TRIM(LEFT(Tasks[[#This Row],[_Res1Text]],FIND("[",Tasks[[#This Row],[_Res1Text]]&amp;"[")-1))))</f>
        <v/>
      </c>
      <c r="DT4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4" s="43" t="n">
        <f aca="false">IF(NOT(Tasks[[#This Row],[_IsLeaf]]=1),0,(Tasks[[#This Row],[_Resource1]]&lt;&gt;"")+(Tasks[[#This Row],[_Res2]]&lt;&gt;"")+(Tasks[[#This Row],[_Res3]]&lt;&gt;"")+(Tasks[[#This Row],[_Res4]]&lt;&gt;""))</f>
        <v>0</v>
      </c>
      <c r="DV44" s="43" t="str">
        <f aca="false">IF(Tasks[[#This Row],[_Res2Text]]="","",IF(Tasks[[#This Row],[_Res2Row]]&gt;0,INDEX(res_Name,Tasks[[#This Row],[_Res2Row]]),TRIM(LEFT(Tasks[[#This Row],[_Res2Text]],FIND("[",Tasks[[#This Row],[_Res2Text]]&amp;"[")-1))))</f>
        <v/>
      </c>
      <c r="DW4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4" s="43" t="n">
        <f aca="false">IF(OR(NOT(Tasks[[#This Row],[_IsLeaf]]=1),Tasks[[#This Row],[_Res2Row]]=0),0,N(Tasks[[#This Row],[_Days]])*HoursPerDay*IF(Tasks[[#This Row],[_Res2Units]]="",DefaultUnits,Tasks[[#This Row],[_Res2Units]]))</f>
        <v>0</v>
      </c>
      <c r="DY44" s="43" t="n">
        <f aca="false">IF(AND(AND(Tasks[[#This Row],[_IsLeaf]]=1,Tasks[[#This Row],[_LeafTotalWork]]&gt;0),Tasks[[#This Row],[_Res2Work]]&gt;0),Tasks[[#This Row],[_Res2Work]]/(Tasks[[#This Row],[_FinishWorkday]]-Tasks[[#This Row],[_StartWorkday]]+1),0)</f>
        <v>0</v>
      </c>
      <c r="DZ44" s="43" t="n">
        <f aca="false">Tasks[[#This Row],[_Res2WorkPerWD]]*MAX(0,Tasks[[#This Row],[_StartWorkday]]-1)</f>
        <v>0</v>
      </c>
      <c r="EA44" s="43" t="n">
        <f aca="false">Tasks[[#This Row],[_Res2Work]]*Tasks[[#This Row],[_LeafProgress]]</f>
        <v>0</v>
      </c>
      <c r="EB44" s="43" t="str">
        <f aca="false">IF(Tasks[[#This Row],[_Res3Text]]="","",IF(Tasks[[#This Row],[_Res3Row]]&gt;0,INDEX(res_Name,Tasks[[#This Row],[_Res3Row]]),TRIM(LEFT(Tasks[[#This Row],[_Res3Text]],FIND("[",Tasks[[#This Row],[_Res3Text]]&amp;"[")-1))))</f>
        <v/>
      </c>
      <c r="EC4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4" s="43" t="n">
        <f aca="false">IF(OR(NOT(Tasks[[#This Row],[_IsLeaf]]=1),Tasks[[#This Row],[_Res3Row]]=0),0,N(Tasks[[#This Row],[_Days]])*HoursPerDay*IF(Tasks[[#This Row],[_Res3Units]]="",DefaultUnits,Tasks[[#This Row],[_Res3Units]]))</f>
        <v>0</v>
      </c>
      <c r="EE44" s="43" t="n">
        <f aca="false">IF(AND(AND(Tasks[[#This Row],[_IsLeaf]]=1,Tasks[[#This Row],[_LeafTotalWork]]&gt;0),Tasks[[#This Row],[_Res3Work]]&gt;0),Tasks[[#This Row],[_Res3Work]]/(Tasks[[#This Row],[_FinishWorkday]]-Tasks[[#This Row],[_StartWorkday]]+1),0)</f>
        <v>0</v>
      </c>
      <c r="EF44" s="43" t="n">
        <f aca="false">Tasks[[#This Row],[_Res3WorkPerWD]]*MAX(0,Tasks[[#This Row],[_StartWorkday]]-1)</f>
        <v>0</v>
      </c>
      <c r="EG44" s="43" t="n">
        <f aca="false">Tasks[[#This Row],[_Res3Work]]*Tasks[[#This Row],[_LeafProgress]]</f>
        <v>0</v>
      </c>
      <c r="EH44" s="43" t="str">
        <f aca="false">IF(Tasks[[#This Row],[_Res4Text]]="","",IF(Tasks[[#This Row],[_Res4Row]]&gt;0,INDEX(res_Name,Tasks[[#This Row],[_Res4Row]]),TRIM(LEFT(Tasks[[#This Row],[_Res4Text]],FIND("[",Tasks[[#This Row],[_Res4Text]]&amp;"[")-1))))</f>
        <v/>
      </c>
      <c r="EI4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4" s="43" t="n">
        <f aca="false">IF(OR(NOT(Tasks[[#This Row],[_IsLeaf]]=1),Tasks[[#This Row],[_Res4Row]]=0),0,N(Tasks[[#This Row],[_Days]])*HoursPerDay*IF(Tasks[[#This Row],[_Res4Units]]="",DefaultUnits,Tasks[[#This Row],[_Res4Units]]))</f>
        <v>0</v>
      </c>
      <c r="EK44" s="43" t="n">
        <f aca="false">IF(AND(AND(Tasks[[#This Row],[_IsLeaf]]=1,Tasks[[#This Row],[_LeafTotalWork]]&gt;0),Tasks[[#This Row],[_Res4Work]]&gt;0),Tasks[[#This Row],[_Res4Work]]/(Tasks[[#This Row],[_FinishWorkday]]-Tasks[[#This Row],[_StartWorkday]]+1),0)</f>
        <v>0</v>
      </c>
      <c r="EL44" s="43" t="n">
        <f aca="false">Tasks[[#This Row],[_Res4WorkPerWD]]*MAX(0,Tasks[[#This Row],[_StartWorkday]]-1)</f>
        <v>0</v>
      </c>
      <c r="EM44" s="43" t="n">
        <f aca="false">Tasks[[#This Row],[_Res4Work]]*Tasks[[#This Row],[_LeafProgress]]</f>
        <v>0</v>
      </c>
      <c r="EN44" s="43" t="n">
        <f aca="false">IF(ISNUMBER(Tasks[[#This Row],[% Complete]]),Tasks[[#This Row],[% Complete]],IF(Tasks[[#This Row],[Stage]]="",0,IFERROR(INDEX(stg_Pct,MATCH(Tasks[[#This Row],[Stage]],stg_Name,0)),0)))</f>
        <v>0</v>
      </c>
      <c r="EO44" s="43" t="n">
        <f aca="false">IF(NOT(Tasks[[#This Row],[_IsLeaf]]=1),0,IF(N(Tasks[[#This Row],[Actual Finish]])&gt;0,1,MIN(1,Tasks[[#This Row],[_Pct]])))</f>
        <v>0</v>
      </c>
      <c r="EP44" s="43" t="n">
        <f aca="false">IF(OR(NOT(Tasks[[#This Row],[_IsLeaf]]=1),Tasks[[#This Row],[_Res1Row]]=0),0,N(Tasks[[#This Row],[_Days]])*HoursPerDay*IF(Tasks[[#This Row],[_Units1]]="",DefaultUnits,Tasks[[#This Row],[_Units1]]))</f>
        <v>0</v>
      </c>
      <c r="EQ44" s="43" t="n">
        <f aca="false">Tasks[[#This Row],[_LeafWork]]+Tasks[[#This Row],[_Res2Work]]+Tasks[[#This Row],[_Res3Work]]+Tasks[[#This Row],[_Res4Work]]</f>
        <v>0</v>
      </c>
      <c r="ER4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4" s="43" t="n">
        <f aca="false">IF(NOT(Tasks[[#This Row],[_IsLeaf]]=1),0,MAX(_xlfn.MAXIFS(Tasks[_Row],Tasks[_Pred1UID],Tasks[[#This Row],[UID]]),_xlfn.MAXIFS(Tasks[_Row],Tasks[_Pred2UID],Tasks[[#This Row],[UID]]),_xlfn.MAXIFS(Tasks[_Row],Tasks[_Pred3UID],Tasks[[#This Row],[UID]]),_xlfn.MAXIFS(Tasks[_Row],Tasks[_Pred4UID],Tasks[[#This Row],[UID]])))</f>
        <v>0</v>
      </c>
      <c r="FA4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4" s="91" t="str">
        <f aca="false">IF(NOT(Tasks[[#This Row],[_IsLeaf]]=1),"",IF(N(Tasks[[#This Row],[_Days]])&lt;=0,Tasks[[#This Row],[_LeafLateFinish]],WORKDAY.INTL(Tasks[[#This Row],[_LeafLateFinish]],-(Tasks[[#This Row],[_Days]]-1),WorkWeek,Holidays)))</f>
        <v/>
      </c>
      <c r="FD4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4" s="90" t="b">
        <f aca="false">AND(Tasks[[#This Row],[_IsLeaf]]=1,Tasks[[#This Row],[_LeafProgress]]&lt;1,N(Tasks[[#This Row],[_LeafTotalSlack]])&lt;=CriticalSlackDays)</f>
        <v>0</v>
      </c>
      <c r="FF44" s="43" t="n">
        <f aca="false">IF(AND(Tasks[[#This Row],[_IsLeaf]]=1,Tasks[[#This Row],[_ConstraintCode]]=1,Tasks[[#This Row],[Mode]]&lt;&gt;"Manual",N(Tasks[[#This Row],[Actual Start]])=0),MAX(0,N(Tasks[[#This Row],[Free Slack]])),0)</f>
        <v>0</v>
      </c>
      <c r="FG44" s="91" t="str">
        <f aca="false">IF(NOT(Tasks[[#This Row],[_IsLeaf]]=1),"",IF(Tasks[[#This Row],[_AlapShift]]=0,Tasks[[#This Row],[_LeafCalcStart]],WORKDAY.INTL(Tasks[[#This Row],[_LeafCalcStart]],Tasks[[#This Row],[_AlapShift]],WorkWeek,Holidays)))</f>
        <v/>
      </c>
      <c r="FH44" s="91" t="str">
        <f aca="false">IF(NOT(Tasks[[#This Row],[_IsLeaf]]=1),"",IF(Tasks[[#This Row],[_AlapShift]]=0,Tasks[[#This Row],[_LeafCalcFinish]],WORKDAY.INTL(Tasks[[#This Row],[_LeafCalcFinish]],Tasks[[#This Row],[_AlapShift]],WorkWeek,Holidays)))</f>
        <v/>
      </c>
      <c r="FI44" s="91" t="str">
        <f aca="false">IF(NOT(Tasks[[#This Row],[_IsLeaf]]=1),"",IF(Tasks[[#This Row],[_AlapShift]]=0,Tasks[[#This Row],[_LeafFcstStart]],WORKDAY.INTL(Tasks[[#This Row],[_LeafFcstStart]],Tasks[[#This Row],[_AlapShift]],WorkWeek,Holidays)))</f>
        <v/>
      </c>
      <c r="FJ44" s="91" t="str">
        <f aca="false">IF(NOT(Tasks[[#This Row],[_IsLeaf]]=1),"",IF(Tasks[[#This Row],[_AlapShift]]=0,Tasks[[#This Row],[_LeafFcstFinish]],WORKDAY.INTL(Tasks[[#This Row],[_LeafFcstFinish]],Tasks[[#This Row],[_AlapShift]],WorkWeek,Holidays)))</f>
        <v/>
      </c>
      <c r="FK44" s="91" t="str">
        <f aca="false">IF(Tasks[[#This Row],[Task Name]]="","",IF(Tasks[[#This Row],[_IsSummary]],MIN(INDEX(Tasks[_ShownCalcStart],Tasks[[#This Row],[_Row]]+1):INDEX(Tasks[_ShownCalcStart],Tasks[[#This Row],[_Row]]+Tasks[[#This Row],[_Descendants]])),Tasks[[#This Row],[_ShownCalcStart]]))</f>
        <v/>
      </c>
      <c r="FL44" s="91" t="str">
        <f aca="false">IF(Tasks[[#This Row],[Task Name]]="","",IF(Tasks[[#This Row],[_IsSummary]],MAX(INDEX(Tasks[_ShownCalcFinish],Tasks[[#This Row],[_Row]]+1):INDEX(Tasks[_ShownCalcFinish],Tasks[[#This Row],[_Row]]+Tasks[[#This Row],[_Descendants]])),Tasks[[#This Row],[_ShownCalcFinish]]))</f>
        <v/>
      </c>
      <c r="FM4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4" s="43" t="n">
        <f aca="false">IF(AND(Tasks[[#This Row],[_IsLeaf]]=1,Tasks[[#This Row],[_LeafTotalWork]]&gt;0),NETWORKDAYS.INTL(ProjectStart,Tasks[[#This Row],[_ShownFcstStart]],WorkWeek,Holidays),0)</f>
        <v>0</v>
      </c>
      <c r="FZ44" s="43" t="n">
        <f aca="false">IF(AND(Tasks[[#This Row],[_IsLeaf]]=1,Tasks[[#This Row],[_LeafTotalWork]]&gt;0),MAX(Tasks[[#This Row],[_StartWorkday]],NETWORKDAYS.INTL(ProjectStart,Tasks[[#This Row],[_ShownFcstFinish]],WorkWeek,Holidays)),0)</f>
        <v>0</v>
      </c>
      <c r="GA44" s="43" t="n">
        <f aca="false">IF(AND(Tasks[[#This Row],[_IsLeaf]]=1,Tasks[[#This Row],[_LeafTotalWork]]&gt;0),Tasks[[#This Row],[_LeafWork]]/(Tasks[[#This Row],[_FinishWorkday]]-Tasks[[#This Row],[_StartWorkday]]+1),0)</f>
        <v>0</v>
      </c>
      <c r="GB44" s="43" t="n">
        <f aca="false">Tasks[[#This Row],[_WorkPerWorkday]]*(Tasks[[#This Row],[_StartWorkday]]-1)</f>
        <v>-0</v>
      </c>
      <c r="GC44" s="43" t="n">
        <f aca="false">IF(Tasks[[#This Row],[_IsLeaf]]=1,MAX(N(Tasks[[#This Row],[_Days]]),0.1),0)</f>
        <v>0</v>
      </c>
      <c r="GD44" s="43" t="n">
        <f aca="false">Tasks[[#This Row],[_WeightDur]]*Tasks[[#This Row],[_LeafProgress]]</f>
        <v>0</v>
      </c>
      <c r="GE44" s="43" t="n">
        <f aca="false">Tasks[[#This Row],[_WeightDur]]*Tasks[[#This Row],[_PlannedPct]]</f>
        <v>0</v>
      </c>
      <c r="GF4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4" s="43" t="str">
        <f aca="false">IF(AND(Tasks[[#This Row],[_IsLeaf]]=1,N(Tasks[[#This Row],[_Days]])=0,Tasks[[#This Row],[_LeafProgress]]&lt;1),Tasks[[#This Row],[_ShownFcstFinish]]+Tasks[[#This Row],[_Row]]/100000,"")</f>
        <v/>
      </c>
      <c r="GH4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4" s="43" t="str">
        <f aca="false">IF(Tasks[[#This Row],[Task Name]]="","",LEFT(Tasks[[#This Row],[WBS]],FIND(".",Tasks[[#This Row],[WBS]]&amp;".")-1))</f>
        <v/>
      </c>
      <c r="GJ44" s="43" t="str">
        <f aca="false">IF(AND(Tasks[[#This Row],[Task Name]]&lt;&gt;"",Tasks[[#This Row],[_Level]]=1),Tasks[[#This Row],[_Row]],"")</f>
        <v/>
      </c>
      <c r="GK44" s="43" t="str">
        <f aca="false">IF(AND(Tasks[[#This Row],[_IsLeaf]]=1,N(Tasks[[#This Row],[_Days]])=0),Tasks[[#This Row],[Planned Finish]]+Tasks[[#This Row],[_Row]]/100000,"")</f>
        <v/>
      </c>
      <c r="GL44" s="43" t="str">
        <f aca="false">IF(AND(Tasks[[#This Row],[_IsLeaf]]=1,Tasks[[#This Row],[_LeafProgress]]&lt;1,OR(N(Tasks[[#This Row],[Finish Var]])&gt;0,Tasks[[#This Row],[Status]]="Late Start")),MAX(0,Tasks[[#This Row],[Finish Var]])+1-Tasks[[#This Row],[_Row]]/1000000,"")</f>
        <v/>
      </c>
      <c r="GM44" s="43" t="str">
        <f aca="false">IF(AND(Tasks[[#This Row],[_IsLeaf]]=1,N(Tasks[[#This Row],[Actual Start]])=0,Tasks[[#This Row],[_ShownFcstStart]]&gt;=StatusDate,Tasks[[#This Row],[_ShownFcstStart]]&lt;=LookaheadEnd),Tasks[[#This Row],[_ShownFcstStart]]+Tasks[[#This Row],[_Row]]/100000,"")</f>
        <v/>
      </c>
      <c r="GN44" s="43" t="str">
        <f aca="false">IF(AND(Tasks[[#This Row],[_IsLeaf]]=1,Tasks[[#This Row],[_LeafProgress]]&lt;1,Tasks[[#This Row],[_ShownFcstFinish]]&gt;=StatusDate,Tasks[[#This Row],[_ShownFcstFinish]]&lt;=LookaheadEnd),Tasks[[#This Row],[_ShownFcstFinish]]+Tasks[[#This Row],[_Row]]/100000,"")</f>
        <v/>
      </c>
      <c r="GO44" s="43" t="str">
        <f aca="false">IF(Tasks[[#This Row],[_LeafCritical]],Tasks[[#This Row],[_ShownFcstStart]]+Tasks[[#This Row],[_Row]]/100000,"")</f>
        <v/>
      </c>
      <c r="GP44" s="43" t="n">
        <f aca="false">Tasks[[#This Row],[_LeafWork]]*Tasks[[#This Row],[_LeafProgress]]</f>
        <v>0</v>
      </c>
      <c r="GQ44" s="91" t="str">
        <f aca="false">IF(AND(Tasks[[#This Row],[_IsLeaf]]=1,Tasks[[#This Row],[_LeafProgress]]&gt;=1),IF(N(Tasks[[#This Row],[Actual Finish]])&gt;0,Tasks[[#This Row],[Actual Finish]],Tasks[[#This Row],[_ShownFcstFinish]]),"")</f>
        <v/>
      </c>
      <c r="GR44" s="43" t="n">
        <f aca="false">IF(Tasks[[#This Row],[_IsLeaf]]=1,N(Tasks[[#This Row],[Story Points]]),0)</f>
        <v>0</v>
      </c>
      <c r="GS44" s="43" t="str">
        <f aca="false">""</f>
        <v/>
      </c>
      <c r="GT44" s="90" t="b">
        <f aca="false">IF(Tasks[[#This Row],[Task Name]]="",FALSE(),AND(Tasks[[#This Row],[_IsLeaf]]=1,N(Tasks[[#This Row],[_Days]])=0))</f>
        <v>0</v>
      </c>
      <c r="GU44" s="91" t="n">
        <f aca="false">IF(Tasks[[#This Row],[Task Name]]="",0,IF(AND(Tasks[[#This Row],[_IsLeaf]]=1,NOT(Tasks[[#This Row],[_IsMilestone]]),N(Tasks[[#This Row],[Progress]])&gt;0),Tasks[[#This Row],[Start]],0))</f>
        <v>0</v>
      </c>
      <c r="GV44" s="91" t="n">
        <f aca="false">IF(Tasks[[#This Row],[_DoneFrom]]=0,0,IF(Tasks[[#This Row],[Progress]]&gt;=1,Tasks[[#This Row],[Finish]],MAX(Tasks[[#This Row],[_DoneFrom]],Tasks[[#This Row],[Start]]+ROUND((Tasks[[#This Row],[Finish]]-Tasks[[#This Row],[Start]]+1)*Tasks[[#This Row],[Progress]],0)-1)))</f>
        <v>0</v>
      </c>
      <c r="GW44" s="91" t="n">
        <f aca="false">IF(Tasks[[#This Row],[Task Name]]="",0,IF(OR(NOT(Tasks[[#This Row],[_IsLeaf]]=1),Tasks[[#This Row],[_IsMilestone]],N(Tasks[[#This Row],[Progress]])&gt;=1),0,IF(Tasks[[#This Row],[_DoneTo]]&gt;0,Tasks[[#This Row],[_DoneTo]]+1,Tasks[[#This Row],[Start]])))</f>
        <v>0</v>
      </c>
      <c r="GX44" s="91" t="n">
        <f aca="false">IF(Tasks[[#This Row],[_RemFrom]]=0,0,Tasks[[#This Row],[Finish]])</f>
        <v>0</v>
      </c>
      <c r="GY44" s="90" t="b">
        <f aca="false">IF(Tasks[[#This Row],[Task Name]]="",FALSE(),OR(NOT(BaselineSet),N(Tasks[[#This Row],[Baseline Start]])&gt;0))</f>
        <v>0</v>
      </c>
      <c r="GZ4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4" s="92" t="str">
        <f aca="false">IF(Tasks[[#This Row],[_IsLeaf]]=1,Tasks[[#This Row],[_Row]],"")</f>
        <v/>
      </c>
      <c r="HD44" s="92" t="str">
        <f aca="false">IFERROR(INDEX(Tasks[UID],SMALL(Tasks[_PickKey],Tasks[[#This Row],[_Row]]))&amp;" "&amp;INDEX(Tasks[Task Name],SMALL(Tasks[_PickKey],Tasks[[#This Row],[_Row]])),"")</f>
        <v/>
      </c>
      <c r="HE44" s="43" t="str">
        <f aca="false">IF(Tasks[[#This Row],[Task Name]]="","",IF(Tasks[[#This Row],[_IsSummary]],NETWORKDAYS.INTL(Tasks[[#This Row],[Start]],Tasks[[#This Row],[Finish]],WorkWeek,Holidays),N(Tasks[[#This Row],[_Days]])))</f>
        <v/>
      </c>
      <c r="HF44" s="43" t="n">
        <f aca="false">IF(Tasks[[#This Row],[Expected]]="",0,((Tasks[[#This Row],[Pessimistic]]-Tasks[[#This Row],[Optimistic]])/6)^2)</f>
        <v>0</v>
      </c>
      <c r="HG44" s="43" t="n">
        <f aca="false">IF(Tasks[[#This Row],[Expected]]="",0,Tasks[[#This Row],[Expected]]-N(Tasks[[#This Row],[_Days]]))</f>
        <v>0</v>
      </c>
    </row>
    <row r="45" customFormat="false" ht="15" hidden="false" customHeight="false" outlineLevel="0" collapsed="false">
      <c r="A45" s="21" t="str">
        <f aca="false">IF(Tasks[[#This Row],[Task Name]]="","",COUNTA(Tasks[[#Headers],[Task Name]]:Tasks[[#This Row],[Task Name]])-1)</f>
        <v/>
      </c>
      <c r="B45" s="22" t="n">
        <v>53</v>
      </c>
      <c r="C45" s="22"/>
      <c r="D45" s="23"/>
      <c r="E45" s="22"/>
      <c r="F45" s="23"/>
      <c r="G45" s="22"/>
      <c r="H45" s="22"/>
      <c r="I45" s="23"/>
      <c r="J45" s="22"/>
      <c r="K45" s="22"/>
      <c r="L45" s="23"/>
      <c r="M45" s="22"/>
      <c r="N45" s="22"/>
      <c r="O45" s="23"/>
      <c r="P45" s="22"/>
      <c r="Q45" s="22"/>
      <c r="R45" s="23"/>
      <c r="S45" s="23"/>
      <c r="T45" s="84"/>
      <c r="U45" s="23"/>
      <c r="V45" s="84"/>
      <c r="W45" s="23"/>
      <c r="X45" s="84"/>
      <c r="Y45" s="23"/>
      <c r="Z45" s="84"/>
      <c r="AA45" s="23"/>
      <c r="AB45" s="23"/>
      <c r="AC45" s="7"/>
      <c r="AD45" s="7"/>
      <c r="AE45" s="63" t="str">
        <f aca="false">IF(Tasks[[#This Row],[Task Name]]="","",IF(Tasks[[#This Row],[_IsSummary]],MIN(INDEX(Tasks[_ShownFcstStart],Tasks[[#This Row],[_Row]]+1):INDEX(Tasks[_ShownFcstStart],Tasks[[#This Row],[_Row]]+Tasks[[#This Row],[_Descendants]])),Tasks[[#This Row],[_ShownFcstStart]]))</f>
        <v/>
      </c>
      <c r="AF45" s="63" t="str">
        <f aca="false">IF(Tasks[[#This Row],[Task Name]]="","",IF(Tasks[[#This Row],[_IsSummary]],MAX(INDEX(Tasks[_ShownFcstFinish],Tasks[[#This Row],[_Row]]+1):INDEX(Tasks[_ShownFcstFinish],Tasks[[#This Row],[_Row]]+Tasks[[#This Row],[_Descendants]])),Tasks[[#This Row],[_ShownFcstFinish]]))</f>
        <v/>
      </c>
      <c r="AG45" s="21" t="str">
        <f aca="false">""</f>
        <v/>
      </c>
      <c r="AH45" s="23"/>
      <c r="AI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5" s="7"/>
      <c r="AK45" s="22"/>
      <c r="AL45" s="23"/>
      <c r="AM45" s="7"/>
      <c r="AN45" s="47" t="str">
        <f aca="false">IF(Tasks[[#This Row],[Task Name]]="","",IF(Tasks[[#This Row],[Finish]]&gt;=Tasks[[#This Row],[Planned Finish]],NETWORKDAYS.INTL(Tasks[[#This Row],[Planned Finish]],Tasks[[#This Row],[Finish]],WorkWeek,Holidays)-1,1-NETWORKDAYS.INTL(Tasks[[#This Row],[Finish]],Tasks[[#This Row],[Planned Finish]],WorkWeek,Holidays)))</f>
        <v/>
      </c>
      <c r="AO45" s="21" t="str">
        <f aca="false">IF(Tasks[[#This Row],[Task Name]]="","",IF(Tasks[[#This Row],[Progress]]&gt;=1,"Complete",IF(OR(N(Tasks[[#This Row],[Actual Start]])&gt;0,Tasks[[#This Row],[Progress]]&gt;0),IF(Tasks[[#This Row],[Finish Var]]&gt;0,"Behind","In Progress"),IF(Tasks[[#This Row],[Planned Start]]&lt;StatusDate,"Late Start","Not Started"))))</f>
        <v/>
      </c>
      <c r="AP45" s="21" t="str">
        <f aca="false">IF(Tasks[[#This Row],[Task Name]]="","",IF(IF(Tasks[[#This Row],[_IsSummary]],COUNTIF(INDEX(Tasks[_LeafCritical],Tasks[[#This Row],[_Row]]+1):INDEX(Tasks[_LeafCritical],Tasks[[#This Row],[_Row]]+Tasks[[#This Row],[_Descendants]]),TRUE())&gt;0,Tasks[[#This Row],[_LeafCritical]]),"Yes",""))</f>
        <v/>
      </c>
      <c r="AQ45" s="63" t="str">
        <f aca="false">IF(Tasks[[#This Row],[Task Name]]="","",IF(N(Tasks[[#This Row],[Baseline Start]])&gt;0,Tasks[[#This Row],[Baseline Start]],Tasks[[#This Row],[_CalcStart]]))</f>
        <v/>
      </c>
      <c r="AR45" s="63" t="str">
        <f aca="false">IF(Tasks[[#This Row],[Task Name]]="","",IF(N(Tasks[[#This Row],[Baseline Finish]])&gt;0,Tasks[[#This Row],[Baseline Finish]],Tasks[[#This Row],[_CalcFinish]]))</f>
        <v/>
      </c>
      <c r="AS45" s="47" t="str">
        <f aca="false">IF(Tasks[[#This Row],[Task Name]]="","",IF(Tasks[[#This Row],[Start]]&gt;=Tasks[[#This Row],[Planned Start]],NETWORKDAYS.INTL(Tasks[[#This Row],[Planned Start]],Tasks[[#This Row],[Start]],WorkWeek,Holidays)-1,1-NETWORKDAYS.INTL(Tasks[[#This Row],[Start]],Tasks[[#This Row],[Planned Start]],WorkWeek,Holidays)))</f>
        <v/>
      </c>
      <c r="AT45" s="63" t="str">
        <f aca="false">IF(Tasks[[#This Row],[Task Name]]="","",IF(Tasks[[#This Row],[_IsSummary]],MIN(INDEX(Tasks[_LeafLateStart],Tasks[[#This Row],[_Row]]+1):INDEX(Tasks[_LeafLateStart],Tasks[[#This Row],[_Row]]+Tasks[[#This Row],[_Descendants]])),Tasks[[#This Row],[_LeafLateStart]]))</f>
        <v/>
      </c>
      <c r="AU45" s="63" t="str">
        <f aca="false">IF(Tasks[[#This Row],[Task Name]]="","",IF(Tasks[[#This Row],[_IsSummary]],MAX(INDEX(Tasks[_LeafLateFinish],Tasks[[#This Row],[_Row]]+1):INDEX(Tasks[_LeafLateFinish],Tasks[[#This Row],[_Row]]+Tasks[[#This Row],[_Descendants]])),Tasks[[#This Row],[_LeafLateFinish]]))</f>
        <v/>
      </c>
      <c r="AV45" s="47" t="str">
        <f aca="false">IF(Tasks[[#This Row],[Task Name]]="","",IF(Tasks[[#This Row],[_IsSummary]],MIN(INDEX(Tasks[_LeafTotalSlack],Tasks[[#This Row],[_Row]]+1):INDEX(Tasks[_LeafTotalSlack],Tasks[[#This Row],[_Row]]+Tasks[[#This Row],[_Descendants]])),Tasks[[#This Row],[_LeafTotalSlack]]))</f>
        <v/>
      </c>
      <c r="AW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5"/>
      <c r="BA4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1" t="str">
        <f aca="false">IF(Tasks[[#This Row],[Task Name]]="","",IF(Tasks[[#This Row],[_Level]]&lt;=OutlineShowLevel,"Yes","No"))</f>
        <v/>
      </c>
      <c r="BE45" s="86" t="str">
        <f aca="false">IF(Tasks[[#This Row],[Task Name]]="","",IF(Tasks[[#This Row],[_IsSummary]],SUM(INDEX(Tasks[_LeafTotalWork],Tasks[[#This Row],[_Row]]+1):INDEX(Tasks[_LeafTotalWork],Tasks[[#This Row],[_Row]]+Tasks[[#This Row],[_Descendants]])),Tasks[[#This Row],[_LeafTotalWork]]))</f>
        <v/>
      </c>
      <c r="BF45" s="23"/>
      <c r="BG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5" s="21" t="str">
        <f aca="false">""</f>
        <v/>
      </c>
      <c r="BI45" s="87"/>
      <c r="BJ45" s="22"/>
      <c r="BK45" s="47" t="str">
        <f aca="false">IF(OR(Tasks[[#This Row],[Task Name]]="",Tasks[[#This Row],[Baseline Duration]]=""),"",Tasks[[#This Row],[_SpanDays]]-N(Tasks[[#This Row],[Baseline Duration]]))</f>
        <v/>
      </c>
      <c r="BL45" s="86" t="str">
        <f aca="false">IF(OR(Tasks[[#This Row],[Task Name]]="",Tasks[[#This Row],[Baseline Work]]=""),"",Tasks[[#This Row],[Work]]-N(Tasks[[#This Row],[Baseline Work]]))</f>
        <v/>
      </c>
      <c r="BM45" s="63" t="str">
        <f aca="false">IF(Tasks[[#This Row],[Task Name]]="","",IF(OR(TakeBaseline="Yes",N(Tasks[[#This Row],[Baseline Start]])=0),Tasks[[#This Row],[Start]],Tasks[[#This Row],[Baseline Start]]))</f>
        <v/>
      </c>
      <c r="BN45" s="63" t="str">
        <f aca="false">IF(Tasks[[#This Row],[Task Name]]="","",IF(OR(TakeBaseline="Yes",N(Tasks[[#This Row],[Baseline Finish]])=0),Tasks[[#This Row],[Finish]],Tasks[[#This Row],[Baseline Finish]]))</f>
        <v/>
      </c>
      <c r="BO45" s="21" t="str">
        <f aca="false">IF(Tasks[[#This Row],[Task Name]]="","",IF(OR(TakeBaseline="Yes",N(Tasks[[#This Row],[Baseline Duration]])=0),Tasks[[#This Row],[_SpanDays]],Tasks[[#This Row],[Baseline Duration]]))</f>
        <v/>
      </c>
      <c r="BP45" s="86" t="str">
        <f aca="false">IF(Tasks[[#This Row],[Task Name]]="","",IF(OR(TakeBaseline="Yes",N(Tasks[[#This Row],[Baseline Work]])=0),Tasks[[#This Row],[Work]],Tasks[[#This Row],[Baseline Work]]))</f>
        <v/>
      </c>
      <c r="BQ45" s="7"/>
      <c r="BR45" s="7"/>
      <c r="BS45" s="22"/>
      <c r="BT45" s="88"/>
      <c r="BU45" s="23"/>
      <c r="BV45" s="23"/>
      <c r="BW45" s="23"/>
      <c r="BX45" s="89" t="str">
        <f aca="false">IF(AND(Tasks[[#This Row],[_IsLeaf]]=1,ISNUMBER(Tasks[[#This Row],[Optimistic]]),ISNUMBER(Tasks[[#This Row],[Pessimistic]])),ROUND((Tasks[[#This Row],[Optimistic]]+4*N(Tasks[[#This Row],[_Days]])+Tasks[[#This Row],[Pessimistic]])/6,1),"")</f>
        <v/>
      </c>
      <c r="BY45" s="87"/>
      <c r="BZ45" s="87"/>
      <c r="CA45" s="22"/>
      <c r="CB45" s="43" t="str">
        <f aca="false">IF(Tasks[[#This Row],[Task Name]]="","",MAX(1,N(Tasks[[#This Row],[Level]])))</f>
        <v/>
      </c>
      <c r="CC45" s="43" t="n">
        <f aca="false">ROW()-ROW(Tasks[[#Headers],[ID]])</f>
        <v>40</v>
      </c>
      <c r="CD45" s="43" t="n">
        <f aca="false">IF(OR(Tasks[[#This Row],[Task Name]]="",Tasks[[#This Row],[_Level]]&lt;=1),0,IFERROR(LOOKUP(2,1/(Tasks[[#Headers],[_Level]]:Tasks[[#This Row],[_Level]]=Tasks[[#This Row],[_Level]]-1),ROW(Tasks[[#Headers],[_Level]]:Tasks[[#This Row],[_Level]])),0))</f>
        <v>0</v>
      </c>
      <c r="CE45" s="43" t="n">
        <f aca="false">IFERROR(N(INDEX(Tasks[_Level],Tasks[[#This Row],[_Row]]+1)),0)</f>
        <v>0</v>
      </c>
      <c r="CF45" s="90" t="b">
        <f aca="false">AND(Tasks[[#This Row],[Task Name]]&lt;&gt;"",Tasks[[#This Row],[_NextLevel]]&gt;Tasks[[#This Row],[_Level]])</f>
        <v>0</v>
      </c>
      <c r="CG45" s="43" t="n">
        <f aca="false">IF(Tasks[[#This Row],[_IsSummary]],COUNTIF(Tasks[WBS],Tasks[[#This Row],[WBS]]&amp;".*"),0)</f>
        <v>0</v>
      </c>
      <c r="CH45" s="43" t="n">
        <f aca="false">IF(AND(Tasks[[#This Row],[Task Name]]&lt;&gt;"",NOT(Tasks[[#This Row],[_IsSummary]])),1,0)</f>
        <v>0</v>
      </c>
      <c r="CI45" s="43" t="n">
        <f aca="false">IF(N(Tasks[[#This Row],[_Pred1UID]])=0,0,IFERROR(MATCH(Tasks[[#This Row],[_Pred1UID]],Tasks[UID],0),-1))</f>
        <v>0</v>
      </c>
      <c r="CJ45" s="43" t="n">
        <f aca="false">IF(N(Tasks[[#This Row],[_Pred2UID]])=0,0,IFERROR(MATCH(Tasks[[#This Row],[_Pred2UID]],Tasks[UID],0),-1))</f>
        <v>0</v>
      </c>
      <c r="CK45" s="43" t="n">
        <f aca="false">IF(N(Tasks[[#This Row],[_Pred3UID]])=0,0,IFERROR(MATCH(Tasks[[#This Row],[_Pred3UID]],Tasks[UID],0),-1))</f>
        <v>0</v>
      </c>
      <c r="CL45" s="43" t="n">
        <f aca="false">IF(N(Tasks[[#This Row],[_Pred4UID]])=0,0,IFERROR(MATCH(Tasks[[#This Row],[_Pred4UID]],Tasks[UID],0),-1))</f>
        <v>0</v>
      </c>
      <c r="CM4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5" s="91" t="n">
        <f aca="false">IF(OR(Tasks[[#This Row],[_ConstraintCode]]=2,Tasks[[#This Row],[_ConstraintCode]]=3,Tasks[[#This Row],[_ConstraintCode]]=4,Tasks[[#This Row],[_ConstraintCode]]=6),Tasks[[#This Row],[_ConstraintStart]],0)</f>
        <v>0</v>
      </c>
      <c r="CP45" s="91" t="n">
        <f aca="false">IF(OR(Tasks[[#This Row],[_ConstraintCode]]=2,Tasks[[#This Row],[_ConstraintCode]]=3,Tasks[[#This Row],[_ConstraintCode]]=5,Tasks[[#This Row],[_ConstraintCode]]=7),Tasks[[#This Row],[_ConstraintStart]],2958465)</f>
        <v>2958465</v>
      </c>
      <c r="CQ4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5" s="91" t="str">
        <f aca="false">IF(NOT(Tasks[[#This Row],[_IsLeaf]]=1),"",IF(N(Tasks[[#This Row],[_Days]])&lt;=0,Tasks[[#This Row],[_LeafCalcStart]],WORKDAY.INTL(Tasks[[#This Row],[_LeafCalcStart]],Tasks[[#This Row],[_Days]]-1,WorkWeek,Holidays)))</f>
        <v/>
      </c>
      <c r="CS4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5" s="43" t="str">
        <f aca="false">IF(Tasks[[#This Row],[_Predecessors]]="","",TRIM(MID(SUBSTITUTE(SUBSTITUTE(SUBSTITUTE(UPPER(Tasks[[#This Row],[_Predecessors]]),";",",")," ",""),",",REPT(" ",99)),1,99)))</f>
        <v/>
      </c>
      <c r="CV45" s="43" t="str">
        <f aca="false">IF(Tasks[[#This Row],[_Pred1Text]]="","",IFERROR(VALUE(LEFT(Tasks[[#This Row],[_Pred1Text]],MIN(FIND("F",Tasks[[#This Row],[_Pred1Text]]&amp;"F"),FIND("S",Tasks[[#This Row],[_Pred1Text]]&amp;"S"),FIND("+",Tasks[[#This Row],[_Pred1Text]]&amp;"+"),FIND("-",Tasks[[#This Row],[_Pred1Text]]&amp;"-"))-1)),""))</f>
        <v/>
      </c>
      <c r="CW4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5" s="43" t="str">
        <f aca="false">IF(Tasks[[#This Row],[_Pred1Text]]="","",TRIM(MID(SUBSTITUTE(SUBSTITUTE(SUBSTITUTE(UPPER(Tasks[[#This Row],[_Predecessors]]),";",",")," ",""),",",REPT(" ",99)),100,99)))</f>
        <v/>
      </c>
      <c r="CZ45" s="43" t="str">
        <f aca="false">IF(Tasks[[#This Row],[_Pred2Text]]="","",IFERROR(VALUE(LEFT(Tasks[[#This Row],[_Pred2Text]],MIN(FIND("F",Tasks[[#This Row],[_Pred2Text]]&amp;"F"),FIND("S",Tasks[[#This Row],[_Pred2Text]]&amp;"S"),FIND("+",Tasks[[#This Row],[_Pred2Text]]&amp;"+"),FIND("-",Tasks[[#This Row],[_Pred2Text]]&amp;"-"))-1)),""))</f>
        <v/>
      </c>
      <c r="DA4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5" s="43" t="str">
        <f aca="false">IF(Tasks[[#This Row],[_Pred2Text]]="","",TRIM(MID(SUBSTITUTE(SUBSTITUTE(SUBSTITUTE(UPPER(Tasks[[#This Row],[_Predecessors]]),";",",")," ",""),",",REPT(" ",99)),199,99)))</f>
        <v/>
      </c>
      <c r="DD45" s="43" t="str">
        <f aca="false">IF(Tasks[[#This Row],[_Pred3Text]]="","",IFERROR(VALUE(LEFT(Tasks[[#This Row],[_Pred3Text]],MIN(FIND("F",Tasks[[#This Row],[_Pred3Text]]&amp;"F"),FIND("S",Tasks[[#This Row],[_Pred3Text]]&amp;"S"),FIND("+",Tasks[[#This Row],[_Pred3Text]]&amp;"+"),FIND("-",Tasks[[#This Row],[_Pred3Text]]&amp;"-"))-1)),""))</f>
        <v/>
      </c>
      <c r="DE4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5" s="43" t="str">
        <f aca="false">IF(Tasks[[#This Row],[_Pred3Text]]="","",TRIM(MID(SUBSTITUTE(SUBSTITUTE(SUBSTITUTE(UPPER(Tasks[[#This Row],[_Predecessors]]),";",",")," ",""),",",REPT(" ",99)),298,99)))</f>
        <v/>
      </c>
      <c r="DH45" s="43" t="str">
        <f aca="false">IF(Tasks[[#This Row],[_Pred4Text]]="","",IFERROR(VALUE(LEFT(Tasks[[#This Row],[_Pred4Text]],MIN(FIND("F",Tasks[[#This Row],[_Pred4Text]]&amp;"F"),FIND("S",Tasks[[#This Row],[_Pred4Text]]&amp;"S"),FIND("+",Tasks[[#This Row],[_Pred4Text]]&amp;"+"),FIND("-",Tasks[[#This Row],[_Pred4Text]]&amp;"-"))-1)),""))</f>
        <v/>
      </c>
      <c r="DI4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5" s="43" t="str">
        <f aca="false">IF(OR(Tasks[[#This Row],[Task Name]]="",Tasks[[#This Row],[_Resources]]=""),"",TRIM(MID(SUBSTITUTE(Tasks[[#This Row],[_Resources]],",",REPT(" ",99)),1,99)))</f>
        <v/>
      </c>
      <c r="DL45" s="43" t="str">
        <f aca="false">IF(Tasks[[#This Row],[_Res1Text]]="","",TRIM(MID(SUBSTITUTE(Tasks[[#This Row],[_Resources]],",",REPT(" ",99)),100,99)))</f>
        <v/>
      </c>
      <c r="DM45" s="43" t="str">
        <f aca="false">IF(Tasks[[#This Row],[_Res2Text]]="","",TRIM(MID(SUBSTITUTE(Tasks[[#This Row],[_Resources]],",",REPT(" ",99)),199,99)))</f>
        <v/>
      </c>
      <c r="DN45" s="43" t="str">
        <f aca="false">IF(Tasks[[#This Row],[_Res3Text]]="","",TRIM(MID(SUBSTITUTE(Tasks[[#This Row],[_Resources]],",",REPT(" ",99)),298,99)))</f>
        <v/>
      </c>
      <c r="DO45" s="43" t="n">
        <f aca="false">IF(Tasks[[#This Row],[_Res1Text]]="",0,IFERROR(MATCH(TRIM(LEFT(Tasks[[#This Row],[_Res1Text]],FIND("[",Tasks[[#This Row],[_Res1Text]]&amp;"[")-1)),res_Name,0),IFERROR(MATCH(TRIM(LEFT(Tasks[[#This Row],[_Res1Text]],FIND("[",Tasks[[#This Row],[_Res1Text]]&amp;"[")-1)),res_Initials,0),0)))</f>
        <v>0</v>
      </c>
      <c r="DP45" s="43" t="n">
        <f aca="false">IF(Tasks[[#This Row],[_Res2Text]]="",0,IFERROR(MATCH(TRIM(LEFT(Tasks[[#This Row],[_Res2Text]],FIND("[",Tasks[[#This Row],[_Res2Text]]&amp;"[")-1)),res_Name,0),IFERROR(MATCH(TRIM(LEFT(Tasks[[#This Row],[_Res2Text]],FIND("[",Tasks[[#This Row],[_Res2Text]]&amp;"[")-1)),res_Initials,0),0)))</f>
        <v>0</v>
      </c>
      <c r="DQ45" s="43" t="n">
        <f aca="false">IF(Tasks[[#This Row],[_Res3Text]]="",0,IFERROR(MATCH(TRIM(LEFT(Tasks[[#This Row],[_Res3Text]],FIND("[",Tasks[[#This Row],[_Res3Text]]&amp;"[")-1)),res_Name,0),IFERROR(MATCH(TRIM(LEFT(Tasks[[#This Row],[_Res3Text]],FIND("[",Tasks[[#This Row],[_Res3Text]]&amp;"[")-1)),res_Initials,0),0)))</f>
        <v>0</v>
      </c>
      <c r="DR45" s="43" t="n">
        <f aca="false">IF(Tasks[[#This Row],[_Res4Text]]="",0,IFERROR(MATCH(TRIM(LEFT(Tasks[[#This Row],[_Res4Text]],FIND("[",Tasks[[#This Row],[_Res4Text]]&amp;"[")-1)),res_Name,0),IFERROR(MATCH(TRIM(LEFT(Tasks[[#This Row],[_Res4Text]],FIND("[",Tasks[[#This Row],[_Res4Text]]&amp;"[")-1)),res_Initials,0),0)))</f>
        <v>0</v>
      </c>
      <c r="DS45" s="43" t="str">
        <f aca="false">IF(Tasks[[#This Row],[_Res1Text]]="","",IF(Tasks[[#This Row],[_Res1Row]]&gt;0,INDEX(res_Name,Tasks[[#This Row],[_Res1Row]]),TRIM(LEFT(Tasks[[#This Row],[_Res1Text]],FIND("[",Tasks[[#This Row],[_Res1Text]]&amp;"[")-1))))</f>
        <v/>
      </c>
      <c r="DT4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5" s="43" t="n">
        <f aca="false">IF(NOT(Tasks[[#This Row],[_IsLeaf]]=1),0,(Tasks[[#This Row],[_Resource1]]&lt;&gt;"")+(Tasks[[#This Row],[_Res2]]&lt;&gt;"")+(Tasks[[#This Row],[_Res3]]&lt;&gt;"")+(Tasks[[#This Row],[_Res4]]&lt;&gt;""))</f>
        <v>0</v>
      </c>
      <c r="DV45" s="43" t="str">
        <f aca="false">IF(Tasks[[#This Row],[_Res2Text]]="","",IF(Tasks[[#This Row],[_Res2Row]]&gt;0,INDEX(res_Name,Tasks[[#This Row],[_Res2Row]]),TRIM(LEFT(Tasks[[#This Row],[_Res2Text]],FIND("[",Tasks[[#This Row],[_Res2Text]]&amp;"[")-1))))</f>
        <v/>
      </c>
      <c r="DW4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5" s="43" t="n">
        <f aca="false">IF(OR(NOT(Tasks[[#This Row],[_IsLeaf]]=1),Tasks[[#This Row],[_Res2Row]]=0),0,N(Tasks[[#This Row],[_Days]])*HoursPerDay*IF(Tasks[[#This Row],[_Res2Units]]="",DefaultUnits,Tasks[[#This Row],[_Res2Units]]))</f>
        <v>0</v>
      </c>
      <c r="DY45" s="43" t="n">
        <f aca="false">IF(AND(AND(Tasks[[#This Row],[_IsLeaf]]=1,Tasks[[#This Row],[_LeafTotalWork]]&gt;0),Tasks[[#This Row],[_Res2Work]]&gt;0),Tasks[[#This Row],[_Res2Work]]/(Tasks[[#This Row],[_FinishWorkday]]-Tasks[[#This Row],[_StartWorkday]]+1),0)</f>
        <v>0</v>
      </c>
      <c r="DZ45" s="43" t="n">
        <f aca="false">Tasks[[#This Row],[_Res2WorkPerWD]]*MAX(0,Tasks[[#This Row],[_StartWorkday]]-1)</f>
        <v>0</v>
      </c>
      <c r="EA45" s="43" t="n">
        <f aca="false">Tasks[[#This Row],[_Res2Work]]*Tasks[[#This Row],[_LeafProgress]]</f>
        <v>0</v>
      </c>
      <c r="EB45" s="43" t="str">
        <f aca="false">IF(Tasks[[#This Row],[_Res3Text]]="","",IF(Tasks[[#This Row],[_Res3Row]]&gt;0,INDEX(res_Name,Tasks[[#This Row],[_Res3Row]]),TRIM(LEFT(Tasks[[#This Row],[_Res3Text]],FIND("[",Tasks[[#This Row],[_Res3Text]]&amp;"[")-1))))</f>
        <v/>
      </c>
      <c r="EC4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5" s="43" t="n">
        <f aca="false">IF(OR(NOT(Tasks[[#This Row],[_IsLeaf]]=1),Tasks[[#This Row],[_Res3Row]]=0),0,N(Tasks[[#This Row],[_Days]])*HoursPerDay*IF(Tasks[[#This Row],[_Res3Units]]="",DefaultUnits,Tasks[[#This Row],[_Res3Units]]))</f>
        <v>0</v>
      </c>
      <c r="EE45" s="43" t="n">
        <f aca="false">IF(AND(AND(Tasks[[#This Row],[_IsLeaf]]=1,Tasks[[#This Row],[_LeafTotalWork]]&gt;0),Tasks[[#This Row],[_Res3Work]]&gt;0),Tasks[[#This Row],[_Res3Work]]/(Tasks[[#This Row],[_FinishWorkday]]-Tasks[[#This Row],[_StartWorkday]]+1),0)</f>
        <v>0</v>
      </c>
      <c r="EF45" s="43" t="n">
        <f aca="false">Tasks[[#This Row],[_Res3WorkPerWD]]*MAX(0,Tasks[[#This Row],[_StartWorkday]]-1)</f>
        <v>0</v>
      </c>
      <c r="EG45" s="43" t="n">
        <f aca="false">Tasks[[#This Row],[_Res3Work]]*Tasks[[#This Row],[_LeafProgress]]</f>
        <v>0</v>
      </c>
      <c r="EH45" s="43" t="str">
        <f aca="false">IF(Tasks[[#This Row],[_Res4Text]]="","",IF(Tasks[[#This Row],[_Res4Row]]&gt;0,INDEX(res_Name,Tasks[[#This Row],[_Res4Row]]),TRIM(LEFT(Tasks[[#This Row],[_Res4Text]],FIND("[",Tasks[[#This Row],[_Res4Text]]&amp;"[")-1))))</f>
        <v/>
      </c>
      <c r="EI4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5" s="43" t="n">
        <f aca="false">IF(OR(NOT(Tasks[[#This Row],[_IsLeaf]]=1),Tasks[[#This Row],[_Res4Row]]=0),0,N(Tasks[[#This Row],[_Days]])*HoursPerDay*IF(Tasks[[#This Row],[_Res4Units]]="",DefaultUnits,Tasks[[#This Row],[_Res4Units]]))</f>
        <v>0</v>
      </c>
      <c r="EK45" s="43" t="n">
        <f aca="false">IF(AND(AND(Tasks[[#This Row],[_IsLeaf]]=1,Tasks[[#This Row],[_LeafTotalWork]]&gt;0),Tasks[[#This Row],[_Res4Work]]&gt;0),Tasks[[#This Row],[_Res4Work]]/(Tasks[[#This Row],[_FinishWorkday]]-Tasks[[#This Row],[_StartWorkday]]+1),0)</f>
        <v>0</v>
      </c>
      <c r="EL45" s="43" t="n">
        <f aca="false">Tasks[[#This Row],[_Res4WorkPerWD]]*MAX(0,Tasks[[#This Row],[_StartWorkday]]-1)</f>
        <v>0</v>
      </c>
      <c r="EM45" s="43" t="n">
        <f aca="false">Tasks[[#This Row],[_Res4Work]]*Tasks[[#This Row],[_LeafProgress]]</f>
        <v>0</v>
      </c>
      <c r="EN45" s="43" t="n">
        <f aca="false">IF(ISNUMBER(Tasks[[#This Row],[% Complete]]),Tasks[[#This Row],[% Complete]],IF(Tasks[[#This Row],[Stage]]="",0,IFERROR(INDEX(stg_Pct,MATCH(Tasks[[#This Row],[Stage]],stg_Name,0)),0)))</f>
        <v>0</v>
      </c>
      <c r="EO45" s="43" t="n">
        <f aca="false">IF(NOT(Tasks[[#This Row],[_IsLeaf]]=1),0,IF(N(Tasks[[#This Row],[Actual Finish]])&gt;0,1,MIN(1,Tasks[[#This Row],[_Pct]])))</f>
        <v>0</v>
      </c>
      <c r="EP45" s="43" t="n">
        <f aca="false">IF(OR(NOT(Tasks[[#This Row],[_IsLeaf]]=1),Tasks[[#This Row],[_Res1Row]]=0),0,N(Tasks[[#This Row],[_Days]])*HoursPerDay*IF(Tasks[[#This Row],[_Units1]]="",DefaultUnits,Tasks[[#This Row],[_Units1]]))</f>
        <v>0</v>
      </c>
      <c r="EQ45" s="43" t="n">
        <f aca="false">Tasks[[#This Row],[_LeafWork]]+Tasks[[#This Row],[_Res2Work]]+Tasks[[#This Row],[_Res3Work]]+Tasks[[#This Row],[_Res4Work]]</f>
        <v>0</v>
      </c>
      <c r="ER4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5" s="43" t="n">
        <f aca="false">IF(NOT(Tasks[[#This Row],[_IsLeaf]]=1),0,MAX(_xlfn.MAXIFS(Tasks[_Row],Tasks[_Pred1UID],Tasks[[#This Row],[UID]]),_xlfn.MAXIFS(Tasks[_Row],Tasks[_Pred2UID],Tasks[[#This Row],[UID]]),_xlfn.MAXIFS(Tasks[_Row],Tasks[_Pred3UID],Tasks[[#This Row],[UID]]),_xlfn.MAXIFS(Tasks[_Row],Tasks[_Pred4UID],Tasks[[#This Row],[UID]])))</f>
        <v>0</v>
      </c>
      <c r="FA4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5" s="91" t="str">
        <f aca="false">IF(NOT(Tasks[[#This Row],[_IsLeaf]]=1),"",IF(N(Tasks[[#This Row],[_Days]])&lt;=0,Tasks[[#This Row],[_LeafLateFinish]],WORKDAY.INTL(Tasks[[#This Row],[_LeafLateFinish]],-(Tasks[[#This Row],[_Days]]-1),WorkWeek,Holidays)))</f>
        <v/>
      </c>
      <c r="FD4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5" s="90" t="b">
        <f aca="false">AND(Tasks[[#This Row],[_IsLeaf]]=1,Tasks[[#This Row],[_LeafProgress]]&lt;1,N(Tasks[[#This Row],[_LeafTotalSlack]])&lt;=CriticalSlackDays)</f>
        <v>0</v>
      </c>
      <c r="FF45" s="43" t="n">
        <f aca="false">IF(AND(Tasks[[#This Row],[_IsLeaf]]=1,Tasks[[#This Row],[_ConstraintCode]]=1,Tasks[[#This Row],[Mode]]&lt;&gt;"Manual",N(Tasks[[#This Row],[Actual Start]])=0),MAX(0,N(Tasks[[#This Row],[Free Slack]])),0)</f>
        <v>0</v>
      </c>
      <c r="FG45" s="91" t="str">
        <f aca="false">IF(NOT(Tasks[[#This Row],[_IsLeaf]]=1),"",IF(Tasks[[#This Row],[_AlapShift]]=0,Tasks[[#This Row],[_LeafCalcStart]],WORKDAY.INTL(Tasks[[#This Row],[_LeafCalcStart]],Tasks[[#This Row],[_AlapShift]],WorkWeek,Holidays)))</f>
        <v/>
      </c>
      <c r="FH45" s="91" t="str">
        <f aca="false">IF(NOT(Tasks[[#This Row],[_IsLeaf]]=1),"",IF(Tasks[[#This Row],[_AlapShift]]=0,Tasks[[#This Row],[_LeafCalcFinish]],WORKDAY.INTL(Tasks[[#This Row],[_LeafCalcFinish]],Tasks[[#This Row],[_AlapShift]],WorkWeek,Holidays)))</f>
        <v/>
      </c>
      <c r="FI45" s="91" t="str">
        <f aca="false">IF(NOT(Tasks[[#This Row],[_IsLeaf]]=1),"",IF(Tasks[[#This Row],[_AlapShift]]=0,Tasks[[#This Row],[_LeafFcstStart]],WORKDAY.INTL(Tasks[[#This Row],[_LeafFcstStart]],Tasks[[#This Row],[_AlapShift]],WorkWeek,Holidays)))</f>
        <v/>
      </c>
      <c r="FJ45" s="91" t="str">
        <f aca="false">IF(NOT(Tasks[[#This Row],[_IsLeaf]]=1),"",IF(Tasks[[#This Row],[_AlapShift]]=0,Tasks[[#This Row],[_LeafFcstFinish]],WORKDAY.INTL(Tasks[[#This Row],[_LeafFcstFinish]],Tasks[[#This Row],[_AlapShift]],WorkWeek,Holidays)))</f>
        <v/>
      </c>
      <c r="FK45" s="91" t="str">
        <f aca="false">IF(Tasks[[#This Row],[Task Name]]="","",IF(Tasks[[#This Row],[_IsSummary]],MIN(INDEX(Tasks[_ShownCalcStart],Tasks[[#This Row],[_Row]]+1):INDEX(Tasks[_ShownCalcStart],Tasks[[#This Row],[_Row]]+Tasks[[#This Row],[_Descendants]])),Tasks[[#This Row],[_ShownCalcStart]]))</f>
        <v/>
      </c>
      <c r="FL45" s="91" t="str">
        <f aca="false">IF(Tasks[[#This Row],[Task Name]]="","",IF(Tasks[[#This Row],[_IsSummary]],MAX(INDEX(Tasks[_ShownCalcFinish],Tasks[[#This Row],[_Row]]+1):INDEX(Tasks[_ShownCalcFinish],Tasks[[#This Row],[_Row]]+Tasks[[#This Row],[_Descendants]])),Tasks[[#This Row],[_ShownCalcFinish]]))</f>
        <v/>
      </c>
      <c r="FM4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5" s="43" t="n">
        <f aca="false">IF(AND(Tasks[[#This Row],[_IsLeaf]]=1,Tasks[[#This Row],[_LeafTotalWork]]&gt;0),NETWORKDAYS.INTL(ProjectStart,Tasks[[#This Row],[_ShownFcstStart]],WorkWeek,Holidays),0)</f>
        <v>0</v>
      </c>
      <c r="FZ45" s="43" t="n">
        <f aca="false">IF(AND(Tasks[[#This Row],[_IsLeaf]]=1,Tasks[[#This Row],[_LeafTotalWork]]&gt;0),MAX(Tasks[[#This Row],[_StartWorkday]],NETWORKDAYS.INTL(ProjectStart,Tasks[[#This Row],[_ShownFcstFinish]],WorkWeek,Holidays)),0)</f>
        <v>0</v>
      </c>
      <c r="GA45" s="43" t="n">
        <f aca="false">IF(AND(Tasks[[#This Row],[_IsLeaf]]=1,Tasks[[#This Row],[_LeafTotalWork]]&gt;0),Tasks[[#This Row],[_LeafWork]]/(Tasks[[#This Row],[_FinishWorkday]]-Tasks[[#This Row],[_StartWorkday]]+1),0)</f>
        <v>0</v>
      </c>
      <c r="GB45" s="43" t="n">
        <f aca="false">Tasks[[#This Row],[_WorkPerWorkday]]*(Tasks[[#This Row],[_StartWorkday]]-1)</f>
        <v>-0</v>
      </c>
      <c r="GC45" s="43" t="n">
        <f aca="false">IF(Tasks[[#This Row],[_IsLeaf]]=1,MAX(N(Tasks[[#This Row],[_Days]]),0.1),0)</f>
        <v>0</v>
      </c>
      <c r="GD45" s="43" t="n">
        <f aca="false">Tasks[[#This Row],[_WeightDur]]*Tasks[[#This Row],[_LeafProgress]]</f>
        <v>0</v>
      </c>
      <c r="GE45" s="43" t="n">
        <f aca="false">Tasks[[#This Row],[_WeightDur]]*Tasks[[#This Row],[_PlannedPct]]</f>
        <v>0</v>
      </c>
      <c r="GF4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5" s="43" t="str">
        <f aca="false">IF(AND(Tasks[[#This Row],[_IsLeaf]]=1,N(Tasks[[#This Row],[_Days]])=0,Tasks[[#This Row],[_LeafProgress]]&lt;1),Tasks[[#This Row],[_ShownFcstFinish]]+Tasks[[#This Row],[_Row]]/100000,"")</f>
        <v/>
      </c>
      <c r="GH4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5" s="43" t="str">
        <f aca="false">IF(Tasks[[#This Row],[Task Name]]="","",LEFT(Tasks[[#This Row],[WBS]],FIND(".",Tasks[[#This Row],[WBS]]&amp;".")-1))</f>
        <v/>
      </c>
      <c r="GJ45" s="43" t="str">
        <f aca="false">IF(AND(Tasks[[#This Row],[Task Name]]&lt;&gt;"",Tasks[[#This Row],[_Level]]=1),Tasks[[#This Row],[_Row]],"")</f>
        <v/>
      </c>
      <c r="GK45" s="43" t="str">
        <f aca="false">IF(AND(Tasks[[#This Row],[_IsLeaf]]=1,N(Tasks[[#This Row],[_Days]])=0),Tasks[[#This Row],[Planned Finish]]+Tasks[[#This Row],[_Row]]/100000,"")</f>
        <v/>
      </c>
      <c r="GL45" s="43" t="str">
        <f aca="false">IF(AND(Tasks[[#This Row],[_IsLeaf]]=1,Tasks[[#This Row],[_LeafProgress]]&lt;1,OR(N(Tasks[[#This Row],[Finish Var]])&gt;0,Tasks[[#This Row],[Status]]="Late Start")),MAX(0,Tasks[[#This Row],[Finish Var]])+1-Tasks[[#This Row],[_Row]]/1000000,"")</f>
        <v/>
      </c>
      <c r="GM45" s="43" t="str">
        <f aca="false">IF(AND(Tasks[[#This Row],[_IsLeaf]]=1,N(Tasks[[#This Row],[Actual Start]])=0,Tasks[[#This Row],[_ShownFcstStart]]&gt;=StatusDate,Tasks[[#This Row],[_ShownFcstStart]]&lt;=LookaheadEnd),Tasks[[#This Row],[_ShownFcstStart]]+Tasks[[#This Row],[_Row]]/100000,"")</f>
        <v/>
      </c>
      <c r="GN45" s="43" t="str">
        <f aca="false">IF(AND(Tasks[[#This Row],[_IsLeaf]]=1,Tasks[[#This Row],[_LeafProgress]]&lt;1,Tasks[[#This Row],[_ShownFcstFinish]]&gt;=StatusDate,Tasks[[#This Row],[_ShownFcstFinish]]&lt;=LookaheadEnd),Tasks[[#This Row],[_ShownFcstFinish]]+Tasks[[#This Row],[_Row]]/100000,"")</f>
        <v/>
      </c>
      <c r="GO45" s="43" t="str">
        <f aca="false">IF(Tasks[[#This Row],[_LeafCritical]],Tasks[[#This Row],[_ShownFcstStart]]+Tasks[[#This Row],[_Row]]/100000,"")</f>
        <v/>
      </c>
      <c r="GP45" s="43" t="n">
        <f aca="false">Tasks[[#This Row],[_LeafWork]]*Tasks[[#This Row],[_LeafProgress]]</f>
        <v>0</v>
      </c>
      <c r="GQ45" s="91" t="str">
        <f aca="false">IF(AND(Tasks[[#This Row],[_IsLeaf]]=1,Tasks[[#This Row],[_LeafProgress]]&gt;=1),IF(N(Tasks[[#This Row],[Actual Finish]])&gt;0,Tasks[[#This Row],[Actual Finish]],Tasks[[#This Row],[_ShownFcstFinish]]),"")</f>
        <v/>
      </c>
      <c r="GR45" s="43" t="n">
        <f aca="false">IF(Tasks[[#This Row],[_IsLeaf]]=1,N(Tasks[[#This Row],[Story Points]]),0)</f>
        <v>0</v>
      </c>
      <c r="GS45" s="43" t="str">
        <f aca="false">""</f>
        <v/>
      </c>
      <c r="GT45" s="90" t="b">
        <f aca="false">IF(Tasks[[#This Row],[Task Name]]="",FALSE(),AND(Tasks[[#This Row],[_IsLeaf]]=1,N(Tasks[[#This Row],[_Days]])=0))</f>
        <v>0</v>
      </c>
      <c r="GU45" s="91" t="n">
        <f aca="false">IF(Tasks[[#This Row],[Task Name]]="",0,IF(AND(Tasks[[#This Row],[_IsLeaf]]=1,NOT(Tasks[[#This Row],[_IsMilestone]]),N(Tasks[[#This Row],[Progress]])&gt;0),Tasks[[#This Row],[Start]],0))</f>
        <v>0</v>
      </c>
      <c r="GV45" s="91" t="n">
        <f aca="false">IF(Tasks[[#This Row],[_DoneFrom]]=0,0,IF(Tasks[[#This Row],[Progress]]&gt;=1,Tasks[[#This Row],[Finish]],MAX(Tasks[[#This Row],[_DoneFrom]],Tasks[[#This Row],[Start]]+ROUND((Tasks[[#This Row],[Finish]]-Tasks[[#This Row],[Start]]+1)*Tasks[[#This Row],[Progress]],0)-1)))</f>
        <v>0</v>
      </c>
      <c r="GW45" s="91" t="n">
        <f aca="false">IF(Tasks[[#This Row],[Task Name]]="",0,IF(OR(NOT(Tasks[[#This Row],[_IsLeaf]]=1),Tasks[[#This Row],[_IsMilestone]],N(Tasks[[#This Row],[Progress]])&gt;=1),0,IF(Tasks[[#This Row],[_DoneTo]]&gt;0,Tasks[[#This Row],[_DoneTo]]+1,Tasks[[#This Row],[Start]])))</f>
        <v>0</v>
      </c>
      <c r="GX45" s="91" t="n">
        <f aca="false">IF(Tasks[[#This Row],[_RemFrom]]=0,0,Tasks[[#This Row],[Finish]])</f>
        <v>0</v>
      </c>
      <c r="GY45" s="90" t="b">
        <f aca="false">IF(Tasks[[#This Row],[Task Name]]="",FALSE(),OR(NOT(BaselineSet),N(Tasks[[#This Row],[Baseline Start]])&gt;0))</f>
        <v>0</v>
      </c>
      <c r="GZ4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5" s="92" t="str">
        <f aca="false">IF(Tasks[[#This Row],[_IsLeaf]]=1,Tasks[[#This Row],[_Row]],"")</f>
        <v/>
      </c>
      <c r="HD45" s="92" t="str">
        <f aca="false">IFERROR(INDEX(Tasks[UID],SMALL(Tasks[_PickKey],Tasks[[#This Row],[_Row]]))&amp;" "&amp;INDEX(Tasks[Task Name],SMALL(Tasks[_PickKey],Tasks[[#This Row],[_Row]])),"")</f>
        <v/>
      </c>
      <c r="HE45" s="43" t="str">
        <f aca="false">IF(Tasks[[#This Row],[Task Name]]="","",IF(Tasks[[#This Row],[_IsSummary]],NETWORKDAYS.INTL(Tasks[[#This Row],[Start]],Tasks[[#This Row],[Finish]],WorkWeek,Holidays),N(Tasks[[#This Row],[_Days]])))</f>
        <v/>
      </c>
      <c r="HF45" s="43" t="n">
        <f aca="false">IF(Tasks[[#This Row],[Expected]]="",0,((Tasks[[#This Row],[Pessimistic]]-Tasks[[#This Row],[Optimistic]])/6)^2)</f>
        <v>0</v>
      </c>
      <c r="HG45" s="43" t="n">
        <f aca="false">IF(Tasks[[#This Row],[Expected]]="",0,Tasks[[#This Row],[Expected]]-N(Tasks[[#This Row],[_Days]]))</f>
        <v>0</v>
      </c>
    </row>
    <row r="46" customFormat="false" ht="15" hidden="false" customHeight="false" outlineLevel="0" collapsed="false">
      <c r="A46" s="21" t="str">
        <f aca="false">IF(Tasks[[#This Row],[Task Name]]="","",COUNTA(Tasks[[#Headers],[Task Name]]:Tasks[[#This Row],[Task Name]])-1)</f>
        <v/>
      </c>
      <c r="B46" s="22" t="n">
        <v>54</v>
      </c>
      <c r="C46" s="22"/>
      <c r="D46" s="23"/>
      <c r="E46" s="22"/>
      <c r="F46" s="23"/>
      <c r="G46" s="22"/>
      <c r="H46" s="22"/>
      <c r="I46" s="23"/>
      <c r="J46" s="22"/>
      <c r="K46" s="22"/>
      <c r="L46" s="23"/>
      <c r="M46" s="22"/>
      <c r="N46" s="22"/>
      <c r="O46" s="23"/>
      <c r="P46" s="22"/>
      <c r="Q46" s="22"/>
      <c r="R46" s="23"/>
      <c r="S46" s="23"/>
      <c r="T46" s="84"/>
      <c r="U46" s="23"/>
      <c r="V46" s="84"/>
      <c r="W46" s="23"/>
      <c r="X46" s="84"/>
      <c r="Y46" s="23"/>
      <c r="Z46" s="84"/>
      <c r="AA46" s="23"/>
      <c r="AB46" s="23"/>
      <c r="AC46" s="7"/>
      <c r="AD46" s="7"/>
      <c r="AE46" s="63" t="str">
        <f aca="false">IF(Tasks[[#This Row],[Task Name]]="","",IF(Tasks[[#This Row],[_IsSummary]],MIN(INDEX(Tasks[_ShownFcstStart],Tasks[[#This Row],[_Row]]+1):INDEX(Tasks[_ShownFcstStart],Tasks[[#This Row],[_Row]]+Tasks[[#This Row],[_Descendants]])),Tasks[[#This Row],[_ShownFcstStart]]))</f>
        <v/>
      </c>
      <c r="AF46" s="63" t="str">
        <f aca="false">IF(Tasks[[#This Row],[Task Name]]="","",IF(Tasks[[#This Row],[_IsSummary]],MAX(INDEX(Tasks[_ShownFcstFinish],Tasks[[#This Row],[_Row]]+1):INDEX(Tasks[_ShownFcstFinish],Tasks[[#This Row],[_Row]]+Tasks[[#This Row],[_Descendants]])),Tasks[[#This Row],[_ShownFcstFinish]]))</f>
        <v/>
      </c>
      <c r="AG46" s="21" t="str">
        <f aca="false">""</f>
        <v/>
      </c>
      <c r="AH46" s="23"/>
      <c r="AI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6" s="7"/>
      <c r="AK46" s="22"/>
      <c r="AL46" s="23"/>
      <c r="AM46" s="7"/>
      <c r="AN46" s="47" t="str">
        <f aca="false">IF(Tasks[[#This Row],[Task Name]]="","",IF(Tasks[[#This Row],[Finish]]&gt;=Tasks[[#This Row],[Planned Finish]],NETWORKDAYS.INTL(Tasks[[#This Row],[Planned Finish]],Tasks[[#This Row],[Finish]],WorkWeek,Holidays)-1,1-NETWORKDAYS.INTL(Tasks[[#This Row],[Finish]],Tasks[[#This Row],[Planned Finish]],WorkWeek,Holidays)))</f>
        <v/>
      </c>
      <c r="AO46" s="21" t="str">
        <f aca="false">IF(Tasks[[#This Row],[Task Name]]="","",IF(Tasks[[#This Row],[Progress]]&gt;=1,"Complete",IF(OR(N(Tasks[[#This Row],[Actual Start]])&gt;0,Tasks[[#This Row],[Progress]]&gt;0),IF(Tasks[[#This Row],[Finish Var]]&gt;0,"Behind","In Progress"),IF(Tasks[[#This Row],[Planned Start]]&lt;StatusDate,"Late Start","Not Started"))))</f>
        <v/>
      </c>
      <c r="AP46" s="21" t="str">
        <f aca="false">IF(Tasks[[#This Row],[Task Name]]="","",IF(IF(Tasks[[#This Row],[_IsSummary]],COUNTIF(INDEX(Tasks[_LeafCritical],Tasks[[#This Row],[_Row]]+1):INDEX(Tasks[_LeafCritical],Tasks[[#This Row],[_Row]]+Tasks[[#This Row],[_Descendants]]),TRUE())&gt;0,Tasks[[#This Row],[_LeafCritical]]),"Yes",""))</f>
        <v/>
      </c>
      <c r="AQ46" s="63" t="str">
        <f aca="false">IF(Tasks[[#This Row],[Task Name]]="","",IF(N(Tasks[[#This Row],[Baseline Start]])&gt;0,Tasks[[#This Row],[Baseline Start]],Tasks[[#This Row],[_CalcStart]]))</f>
        <v/>
      </c>
      <c r="AR46" s="63" t="str">
        <f aca="false">IF(Tasks[[#This Row],[Task Name]]="","",IF(N(Tasks[[#This Row],[Baseline Finish]])&gt;0,Tasks[[#This Row],[Baseline Finish]],Tasks[[#This Row],[_CalcFinish]]))</f>
        <v/>
      </c>
      <c r="AS46" s="47" t="str">
        <f aca="false">IF(Tasks[[#This Row],[Task Name]]="","",IF(Tasks[[#This Row],[Start]]&gt;=Tasks[[#This Row],[Planned Start]],NETWORKDAYS.INTL(Tasks[[#This Row],[Planned Start]],Tasks[[#This Row],[Start]],WorkWeek,Holidays)-1,1-NETWORKDAYS.INTL(Tasks[[#This Row],[Start]],Tasks[[#This Row],[Planned Start]],WorkWeek,Holidays)))</f>
        <v/>
      </c>
      <c r="AT46" s="63" t="str">
        <f aca="false">IF(Tasks[[#This Row],[Task Name]]="","",IF(Tasks[[#This Row],[_IsSummary]],MIN(INDEX(Tasks[_LeafLateStart],Tasks[[#This Row],[_Row]]+1):INDEX(Tasks[_LeafLateStart],Tasks[[#This Row],[_Row]]+Tasks[[#This Row],[_Descendants]])),Tasks[[#This Row],[_LeafLateStart]]))</f>
        <v/>
      </c>
      <c r="AU46" s="63" t="str">
        <f aca="false">IF(Tasks[[#This Row],[Task Name]]="","",IF(Tasks[[#This Row],[_IsSummary]],MAX(INDEX(Tasks[_LeafLateFinish],Tasks[[#This Row],[_Row]]+1):INDEX(Tasks[_LeafLateFinish],Tasks[[#This Row],[_Row]]+Tasks[[#This Row],[_Descendants]])),Tasks[[#This Row],[_LeafLateFinish]]))</f>
        <v/>
      </c>
      <c r="AV46" s="47" t="str">
        <f aca="false">IF(Tasks[[#This Row],[Task Name]]="","",IF(Tasks[[#This Row],[_IsSummary]],MIN(INDEX(Tasks[_LeafTotalSlack],Tasks[[#This Row],[_Row]]+1):INDEX(Tasks[_LeafTotalSlack],Tasks[[#This Row],[_Row]]+Tasks[[#This Row],[_Descendants]])),Tasks[[#This Row],[_LeafTotalSlack]]))</f>
        <v/>
      </c>
      <c r="AW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5"/>
      <c r="BA4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1" t="str">
        <f aca="false">IF(Tasks[[#This Row],[Task Name]]="","",IF(Tasks[[#This Row],[_Level]]&lt;=OutlineShowLevel,"Yes","No"))</f>
        <v/>
      </c>
      <c r="BE46" s="86" t="str">
        <f aca="false">IF(Tasks[[#This Row],[Task Name]]="","",IF(Tasks[[#This Row],[_IsSummary]],SUM(INDEX(Tasks[_LeafTotalWork],Tasks[[#This Row],[_Row]]+1):INDEX(Tasks[_LeafTotalWork],Tasks[[#This Row],[_Row]]+Tasks[[#This Row],[_Descendants]])),Tasks[[#This Row],[_LeafTotalWork]]))</f>
        <v/>
      </c>
      <c r="BF46" s="23"/>
      <c r="BG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6" s="21" t="str">
        <f aca="false">""</f>
        <v/>
      </c>
      <c r="BI46" s="87"/>
      <c r="BJ46" s="22"/>
      <c r="BK46" s="47" t="str">
        <f aca="false">IF(OR(Tasks[[#This Row],[Task Name]]="",Tasks[[#This Row],[Baseline Duration]]=""),"",Tasks[[#This Row],[_SpanDays]]-N(Tasks[[#This Row],[Baseline Duration]]))</f>
        <v/>
      </c>
      <c r="BL46" s="86" t="str">
        <f aca="false">IF(OR(Tasks[[#This Row],[Task Name]]="",Tasks[[#This Row],[Baseline Work]]=""),"",Tasks[[#This Row],[Work]]-N(Tasks[[#This Row],[Baseline Work]]))</f>
        <v/>
      </c>
      <c r="BM46" s="63" t="str">
        <f aca="false">IF(Tasks[[#This Row],[Task Name]]="","",IF(OR(TakeBaseline="Yes",N(Tasks[[#This Row],[Baseline Start]])=0),Tasks[[#This Row],[Start]],Tasks[[#This Row],[Baseline Start]]))</f>
        <v/>
      </c>
      <c r="BN46" s="63" t="str">
        <f aca="false">IF(Tasks[[#This Row],[Task Name]]="","",IF(OR(TakeBaseline="Yes",N(Tasks[[#This Row],[Baseline Finish]])=0),Tasks[[#This Row],[Finish]],Tasks[[#This Row],[Baseline Finish]]))</f>
        <v/>
      </c>
      <c r="BO46" s="21" t="str">
        <f aca="false">IF(Tasks[[#This Row],[Task Name]]="","",IF(OR(TakeBaseline="Yes",N(Tasks[[#This Row],[Baseline Duration]])=0),Tasks[[#This Row],[_SpanDays]],Tasks[[#This Row],[Baseline Duration]]))</f>
        <v/>
      </c>
      <c r="BP46" s="86" t="str">
        <f aca="false">IF(Tasks[[#This Row],[Task Name]]="","",IF(OR(TakeBaseline="Yes",N(Tasks[[#This Row],[Baseline Work]])=0),Tasks[[#This Row],[Work]],Tasks[[#This Row],[Baseline Work]]))</f>
        <v/>
      </c>
      <c r="BQ46" s="7"/>
      <c r="BR46" s="7"/>
      <c r="BS46" s="22"/>
      <c r="BT46" s="88"/>
      <c r="BU46" s="23"/>
      <c r="BV46" s="23"/>
      <c r="BW46" s="23"/>
      <c r="BX46" s="89" t="str">
        <f aca="false">IF(AND(Tasks[[#This Row],[_IsLeaf]]=1,ISNUMBER(Tasks[[#This Row],[Optimistic]]),ISNUMBER(Tasks[[#This Row],[Pessimistic]])),ROUND((Tasks[[#This Row],[Optimistic]]+4*N(Tasks[[#This Row],[_Days]])+Tasks[[#This Row],[Pessimistic]])/6,1),"")</f>
        <v/>
      </c>
      <c r="BY46" s="87"/>
      <c r="BZ46" s="87"/>
      <c r="CA46" s="22"/>
      <c r="CB46" s="43" t="str">
        <f aca="false">IF(Tasks[[#This Row],[Task Name]]="","",MAX(1,N(Tasks[[#This Row],[Level]])))</f>
        <v/>
      </c>
      <c r="CC46" s="43" t="n">
        <f aca="false">ROW()-ROW(Tasks[[#Headers],[ID]])</f>
        <v>41</v>
      </c>
      <c r="CD46" s="43" t="n">
        <f aca="false">IF(OR(Tasks[[#This Row],[Task Name]]="",Tasks[[#This Row],[_Level]]&lt;=1),0,IFERROR(LOOKUP(2,1/(Tasks[[#Headers],[_Level]]:Tasks[[#This Row],[_Level]]=Tasks[[#This Row],[_Level]]-1),ROW(Tasks[[#Headers],[_Level]]:Tasks[[#This Row],[_Level]])),0))</f>
        <v>0</v>
      </c>
      <c r="CE46" s="43" t="n">
        <f aca="false">IFERROR(N(INDEX(Tasks[_Level],Tasks[[#This Row],[_Row]]+1)),0)</f>
        <v>0</v>
      </c>
      <c r="CF46" s="90" t="b">
        <f aca="false">AND(Tasks[[#This Row],[Task Name]]&lt;&gt;"",Tasks[[#This Row],[_NextLevel]]&gt;Tasks[[#This Row],[_Level]])</f>
        <v>0</v>
      </c>
      <c r="CG46" s="43" t="n">
        <f aca="false">IF(Tasks[[#This Row],[_IsSummary]],COUNTIF(Tasks[WBS],Tasks[[#This Row],[WBS]]&amp;".*"),0)</f>
        <v>0</v>
      </c>
      <c r="CH46" s="43" t="n">
        <f aca="false">IF(AND(Tasks[[#This Row],[Task Name]]&lt;&gt;"",NOT(Tasks[[#This Row],[_IsSummary]])),1,0)</f>
        <v>0</v>
      </c>
      <c r="CI46" s="43" t="n">
        <f aca="false">IF(N(Tasks[[#This Row],[_Pred1UID]])=0,0,IFERROR(MATCH(Tasks[[#This Row],[_Pred1UID]],Tasks[UID],0),-1))</f>
        <v>0</v>
      </c>
      <c r="CJ46" s="43" t="n">
        <f aca="false">IF(N(Tasks[[#This Row],[_Pred2UID]])=0,0,IFERROR(MATCH(Tasks[[#This Row],[_Pred2UID]],Tasks[UID],0),-1))</f>
        <v>0</v>
      </c>
      <c r="CK46" s="43" t="n">
        <f aca="false">IF(N(Tasks[[#This Row],[_Pred3UID]])=0,0,IFERROR(MATCH(Tasks[[#This Row],[_Pred3UID]],Tasks[UID],0),-1))</f>
        <v>0</v>
      </c>
      <c r="CL46" s="43" t="n">
        <f aca="false">IF(N(Tasks[[#This Row],[_Pred4UID]])=0,0,IFERROR(MATCH(Tasks[[#This Row],[_Pred4UID]],Tasks[UID],0),-1))</f>
        <v>0</v>
      </c>
      <c r="CM4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6" s="91" t="n">
        <f aca="false">IF(OR(Tasks[[#This Row],[_ConstraintCode]]=2,Tasks[[#This Row],[_ConstraintCode]]=3,Tasks[[#This Row],[_ConstraintCode]]=4,Tasks[[#This Row],[_ConstraintCode]]=6),Tasks[[#This Row],[_ConstraintStart]],0)</f>
        <v>0</v>
      </c>
      <c r="CP46" s="91" t="n">
        <f aca="false">IF(OR(Tasks[[#This Row],[_ConstraintCode]]=2,Tasks[[#This Row],[_ConstraintCode]]=3,Tasks[[#This Row],[_ConstraintCode]]=5,Tasks[[#This Row],[_ConstraintCode]]=7),Tasks[[#This Row],[_ConstraintStart]],2958465)</f>
        <v>2958465</v>
      </c>
      <c r="CQ4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6" s="91" t="str">
        <f aca="false">IF(NOT(Tasks[[#This Row],[_IsLeaf]]=1),"",IF(N(Tasks[[#This Row],[_Days]])&lt;=0,Tasks[[#This Row],[_LeafCalcStart]],WORKDAY.INTL(Tasks[[#This Row],[_LeafCalcStart]],Tasks[[#This Row],[_Days]]-1,WorkWeek,Holidays)))</f>
        <v/>
      </c>
      <c r="CS4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6" s="43" t="str">
        <f aca="false">IF(Tasks[[#This Row],[_Predecessors]]="","",TRIM(MID(SUBSTITUTE(SUBSTITUTE(SUBSTITUTE(UPPER(Tasks[[#This Row],[_Predecessors]]),";",",")," ",""),",",REPT(" ",99)),1,99)))</f>
        <v/>
      </c>
      <c r="CV46" s="43" t="str">
        <f aca="false">IF(Tasks[[#This Row],[_Pred1Text]]="","",IFERROR(VALUE(LEFT(Tasks[[#This Row],[_Pred1Text]],MIN(FIND("F",Tasks[[#This Row],[_Pred1Text]]&amp;"F"),FIND("S",Tasks[[#This Row],[_Pred1Text]]&amp;"S"),FIND("+",Tasks[[#This Row],[_Pred1Text]]&amp;"+"),FIND("-",Tasks[[#This Row],[_Pred1Text]]&amp;"-"))-1)),""))</f>
        <v/>
      </c>
      <c r="CW4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6" s="43" t="str">
        <f aca="false">IF(Tasks[[#This Row],[_Pred1Text]]="","",TRIM(MID(SUBSTITUTE(SUBSTITUTE(SUBSTITUTE(UPPER(Tasks[[#This Row],[_Predecessors]]),";",",")," ",""),",",REPT(" ",99)),100,99)))</f>
        <v/>
      </c>
      <c r="CZ46" s="43" t="str">
        <f aca="false">IF(Tasks[[#This Row],[_Pred2Text]]="","",IFERROR(VALUE(LEFT(Tasks[[#This Row],[_Pred2Text]],MIN(FIND("F",Tasks[[#This Row],[_Pred2Text]]&amp;"F"),FIND("S",Tasks[[#This Row],[_Pred2Text]]&amp;"S"),FIND("+",Tasks[[#This Row],[_Pred2Text]]&amp;"+"),FIND("-",Tasks[[#This Row],[_Pred2Text]]&amp;"-"))-1)),""))</f>
        <v/>
      </c>
      <c r="DA4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6" s="43" t="str">
        <f aca="false">IF(Tasks[[#This Row],[_Pred2Text]]="","",TRIM(MID(SUBSTITUTE(SUBSTITUTE(SUBSTITUTE(UPPER(Tasks[[#This Row],[_Predecessors]]),";",",")," ",""),",",REPT(" ",99)),199,99)))</f>
        <v/>
      </c>
      <c r="DD46" s="43" t="str">
        <f aca="false">IF(Tasks[[#This Row],[_Pred3Text]]="","",IFERROR(VALUE(LEFT(Tasks[[#This Row],[_Pred3Text]],MIN(FIND("F",Tasks[[#This Row],[_Pred3Text]]&amp;"F"),FIND("S",Tasks[[#This Row],[_Pred3Text]]&amp;"S"),FIND("+",Tasks[[#This Row],[_Pred3Text]]&amp;"+"),FIND("-",Tasks[[#This Row],[_Pred3Text]]&amp;"-"))-1)),""))</f>
        <v/>
      </c>
      <c r="DE4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6" s="43" t="str">
        <f aca="false">IF(Tasks[[#This Row],[_Pred3Text]]="","",TRIM(MID(SUBSTITUTE(SUBSTITUTE(SUBSTITUTE(UPPER(Tasks[[#This Row],[_Predecessors]]),";",",")," ",""),",",REPT(" ",99)),298,99)))</f>
        <v/>
      </c>
      <c r="DH46" s="43" t="str">
        <f aca="false">IF(Tasks[[#This Row],[_Pred4Text]]="","",IFERROR(VALUE(LEFT(Tasks[[#This Row],[_Pred4Text]],MIN(FIND("F",Tasks[[#This Row],[_Pred4Text]]&amp;"F"),FIND("S",Tasks[[#This Row],[_Pred4Text]]&amp;"S"),FIND("+",Tasks[[#This Row],[_Pred4Text]]&amp;"+"),FIND("-",Tasks[[#This Row],[_Pred4Text]]&amp;"-"))-1)),""))</f>
        <v/>
      </c>
      <c r="DI4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6" s="43" t="str">
        <f aca="false">IF(OR(Tasks[[#This Row],[Task Name]]="",Tasks[[#This Row],[_Resources]]=""),"",TRIM(MID(SUBSTITUTE(Tasks[[#This Row],[_Resources]],",",REPT(" ",99)),1,99)))</f>
        <v/>
      </c>
      <c r="DL46" s="43" t="str">
        <f aca="false">IF(Tasks[[#This Row],[_Res1Text]]="","",TRIM(MID(SUBSTITUTE(Tasks[[#This Row],[_Resources]],",",REPT(" ",99)),100,99)))</f>
        <v/>
      </c>
      <c r="DM46" s="43" t="str">
        <f aca="false">IF(Tasks[[#This Row],[_Res2Text]]="","",TRIM(MID(SUBSTITUTE(Tasks[[#This Row],[_Resources]],",",REPT(" ",99)),199,99)))</f>
        <v/>
      </c>
      <c r="DN46" s="43" t="str">
        <f aca="false">IF(Tasks[[#This Row],[_Res3Text]]="","",TRIM(MID(SUBSTITUTE(Tasks[[#This Row],[_Resources]],",",REPT(" ",99)),298,99)))</f>
        <v/>
      </c>
      <c r="DO46" s="43" t="n">
        <f aca="false">IF(Tasks[[#This Row],[_Res1Text]]="",0,IFERROR(MATCH(TRIM(LEFT(Tasks[[#This Row],[_Res1Text]],FIND("[",Tasks[[#This Row],[_Res1Text]]&amp;"[")-1)),res_Name,0),IFERROR(MATCH(TRIM(LEFT(Tasks[[#This Row],[_Res1Text]],FIND("[",Tasks[[#This Row],[_Res1Text]]&amp;"[")-1)),res_Initials,0),0)))</f>
        <v>0</v>
      </c>
      <c r="DP46" s="43" t="n">
        <f aca="false">IF(Tasks[[#This Row],[_Res2Text]]="",0,IFERROR(MATCH(TRIM(LEFT(Tasks[[#This Row],[_Res2Text]],FIND("[",Tasks[[#This Row],[_Res2Text]]&amp;"[")-1)),res_Name,0),IFERROR(MATCH(TRIM(LEFT(Tasks[[#This Row],[_Res2Text]],FIND("[",Tasks[[#This Row],[_Res2Text]]&amp;"[")-1)),res_Initials,0),0)))</f>
        <v>0</v>
      </c>
      <c r="DQ46" s="43" t="n">
        <f aca="false">IF(Tasks[[#This Row],[_Res3Text]]="",0,IFERROR(MATCH(TRIM(LEFT(Tasks[[#This Row],[_Res3Text]],FIND("[",Tasks[[#This Row],[_Res3Text]]&amp;"[")-1)),res_Name,0),IFERROR(MATCH(TRIM(LEFT(Tasks[[#This Row],[_Res3Text]],FIND("[",Tasks[[#This Row],[_Res3Text]]&amp;"[")-1)),res_Initials,0),0)))</f>
        <v>0</v>
      </c>
      <c r="DR46" s="43" t="n">
        <f aca="false">IF(Tasks[[#This Row],[_Res4Text]]="",0,IFERROR(MATCH(TRIM(LEFT(Tasks[[#This Row],[_Res4Text]],FIND("[",Tasks[[#This Row],[_Res4Text]]&amp;"[")-1)),res_Name,0),IFERROR(MATCH(TRIM(LEFT(Tasks[[#This Row],[_Res4Text]],FIND("[",Tasks[[#This Row],[_Res4Text]]&amp;"[")-1)),res_Initials,0),0)))</f>
        <v>0</v>
      </c>
      <c r="DS46" s="43" t="str">
        <f aca="false">IF(Tasks[[#This Row],[_Res1Text]]="","",IF(Tasks[[#This Row],[_Res1Row]]&gt;0,INDEX(res_Name,Tasks[[#This Row],[_Res1Row]]),TRIM(LEFT(Tasks[[#This Row],[_Res1Text]],FIND("[",Tasks[[#This Row],[_Res1Text]]&amp;"[")-1))))</f>
        <v/>
      </c>
      <c r="DT4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6" s="43" t="n">
        <f aca="false">IF(NOT(Tasks[[#This Row],[_IsLeaf]]=1),0,(Tasks[[#This Row],[_Resource1]]&lt;&gt;"")+(Tasks[[#This Row],[_Res2]]&lt;&gt;"")+(Tasks[[#This Row],[_Res3]]&lt;&gt;"")+(Tasks[[#This Row],[_Res4]]&lt;&gt;""))</f>
        <v>0</v>
      </c>
      <c r="DV46" s="43" t="str">
        <f aca="false">IF(Tasks[[#This Row],[_Res2Text]]="","",IF(Tasks[[#This Row],[_Res2Row]]&gt;0,INDEX(res_Name,Tasks[[#This Row],[_Res2Row]]),TRIM(LEFT(Tasks[[#This Row],[_Res2Text]],FIND("[",Tasks[[#This Row],[_Res2Text]]&amp;"[")-1))))</f>
        <v/>
      </c>
      <c r="DW4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6" s="43" t="n">
        <f aca="false">IF(OR(NOT(Tasks[[#This Row],[_IsLeaf]]=1),Tasks[[#This Row],[_Res2Row]]=0),0,N(Tasks[[#This Row],[_Days]])*HoursPerDay*IF(Tasks[[#This Row],[_Res2Units]]="",DefaultUnits,Tasks[[#This Row],[_Res2Units]]))</f>
        <v>0</v>
      </c>
      <c r="DY46" s="43" t="n">
        <f aca="false">IF(AND(AND(Tasks[[#This Row],[_IsLeaf]]=1,Tasks[[#This Row],[_LeafTotalWork]]&gt;0),Tasks[[#This Row],[_Res2Work]]&gt;0),Tasks[[#This Row],[_Res2Work]]/(Tasks[[#This Row],[_FinishWorkday]]-Tasks[[#This Row],[_StartWorkday]]+1),0)</f>
        <v>0</v>
      </c>
      <c r="DZ46" s="43" t="n">
        <f aca="false">Tasks[[#This Row],[_Res2WorkPerWD]]*MAX(0,Tasks[[#This Row],[_StartWorkday]]-1)</f>
        <v>0</v>
      </c>
      <c r="EA46" s="43" t="n">
        <f aca="false">Tasks[[#This Row],[_Res2Work]]*Tasks[[#This Row],[_LeafProgress]]</f>
        <v>0</v>
      </c>
      <c r="EB46" s="43" t="str">
        <f aca="false">IF(Tasks[[#This Row],[_Res3Text]]="","",IF(Tasks[[#This Row],[_Res3Row]]&gt;0,INDEX(res_Name,Tasks[[#This Row],[_Res3Row]]),TRIM(LEFT(Tasks[[#This Row],[_Res3Text]],FIND("[",Tasks[[#This Row],[_Res3Text]]&amp;"[")-1))))</f>
        <v/>
      </c>
      <c r="EC4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6" s="43" t="n">
        <f aca="false">IF(OR(NOT(Tasks[[#This Row],[_IsLeaf]]=1),Tasks[[#This Row],[_Res3Row]]=0),0,N(Tasks[[#This Row],[_Days]])*HoursPerDay*IF(Tasks[[#This Row],[_Res3Units]]="",DefaultUnits,Tasks[[#This Row],[_Res3Units]]))</f>
        <v>0</v>
      </c>
      <c r="EE46" s="43" t="n">
        <f aca="false">IF(AND(AND(Tasks[[#This Row],[_IsLeaf]]=1,Tasks[[#This Row],[_LeafTotalWork]]&gt;0),Tasks[[#This Row],[_Res3Work]]&gt;0),Tasks[[#This Row],[_Res3Work]]/(Tasks[[#This Row],[_FinishWorkday]]-Tasks[[#This Row],[_StartWorkday]]+1),0)</f>
        <v>0</v>
      </c>
      <c r="EF46" s="43" t="n">
        <f aca="false">Tasks[[#This Row],[_Res3WorkPerWD]]*MAX(0,Tasks[[#This Row],[_StartWorkday]]-1)</f>
        <v>0</v>
      </c>
      <c r="EG46" s="43" t="n">
        <f aca="false">Tasks[[#This Row],[_Res3Work]]*Tasks[[#This Row],[_LeafProgress]]</f>
        <v>0</v>
      </c>
      <c r="EH46" s="43" t="str">
        <f aca="false">IF(Tasks[[#This Row],[_Res4Text]]="","",IF(Tasks[[#This Row],[_Res4Row]]&gt;0,INDEX(res_Name,Tasks[[#This Row],[_Res4Row]]),TRIM(LEFT(Tasks[[#This Row],[_Res4Text]],FIND("[",Tasks[[#This Row],[_Res4Text]]&amp;"[")-1))))</f>
        <v/>
      </c>
      <c r="EI4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6" s="43" t="n">
        <f aca="false">IF(OR(NOT(Tasks[[#This Row],[_IsLeaf]]=1),Tasks[[#This Row],[_Res4Row]]=0),0,N(Tasks[[#This Row],[_Days]])*HoursPerDay*IF(Tasks[[#This Row],[_Res4Units]]="",DefaultUnits,Tasks[[#This Row],[_Res4Units]]))</f>
        <v>0</v>
      </c>
      <c r="EK46" s="43" t="n">
        <f aca="false">IF(AND(AND(Tasks[[#This Row],[_IsLeaf]]=1,Tasks[[#This Row],[_LeafTotalWork]]&gt;0),Tasks[[#This Row],[_Res4Work]]&gt;0),Tasks[[#This Row],[_Res4Work]]/(Tasks[[#This Row],[_FinishWorkday]]-Tasks[[#This Row],[_StartWorkday]]+1),0)</f>
        <v>0</v>
      </c>
      <c r="EL46" s="43" t="n">
        <f aca="false">Tasks[[#This Row],[_Res4WorkPerWD]]*MAX(0,Tasks[[#This Row],[_StartWorkday]]-1)</f>
        <v>0</v>
      </c>
      <c r="EM46" s="43" t="n">
        <f aca="false">Tasks[[#This Row],[_Res4Work]]*Tasks[[#This Row],[_LeafProgress]]</f>
        <v>0</v>
      </c>
      <c r="EN46" s="43" t="n">
        <f aca="false">IF(ISNUMBER(Tasks[[#This Row],[% Complete]]),Tasks[[#This Row],[% Complete]],IF(Tasks[[#This Row],[Stage]]="",0,IFERROR(INDEX(stg_Pct,MATCH(Tasks[[#This Row],[Stage]],stg_Name,0)),0)))</f>
        <v>0</v>
      </c>
      <c r="EO46" s="43" t="n">
        <f aca="false">IF(NOT(Tasks[[#This Row],[_IsLeaf]]=1),0,IF(N(Tasks[[#This Row],[Actual Finish]])&gt;0,1,MIN(1,Tasks[[#This Row],[_Pct]])))</f>
        <v>0</v>
      </c>
      <c r="EP46" s="43" t="n">
        <f aca="false">IF(OR(NOT(Tasks[[#This Row],[_IsLeaf]]=1),Tasks[[#This Row],[_Res1Row]]=0),0,N(Tasks[[#This Row],[_Days]])*HoursPerDay*IF(Tasks[[#This Row],[_Units1]]="",DefaultUnits,Tasks[[#This Row],[_Units1]]))</f>
        <v>0</v>
      </c>
      <c r="EQ46" s="43" t="n">
        <f aca="false">Tasks[[#This Row],[_LeafWork]]+Tasks[[#This Row],[_Res2Work]]+Tasks[[#This Row],[_Res3Work]]+Tasks[[#This Row],[_Res4Work]]</f>
        <v>0</v>
      </c>
      <c r="ER4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6" s="43" t="n">
        <f aca="false">IF(NOT(Tasks[[#This Row],[_IsLeaf]]=1),0,MAX(_xlfn.MAXIFS(Tasks[_Row],Tasks[_Pred1UID],Tasks[[#This Row],[UID]]),_xlfn.MAXIFS(Tasks[_Row],Tasks[_Pred2UID],Tasks[[#This Row],[UID]]),_xlfn.MAXIFS(Tasks[_Row],Tasks[_Pred3UID],Tasks[[#This Row],[UID]]),_xlfn.MAXIFS(Tasks[_Row],Tasks[_Pred4UID],Tasks[[#This Row],[UID]])))</f>
        <v>0</v>
      </c>
      <c r="FA4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6" s="91" t="str">
        <f aca="false">IF(NOT(Tasks[[#This Row],[_IsLeaf]]=1),"",IF(N(Tasks[[#This Row],[_Days]])&lt;=0,Tasks[[#This Row],[_LeafLateFinish]],WORKDAY.INTL(Tasks[[#This Row],[_LeafLateFinish]],-(Tasks[[#This Row],[_Days]]-1),WorkWeek,Holidays)))</f>
        <v/>
      </c>
      <c r="FD4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6" s="90" t="b">
        <f aca="false">AND(Tasks[[#This Row],[_IsLeaf]]=1,Tasks[[#This Row],[_LeafProgress]]&lt;1,N(Tasks[[#This Row],[_LeafTotalSlack]])&lt;=CriticalSlackDays)</f>
        <v>0</v>
      </c>
      <c r="FF46" s="43" t="n">
        <f aca="false">IF(AND(Tasks[[#This Row],[_IsLeaf]]=1,Tasks[[#This Row],[_ConstraintCode]]=1,Tasks[[#This Row],[Mode]]&lt;&gt;"Manual",N(Tasks[[#This Row],[Actual Start]])=0),MAX(0,N(Tasks[[#This Row],[Free Slack]])),0)</f>
        <v>0</v>
      </c>
      <c r="FG46" s="91" t="str">
        <f aca="false">IF(NOT(Tasks[[#This Row],[_IsLeaf]]=1),"",IF(Tasks[[#This Row],[_AlapShift]]=0,Tasks[[#This Row],[_LeafCalcStart]],WORKDAY.INTL(Tasks[[#This Row],[_LeafCalcStart]],Tasks[[#This Row],[_AlapShift]],WorkWeek,Holidays)))</f>
        <v/>
      </c>
      <c r="FH46" s="91" t="str">
        <f aca="false">IF(NOT(Tasks[[#This Row],[_IsLeaf]]=1),"",IF(Tasks[[#This Row],[_AlapShift]]=0,Tasks[[#This Row],[_LeafCalcFinish]],WORKDAY.INTL(Tasks[[#This Row],[_LeafCalcFinish]],Tasks[[#This Row],[_AlapShift]],WorkWeek,Holidays)))</f>
        <v/>
      </c>
      <c r="FI46" s="91" t="str">
        <f aca="false">IF(NOT(Tasks[[#This Row],[_IsLeaf]]=1),"",IF(Tasks[[#This Row],[_AlapShift]]=0,Tasks[[#This Row],[_LeafFcstStart]],WORKDAY.INTL(Tasks[[#This Row],[_LeafFcstStart]],Tasks[[#This Row],[_AlapShift]],WorkWeek,Holidays)))</f>
        <v/>
      </c>
      <c r="FJ46" s="91" t="str">
        <f aca="false">IF(NOT(Tasks[[#This Row],[_IsLeaf]]=1),"",IF(Tasks[[#This Row],[_AlapShift]]=0,Tasks[[#This Row],[_LeafFcstFinish]],WORKDAY.INTL(Tasks[[#This Row],[_LeafFcstFinish]],Tasks[[#This Row],[_AlapShift]],WorkWeek,Holidays)))</f>
        <v/>
      </c>
      <c r="FK46" s="91" t="str">
        <f aca="false">IF(Tasks[[#This Row],[Task Name]]="","",IF(Tasks[[#This Row],[_IsSummary]],MIN(INDEX(Tasks[_ShownCalcStart],Tasks[[#This Row],[_Row]]+1):INDEX(Tasks[_ShownCalcStart],Tasks[[#This Row],[_Row]]+Tasks[[#This Row],[_Descendants]])),Tasks[[#This Row],[_ShownCalcStart]]))</f>
        <v/>
      </c>
      <c r="FL46" s="91" t="str">
        <f aca="false">IF(Tasks[[#This Row],[Task Name]]="","",IF(Tasks[[#This Row],[_IsSummary]],MAX(INDEX(Tasks[_ShownCalcFinish],Tasks[[#This Row],[_Row]]+1):INDEX(Tasks[_ShownCalcFinish],Tasks[[#This Row],[_Row]]+Tasks[[#This Row],[_Descendants]])),Tasks[[#This Row],[_ShownCalcFinish]]))</f>
        <v/>
      </c>
      <c r="FM4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6" s="43" t="n">
        <f aca="false">IF(AND(Tasks[[#This Row],[_IsLeaf]]=1,Tasks[[#This Row],[_LeafTotalWork]]&gt;0),NETWORKDAYS.INTL(ProjectStart,Tasks[[#This Row],[_ShownFcstStart]],WorkWeek,Holidays),0)</f>
        <v>0</v>
      </c>
      <c r="FZ46" s="43" t="n">
        <f aca="false">IF(AND(Tasks[[#This Row],[_IsLeaf]]=1,Tasks[[#This Row],[_LeafTotalWork]]&gt;0),MAX(Tasks[[#This Row],[_StartWorkday]],NETWORKDAYS.INTL(ProjectStart,Tasks[[#This Row],[_ShownFcstFinish]],WorkWeek,Holidays)),0)</f>
        <v>0</v>
      </c>
      <c r="GA46" s="43" t="n">
        <f aca="false">IF(AND(Tasks[[#This Row],[_IsLeaf]]=1,Tasks[[#This Row],[_LeafTotalWork]]&gt;0),Tasks[[#This Row],[_LeafWork]]/(Tasks[[#This Row],[_FinishWorkday]]-Tasks[[#This Row],[_StartWorkday]]+1),0)</f>
        <v>0</v>
      </c>
      <c r="GB46" s="43" t="n">
        <f aca="false">Tasks[[#This Row],[_WorkPerWorkday]]*(Tasks[[#This Row],[_StartWorkday]]-1)</f>
        <v>-0</v>
      </c>
      <c r="GC46" s="43" t="n">
        <f aca="false">IF(Tasks[[#This Row],[_IsLeaf]]=1,MAX(N(Tasks[[#This Row],[_Days]]),0.1),0)</f>
        <v>0</v>
      </c>
      <c r="GD46" s="43" t="n">
        <f aca="false">Tasks[[#This Row],[_WeightDur]]*Tasks[[#This Row],[_LeafProgress]]</f>
        <v>0</v>
      </c>
      <c r="GE46" s="43" t="n">
        <f aca="false">Tasks[[#This Row],[_WeightDur]]*Tasks[[#This Row],[_PlannedPct]]</f>
        <v>0</v>
      </c>
      <c r="GF4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6" s="43" t="str">
        <f aca="false">IF(AND(Tasks[[#This Row],[_IsLeaf]]=1,N(Tasks[[#This Row],[_Days]])=0,Tasks[[#This Row],[_LeafProgress]]&lt;1),Tasks[[#This Row],[_ShownFcstFinish]]+Tasks[[#This Row],[_Row]]/100000,"")</f>
        <v/>
      </c>
      <c r="GH4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6" s="43" t="str">
        <f aca="false">IF(Tasks[[#This Row],[Task Name]]="","",LEFT(Tasks[[#This Row],[WBS]],FIND(".",Tasks[[#This Row],[WBS]]&amp;".")-1))</f>
        <v/>
      </c>
      <c r="GJ46" s="43" t="str">
        <f aca="false">IF(AND(Tasks[[#This Row],[Task Name]]&lt;&gt;"",Tasks[[#This Row],[_Level]]=1),Tasks[[#This Row],[_Row]],"")</f>
        <v/>
      </c>
      <c r="GK46" s="43" t="str">
        <f aca="false">IF(AND(Tasks[[#This Row],[_IsLeaf]]=1,N(Tasks[[#This Row],[_Days]])=0),Tasks[[#This Row],[Planned Finish]]+Tasks[[#This Row],[_Row]]/100000,"")</f>
        <v/>
      </c>
      <c r="GL46" s="43" t="str">
        <f aca="false">IF(AND(Tasks[[#This Row],[_IsLeaf]]=1,Tasks[[#This Row],[_LeafProgress]]&lt;1,OR(N(Tasks[[#This Row],[Finish Var]])&gt;0,Tasks[[#This Row],[Status]]="Late Start")),MAX(0,Tasks[[#This Row],[Finish Var]])+1-Tasks[[#This Row],[_Row]]/1000000,"")</f>
        <v/>
      </c>
      <c r="GM46" s="43" t="str">
        <f aca="false">IF(AND(Tasks[[#This Row],[_IsLeaf]]=1,N(Tasks[[#This Row],[Actual Start]])=0,Tasks[[#This Row],[_ShownFcstStart]]&gt;=StatusDate,Tasks[[#This Row],[_ShownFcstStart]]&lt;=LookaheadEnd),Tasks[[#This Row],[_ShownFcstStart]]+Tasks[[#This Row],[_Row]]/100000,"")</f>
        <v/>
      </c>
      <c r="GN46" s="43" t="str">
        <f aca="false">IF(AND(Tasks[[#This Row],[_IsLeaf]]=1,Tasks[[#This Row],[_LeafProgress]]&lt;1,Tasks[[#This Row],[_ShownFcstFinish]]&gt;=StatusDate,Tasks[[#This Row],[_ShownFcstFinish]]&lt;=LookaheadEnd),Tasks[[#This Row],[_ShownFcstFinish]]+Tasks[[#This Row],[_Row]]/100000,"")</f>
        <v/>
      </c>
      <c r="GO46" s="43" t="str">
        <f aca="false">IF(Tasks[[#This Row],[_LeafCritical]],Tasks[[#This Row],[_ShownFcstStart]]+Tasks[[#This Row],[_Row]]/100000,"")</f>
        <v/>
      </c>
      <c r="GP46" s="43" t="n">
        <f aca="false">Tasks[[#This Row],[_LeafWork]]*Tasks[[#This Row],[_LeafProgress]]</f>
        <v>0</v>
      </c>
      <c r="GQ46" s="91" t="str">
        <f aca="false">IF(AND(Tasks[[#This Row],[_IsLeaf]]=1,Tasks[[#This Row],[_LeafProgress]]&gt;=1),IF(N(Tasks[[#This Row],[Actual Finish]])&gt;0,Tasks[[#This Row],[Actual Finish]],Tasks[[#This Row],[_ShownFcstFinish]]),"")</f>
        <v/>
      </c>
      <c r="GR46" s="43" t="n">
        <f aca="false">IF(Tasks[[#This Row],[_IsLeaf]]=1,N(Tasks[[#This Row],[Story Points]]),0)</f>
        <v>0</v>
      </c>
      <c r="GS46" s="43" t="str">
        <f aca="false">""</f>
        <v/>
      </c>
      <c r="GT46" s="90" t="b">
        <f aca="false">IF(Tasks[[#This Row],[Task Name]]="",FALSE(),AND(Tasks[[#This Row],[_IsLeaf]]=1,N(Tasks[[#This Row],[_Days]])=0))</f>
        <v>0</v>
      </c>
      <c r="GU46" s="91" t="n">
        <f aca="false">IF(Tasks[[#This Row],[Task Name]]="",0,IF(AND(Tasks[[#This Row],[_IsLeaf]]=1,NOT(Tasks[[#This Row],[_IsMilestone]]),N(Tasks[[#This Row],[Progress]])&gt;0),Tasks[[#This Row],[Start]],0))</f>
        <v>0</v>
      </c>
      <c r="GV46" s="91" t="n">
        <f aca="false">IF(Tasks[[#This Row],[_DoneFrom]]=0,0,IF(Tasks[[#This Row],[Progress]]&gt;=1,Tasks[[#This Row],[Finish]],MAX(Tasks[[#This Row],[_DoneFrom]],Tasks[[#This Row],[Start]]+ROUND((Tasks[[#This Row],[Finish]]-Tasks[[#This Row],[Start]]+1)*Tasks[[#This Row],[Progress]],0)-1)))</f>
        <v>0</v>
      </c>
      <c r="GW46" s="91" t="n">
        <f aca="false">IF(Tasks[[#This Row],[Task Name]]="",0,IF(OR(NOT(Tasks[[#This Row],[_IsLeaf]]=1),Tasks[[#This Row],[_IsMilestone]],N(Tasks[[#This Row],[Progress]])&gt;=1),0,IF(Tasks[[#This Row],[_DoneTo]]&gt;0,Tasks[[#This Row],[_DoneTo]]+1,Tasks[[#This Row],[Start]])))</f>
        <v>0</v>
      </c>
      <c r="GX46" s="91" t="n">
        <f aca="false">IF(Tasks[[#This Row],[_RemFrom]]=0,0,Tasks[[#This Row],[Finish]])</f>
        <v>0</v>
      </c>
      <c r="GY46" s="90" t="b">
        <f aca="false">IF(Tasks[[#This Row],[Task Name]]="",FALSE(),OR(NOT(BaselineSet),N(Tasks[[#This Row],[Baseline Start]])&gt;0))</f>
        <v>0</v>
      </c>
      <c r="GZ4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6" s="92" t="str">
        <f aca="false">IF(Tasks[[#This Row],[_IsLeaf]]=1,Tasks[[#This Row],[_Row]],"")</f>
        <v/>
      </c>
      <c r="HD46" s="92" t="str">
        <f aca="false">IFERROR(INDEX(Tasks[UID],SMALL(Tasks[_PickKey],Tasks[[#This Row],[_Row]]))&amp;" "&amp;INDEX(Tasks[Task Name],SMALL(Tasks[_PickKey],Tasks[[#This Row],[_Row]])),"")</f>
        <v/>
      </c>
      <c r="HE46" s="43" t="str">
        <f aca="false">IF(Tasks[[#This Row],[Task Name]]="","",IF(Tasks[[#This Row],[_IsSummary]],NETWORKDAYS.INTL(Tasks[[#This Row],[Start]],Tasks[[#This Row],[Finish]],WorkWeek,Holidays),N(Tasks[[#This Row],[_Days]])))</f>
        <v/>
      </c>
      <c r="HF46" s="43" t="n">
        <f aca="false">IF(Tasks[[#This Row],[Expected]]="",0,((Tasks[[#This Row],[Pessimistic]]-Tasks[[#This Row],[Optimistic]])/6)^2)</f>
        <v>0</v>
      </c>
      <c r="HG46" s="43" t="n">
        <f aca="false">IF(Tasks[[#This Row],[Expected]]="",0,Tasks[[#This Row],[Expected]]-N(Tasks[[#This Row],[_Days]]))</f>
        <v>0</v>
      </c>
    </row>
    <row r="47" customFormat="false" ht="15" hidden="false" customHeight="false" outlineLevel="0" collapsed="false">
      <c r="A47" s="21" t="str">
        <f aca="false">IF(Tasks[[#This Row],[Task Name]]="","",COUNTA(Tasks[[#Headers],[Task Name]]:Tasks[[#This Row],[Task Name]])-1)</f>
        <v/>
      </c>
      <c r="B47" s="22" t="n">
        <v>55</v>
      </c>
      <c r="C47" s="22"/>
      <c r="D47" s="23"/>
      <c r="E47" s="22"/>
      <c r="F47" s="23"/>
      <c r="G47" s="22"/>
      <c r="H47" s="22"/>
      <c r="I47" s="23"/>
      <c r="J47" s="22"/>
      <c r="K47" s="22"/>
      <c r="L47" s="23"/>
      <c r="M47" s="22"/>
      <c r="N47" s="22"/>
      <c r="O47" s="23"/>
      <c r="P47" s="22"/>
      <c r="Q47" s="22"/>
      <c r="R47" s="23"/>
      <c r="S47" s="23"/>
      <c r="T47" s="84"/>
      <c r="U47" s="23"/>
      <c r="V47" s="84"/>
      <c r="W47" s="23"/>
      <c r="X47" s="84"/>
      <c r="Y47" s="23"/>
      <c r="Z47" s="84"/>
      <c r="AA47" s="23"/>
      <c r="AB47" s="23"/>
      <c r="AC47" s="7"/>
      <c r="AD47" s="7"/>
      <c r="AE47" s="63" t="str">
        <f aca="false">IF(Tasks[[#This Row],[Task Name]]="","",IF(Tasks[[#This Row],[_IsSummary]],MIN(INDEX(Tasks[_ShownFcstStart],Tasks[[#This Row],[_Row]]+1):INDEX(Tasks[_ShownFcstStart],Tasks[[#This Row],[_Row]]+Tasks[[#This Row],[_Descendants]])),Tasks[[#This Row],[_ShownFcstStart]]))</f>
        <v/>
      </c>
      <c r="AF47" s="63" t="str">
        <f aca="false">IF(Tasks[[#This Row],[Task Name]]="","",IF(Tasks[[#This Row],[_IsSummary]],MAX(INDEX(Tasks[_ShownFcstFinish],Tasks[[#This Row],[_Row]]+1):INDEX(Tasks[_ShownFcstFinish],Tasks[[#This Row],[_Row]]+Tasks[[#This Row],[_Descendants]])),Tasks[[#This Row],[_ShownFcstFinish]]))</f>
        <v/>
      </c>
      <c r="AG47" s="21" t="str">
        <f aca="false">""</f>
        <v/>
      </c>
      <c r="AH47" s="23"/>
      <c r="AI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7" s="7"/>
      <c r="AK47" s="22"/>
      <c r="AL47" s="23"/>
      <c r="AM47" s="7"/>
      <c r="AN47" s="47" t="str">
        <f aca="false">IF(Tasks[[#This Row],[Task Name]]="","",IF(Tasks[[#This Row],[Finish]]&gt;=Tasks[[#This Row],[Planned Finish]],NETWORKDAYS.INTL(Tasks[[#This Row],[Planned Finish]],Tasks[[#This Row],[Finish]],WorkWeek,Holidays)-1,1-NETWORKDAYS.INTL(Tasks[[#This Row],[Finish]],Tasks[[#This Row],[Planned Finish]],WorkWeek,Holidays)))</f>
        <v/>
      </c>
      <c r="AO47" s="21" t="str">
        <f aca="false">IF(Tasks[[#This Row],[Task Name]]="","",IF(Tasks[[#This Row],[Progress]]&gt;=1,"Complete",IF(OR(N(Tasks[[#This Row],[Actual Start]])&gt;0,Tasks[[#This Row],[Progress]]&gt;0),IF(Tasks[[#This Row],[Finish Var]]&gt;0,"Behind","In Progress"),IF(Tasks[[#This Row],[Planned Start]]&lt;StatusDate,"Late Start","Not Started"))))</f>
        <v/>
      </c>
      <c r="AP47" s="21" t="str">
        <f aca="false">IF(Tasks[[#This Row],[Task Name]]="","",IF(IF(Tasks[[#This Row],[_IsSummary]],COUNTIF(INDEX(Tasks[_LeafCritical],Tasks[[#This Row],[_Row]]+1):INDEX(Tasks[_LeafCritical],Tasks[[#This Row],[_Row]]+Tasks[[#This Row],[_Descendants]]),TRUE())&gt;0,Tasks[[#This Row],[_LeafCritical]]),"Yes",""))</f>
        <v/>
      </c>
      <c r="AQ47" s="63" t="str">
        <f aca="false">IF(Tasks[[#This Row],[Task Name]]="","",IF(N(Tasks[[#This Row],[Baseline Start]])&gt;0,Tasks[[#This Row],[Baseline Start]],Tasks[[#This Row],[_CalcStart]]))</f>
        <v/>
      </c>
      <c r="AR47" s="63" t="str">
        <f aca="false">IF(Tasks[[#This Row],[Task Name]]="","",IF(N(Tasks[[#This Row],[Baseline Finish]])&gt;0,Tasks[[#This Row],[Baseline Finish]],Tasks[[#This Row],[_CalcFinish]]))</f>
        <v/>
      </c>
      <c r="AS47" s="47" t="str">
        <f aca="false">IF(Tasks[[#This Row],[Task Name]]="","",IF(Tasks[[#This Row],[Start]]&gt;=Tasks[[#This Row],[Planned Start]],NETWORKDAYS.INTL(Tasks[[#This Row],[Planned Start]],Tasks[[#This Row],[Start]],WorkWeek,Holidays)-1,1-NETWORKDAYS.INTL(Tasks[[#This Row],[Start]],Tasks[[#This Row],[Planned Start]],WorkWeek,Holidays)))</f>
        <v/>
      </c>
      <c r="AT47" s="63" t="str">
        <f aca="false">IF(Tasks[[#This Row],[Task Name]]="","",IF(Tasks[[#This Row],[_IsSummary]],MIN(INDEX(Tasks[_LeafLateStart],Tasks[[#This Row],[_Row]]+1):INDEX(Tasks[_LeafLateStart],Tasks[[#This Row],[_Row]]+Tasks[[#This Row],[_Descendants]])),Tasks[[#This Row],[_LeafLateStart]]))</f>
        <v/>
      </c>
      <c r="AU47" s="63" t="str">
        <f aca="false">IF(Tasks[[#This Row],[Task Name]]="","",IF(Tasks[[#This Row],[_IsSummary]],MAX(INDEX(Tasks[_LeafLateFinish],Tasks[[#This Row],[_Row]]+1):INDEX(Tasks[_LeafLateFinish],Tasks[[#This Row],[_Row]]+Tasks[[#This Row],[_Descendants]])),Tasks[[#This Row],[_LeafLateFinish]]))</f>
        <v/>
      </c>
      <c r="AV47" s="47" t="str">
        <f aca="false">IF(Tasks[[#This Row],[Task Name]]="","",IF(Tasks[[#This Row],[_IsSummary]],MIN(INDEX(Tasks[_LeafTotalSlack],Tasks[[#This Row],[_Row]]+1):INDEX(Tasks[_LeafTotalSlack],Tasks[[#This Row],[_Row]]+Tasks[[#This Row],[_Descendants]])),Tasks[[#This Row],[_LeafTotalSlack]]))</f>
        <v/>
      </c>
      <c r="AW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5"/>
      <c r="BA4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1" t="str">
        <f aca="false">IF(Tasks[[#This Row],[Task Name]]="","",IF(Tasks[[#This Row],[_Level]]&lt;=OutlineShowLevel,"Yes","No"))</f>
        <v/>
      </c>
      <c r="BE47" s="86" t="str">
        <f aca="false">IF(Tasks[[#This Row],[Task Name]]="","",IF(Tasks[[#This Row],[_IsSummary]],SUM(INDEX(Tasks[_LeafTotalWork],Tasks[[#This Row],[_Row]]+1):INDEX(Tasks[_LeafTotalWork],Tasks[[#This Row],[_Row]]+Tasks[[#This Row],[_Descendants]])),Tasks[[#This Row],[_LeafTotalWork]]))</f>
        <v/>
      </c>
      <c r="BF47" s="23"/>
      <c r="BG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7" s="21" t="str">
        <f aca="false">""</f>
        <v/>
      </c>
      <c r="BI47" s="87"/>
      <c r="BJ47" s="22"/>
      <c r="BK47" s="47" t="str">
        <f aca="false">IF(OR(Tasks[[#This Row],[Task Name]]="",Tasks[[#This Row],[Baseline Duration]]=""),"",Tasks[[#This Row],[_SpanDays]]-N(Tasks[[#This Row],[Baseline Duration]]))</f>
        <v/>
      </c>
      <c r="BL47" s="86" t="str">
        <f aca="false">IF(OR(Tasks[[#This Row],[Task Name]]="",Tasks[[#This Row],[Baseline Work]]=""),"",Tasks[[#This Row],[Work]]-N(Tasks[[#This Row],[Baseline Work]]))</f>
        <v/>
      </c>
      <c r="BM47" s="63" t="str">
        <f aca="false">IF(Tasks[[#This Row],[Task Name]]="","",IF(OR(TakeBaseline="Yes",N(Tasks[[#This Row],[Baseline Start]])=0),Tasks[[#This Row],[Start]],Tasks[[#This Row],[Baseline Start]]))</f>
        <v/>
      </c>
      <c r="BN47" s="63" t="str">
        <f aca="false">IF(Tasks[[#This Row],[Task Name]]="","",IF(OR(TakeBaseline="Yes",N(Tasks[[#This Row],[Baseline Finish]])=0),Tasks[[#This Row],[Finish]],Tasks[[#This Row],[Baseline Finish]]))</f>
        <v/>
      </c>
      <c r="BO47" s="21" t="str">
        <f aca="false">IF(Tasks[[#This Row],[Task Name]]="","",IF(OR(TakeBaseline="Yes",N(Tasks[[#This Row],[Baseline Duration]])=0),Tasks[[#This Row],[_SpanDays]],Tasks[[#This Row],[Baseline Duration]]))</f>
        <v/>
      </c>
      <c r="BP47" s="86" t="str">
        <f aca="false">IF(Tasks[[#This Row],[Task Name]]="","",IF(OR(TakeBaseline="Yes",N(Tasks[[#This Row],[Baseline Work]])=0),Tasks[[#This Row],[Work]],Tasks[[#This Row],[Baseline Work]]))</f>
        <v/>
      </c>
      <c r="BQ47" s="7"/>
      <c r="BR47" s="7"/>
      <c r="BS47" s="22"/>
      <c r="BT47" s="88"/>
      <c r="BU47" s="23"/>
      <c r="BV47" s="23"/>
      <c r="BW47" s="23"/>
      <c r="BX47" s="89" t="str">
        <f aca="false">IF(AND(Tasks[[#This Row],[_IsLeaf]]=1,ISNUMBER(Tasks[[#This Row],[Optimistic]]),ISNUMBER(Tasks[[#This Row],[Pessimistic]])),ROUND((Tasks[[#This Row],[Optimistic]]+4*N(Tasks[[#This Row],[_Days]])+Tasks[[#This Row],[Pessimistic]])/6,1),"")</f>
        <v/>
      </c>
      <c r="BY47" s="87"/>
      <c r="BZ47" s="87"/>
      <c r="CA47" s="22"/>
      <c r="CB47" s="43" t="str">
        <f aca="false">IF(Tasks[[#This Row],[Task Name]]="","",MAX(1,N(Tasks[[#This Row],[Level]])))</f>
        <v/>
      </c>
      <c r="CC47" s="43" t="n">
        <f aca="false">ROW()-ROW(Tasks[[#Headers],[ID]])</f>
        <v>42</v>
      </c>
      <c r="CD47" s="43" t="n">
        <f aca="false">IF(OR(Tasks[[#This Row],[Task Name]]="",Tasks[[#This Row],[_Level]]&lt;=1),0,IFERROR(LOOKUP(2,1/(Tasks[[#Headers],[_Level]]:Tasks[[#This Row],[_Level]]=Tasks[[#This Row],[_Level]]-1),ROW(Tasks[[#Headers],[_Level]]:Tasks[[#This Row],[_Level]])),0))</f>
        <v>0</v>
      </c>
      <c r="CE47" s="43" t="n">
        <f aca="false">IFERROR(N(INDEX(Tasks[_Level],Tasks[[#This Row],[_Row]]+1)),0)</f>
        <v>0</v>
      </c>
      <c r="CF47" s="90" t="b">
        <f aca="false">AND(Tasks[[#This Row],[Task Name]]&lt;&gt;"",Tasks[[#This Row],[_NextLevel]]&gt;Tasks[[#This Row],[_Level]])</f>
        <v>0</v>
      </c>
      <c r="CG47" s="43" t="n">
        <f aca="false">IF(Tasks[[#This Row],[_IsSummary]],COUNTIF(Tasks[WBS],Tasks[[#This Row],[WBS]]&amp;".*"),0)</f>
        <v>0</v>
      </c>
      <c r="CH47" s="43" t="n">
        <f aca="false">IF(AND(Tasks[[#This Row],[Task Name]]&lt;&gt;"",NOT(Tasks[[#This Row],[_IsSummary]])),1,0)</f>
        <v>0</v>
      </c>
      <c r="CI47" s="43" t="n">
        <f aca="false">IF(N(Tasks[[#This Row],[_Pred1UID]])=0,0,IFERROR(MATCH(Tasks[[#This Row],[_Pred1UID]],Tasks[UID],0),-1))</f>
        <v>0</v>
      </c>
      <c r="CJ47" s="43" t="n">
        <f aca="false">IF(N(Tasks[[#This Row],[_Pred2UID]])=0,0,IFERROR(MATCH(Tasks[[#This Row],[_Pred2UID]],Tasks[UID],0),-1))</f>
        <v>0</v>
      </c>
      <c r="CK47" s="43" t="n">
        <f aca="false">IF(N(Tasks[[#This Row],[_Pred3UID]])=0,0,IFERROR(MATCH(Tasks[[#This Row],[_Pred3UID]],Tasks[UID],0),-1))</f>
        <v>0</v>
      </c>
      <c r="CL47" s="43" t="n">
        <f aca="false">IF(N(Tasks[[#This Row],[_Pred4UID]])=0,0,IFERROR(MATCH(Tasks[[#This Row],[_Pred4UID]],Tasks[UID],0),-1))</f>
        <v>0</v>
      </c>
      <c r="CM4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7" s="91" t="n">
        <f aca="false">IF(OR(Tasks[[#This Row],[_ConstraintCode]]=2,Tasks[[#This Row],[_ConstraintCode]]=3,Tasks[[#This Row],[_ConstraintCode]]=4,Tasks[[#This Row],[_ConstraintCode]]=6),Tasks[[#This Row],[_ConstraintStart]],0)</f>
        <v>0</v>
      </c>
      <c r="CP47" s="91" t="n">
        <f aca="false">IF(OR(Tasks[[#This Row],[_ConstraintCode]]=2,Tasks[[#This Row],[_ConstraintCode]]=3,Tasks[[#This Row],[_ConstraintCode]]=5,Tasks[[#This Row],[_ConstraintCode]]=7),Tasks[[#This Row],[_ConstraintStart]],2958465)</f>
        <v>2958465</v>
      </c>
      <c r="CQ4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7" s="91" t="str">
        <f aca="false">IF(NOT(Tasks[[#This Row],[_IsLeaf]]=1),"",IF(N(Tasks[[#This Row],[_Days]])&lt;=0,Tasks[[#This Row],[_LeafCalcStart]],WORKDAY.INTL(Tasks[[#This Row],[_LeafCalcStart]],Tasks[[#This Row],[_Days]]-1,WorkWeek,Holidays)))</f>
        <v/>
      </c>
      <c r="CS4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7" s="43" t="str">
        <f aca="false">IF(Tasks[[#This Row],[_Predecessors]]="","",TRIM(MID(SUBSTITUTE(SUBSTITUTE(SUBSTITUTE(UPPER(Tasks[[#This Row],[_Predecessors]]),";",",")," ",""),",",REPT(" ",99)),1,99)))</f>
        <v/>
      </c>
      <c r="CV47" s="43" t="str">
        <f aca="false">IF(Tasks[[#This Row],[_Pred1Text]]="","",IFERROR(VALUE(LEFT(Tasks[[#This Row],[_Pred1Text]],MIN(FIND("F",Tasks[[#This Row],[_Pred1Text]]&amp;"F"),FIND("S",Tasks[[#This Row],[_Pred1Text]]&amp;"S"),FIND("+",Tasks[[#This Row],[_Pred1Text]]&amp;"+"),FIND("-",Tasks[[#This Row],[_Pred1Text]]&amp;"-"))-1)),""))</f>
        <v/>
      </c>
      <c r="CW4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7" s="43" t="str">
        <f aca="false">IF(Tasks[[#This Row],[_Pred1Text]]="","",TRIM(MID(SUBSTITUTE(SUBSTITUTE(SUBSTITUTE(UPPER(Tasks[[#This Row],[_Predecessors]]),";",",")," ",""),",",REPT(" ",99)),100,99)))</f>
        <v/>
      </c>
      <c r="CZ47" s="43" t="str">
        <f aca="false">IF(Tasks[[#This Row],[_Pred2Text]]="","",IFERROR(VALUE(LEFT(Tasks[[#This Row],[_Pred2Text]],MIN(FIND("F",Tasks[[#This Row],[_Pred2Text]]&amp;"F"),FIND("S",Tasks[[#This Row],[_Pred2Text]]&amp;"S"),FIND("+",Tasks[[#This Row],[_Pred2Text]]&amp;"+"),FIND("-",Tasks[[#This Row],[_Pred2Text]]&amp;"-"))-1)),""))</f>
        <v/>
      </c>
      <c r="DA4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7" s="43" t="str">
        <f aca="false">IF(Tasks[[#This Row],[_Pred2Text]]="","",TRIM(MID(SUBSTITUTE(SUBSTITUTE(SUBSTITUTE(UPPER(Tasks[[#This Row],[_Predecessors]]),";",",")," ",""),",",REPT(" ",99)),199,99)))</f>
        <v/>
      </c>
      <c r="DD47" s="43" t="str">
        <f aca="false">IF(Tasks[[#This Row],[_Pred3Text]]="","",IFERROR(VALUE(LEFT(Tasks[[#This Row],[_Pred3Text]],MIN(FIND("F",Tasks[[#This Row],[_Pred3Text]]&amp;"F"),FIND("S",Tasks[[#This Row],[_Pred3Text]]&amp;"S"),FIND("+",Tasks[[#This Row],[_Pred3Text]]&amp;"+"),FIND("-",Tasks[[#This Row],[_Pred3Text]]&amp;"-"))-1)),""))</f>
        <v/>
      </c>
      <c r="DE4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7" s="43" t="str">
        <f aca="false">IF(Tasks[[#This Row],[_Pred3Text]]="","",TRIM(MID(SUBSTITUTE(SUBSTITUTE(SUBSTITUTE(UPPER(Tasks[[#This Row],[_Predecessors]]),";",",")," ",""),",",REPT(" ",99)),298,99)))</f>
        <v/>
      </c>
      <c r="DH47" s="43" t="str">
        <f aca="false">IF(Tasks[[#This Row],[_Pred4Text]]="","",IFERROR(VALUE(LEFT(Tasks[[#This Row],[_Pred4Text]],MIN(FIND("F",Tasks[[#This Row],[_Pred4Text]]&amp;"F"),FIND("S",Tasks[[#This Row],[_Pred4Text]]&amp;"S"),FIND("+",Tasks[[#This Row],[_Pred4Text]]&amp;"+"),FIND("-",Tasks[[#This Row],[_Pred4Text]]&amp;"-"))-1)),""))</f>
        <v/>
      </c>
      <c r="DI4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7" s="43" t="str">
        <f aca="false">IF(OR(Tasks[[#This Row],[Task Name]]="",Tasks[[#This Row],[_Resources]]=""),"",TRIM(MID(SUBSTITUTE(Tasks[[#This Row],[_Resources]],",",REPT(" ",99)),1,99)))</f>
        <v/>
      </c>
      <c r="DL47" s="43" t="str">
        <f aca="false">IF(Tasks[[#This Row],[_Res1Text]]="","",TRIM(MID(SUBSTITUTE(Tasks[[#This Row],[_Resources]],",",REPT(" ",99)),100,99)))</f>
        <v/>
      </c>
      <c r="DM47" s="43" t="str">
        <f aca="false">IF(Tasks[[#This Row],[_Res2Text]]="","",TRIM(MID(SUBSTITUTE(Tasks[[#This Row],[_Resources]],",",REPT(" ",99)),199,99)))</f>
        <v/>
      </c>
      <c r="DN47" s="43" t="str">
        <f aca="false">IF(Tasks[[#This Row],[_Res3Text]]="","",TRIM(MID(SUBSTITUTE(Tasks[[#This Row],[_Resources]],",",REPT(" ",99)),298,99)))</f>
        <v/>
      </c>
      <c r="DO47" s="43" t="n">
        <f aca="false">IF(Tasks[[#This Row],[_Res1Text]]="",0,IFERROR(MATCH(TRIM(LEFT(Tasks[[#This Row],[_Res1Text]],FIND("[",Tasks[[#This Row],[_Res1Text]]&amp;"[")-1)),res_Name,0),IFERROR(MATCH(TRIM(LEFT(Tasks[[#This Row],[_Res1Text]],FIND("[",Tasks[[#This Row],[_Res1Text]]&amp;"[")-1)),res_Initials,0),0)))</f>
        <v>0</v>
      </c>
      <c r="DP47" s="43" t="n">
        <f aca="false">IF(Tasks[[#This Row],[_Res2Text]]="",0,IFERROR(MATCH(TRIM(LEFT(Tasks[[#This Row],[_Res2Text]],FIND("[",Tasks[[#This Row],[_Res2Text]]&amp;"[")-1)),res_Name,0),IFERROR(MATCH(TRIM(LEFT(Tasks[[#This Row],[_Res2Text]],FIND("[",Tasks[[#This Row],[_Res2Text]]&amp;"[")-1)),res_Initials,0),0)))</f>
        <v>0</v>
      </c>
      <c r="DQ47" s="43" t="n">
        <f aca="false">IF(Tasks[[#This Row],[_Res3Text]]="",0,IFERROR(MATCH(TRIM(LEFT(Tasks[[#This Row],[_Res3Text]],FIND("[",Tasks[[#This Row],[_Res3Text]]&amp;"[")-1)),res_Name,0),IFERROR(MATCH(TRIM(LEFT(Tasks[[#This Row],[_Res3Text]],FIND("[",Tasks[[#This Row],[_Res3Text]]&amp;"[")-1)),res_Initials,0),0)))</f>
        <v>0</v>
      </c>
      <c r="DR47" s="43" t="n">
        <f aca="false">IF(Tasks[[#This Row],[_Res4Text]]="",0,IFERROR(MATCH(TRIM(LEFT(Tasks[[#This Row],[_Res4Text]],FIND("[",Tasks[[#This Row],[_Res4Text]]&amp;"[")-1)),res_Name,0),IFERROR(MATCH(TRIM(LEFT(Tasks[[#This Row],[_Res4Text]],FIND("[",Tasks[[#This Row],[_Res4Text]]&amp;"[")-1)),res_Initials,0),0)))</f>
        <v>0</v>
      </c>
      <c r="DS47" s="43" t="str">
        <f aca="false">IF(Tasks[[#This Row],[_Res1Text]]="","",IF(Tasks[[#This Row],[_Res1Row]]&gt;0,INDEX(res_Name,Tasks[[#This Row],[_Res1Row]]),TRIM(LEFT(Tasks[[#This Row],[_Res1Text]],FIND("[",Tasks[[#This Row],[_Res1Text]]&amp;"[")-1))))</f>
        <v/>
      </c>
      <c r="DT4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7" s="43" t="n">
        <f aca="false">IF(NOT(Tasks[[#This Row],[_IsLeaf]]=1),0,(Tasks[[#This Row],[_Resource1]]&lt;&gt;"")+(Tasks[[#This Row],[_Res2]]&lt;&gt;"")+(Tasks[[#This Row],[_Res3]]&lt;&gt;"")+(Tasks[[#This Row],[_Res4]]&lt;&gt;""))</f>
        <v>0</v>
      </c>
      <c r="DV47" s="43" t="str">
        <f aca="false">IF(Tasks[[#This Row],[_Res2Text]]="","",IF(Tasks[[#This Row],[_Res2Row]]&gt;0,INDEX(res_Name,Tasks[[#This Row],[_Res2Row]]),TRIM(LEFT(Tasks[[#This Row],[_Res2Text]],FIND("[",Tasks[[#This Row],[_Res2Text]]&amp;"[")-1))))</f>
        <v/>
      </c>
      <c r="DW4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7" s="43" t="n">
        <f aca="false">IF(OR(NOT(Tasks[[#This Row],[_IsLeaf]]=1),Tasks[[#This Row],[_Res2Row]]=0),0,N(Tasks[[#This Row],[_Days]])*HoursPerDay*IF(Tasks[[#This Row],[_Res2Units]]="",DefaultUnits,Tasks[[#This Row],[_Res2Units]]))</f>
        <v>0</v>
      </c>
      <c r="DY47" s="43" t="n">
        <f aca="false">IF(AND(AND(Tasks[[#This Row],[_IsLeaf]]=1,Tasks[[#This Row],[_LeafTotalWork]]&gt;0),Tasks[[#This Row],[_Res2Work]]&gt;0),Tasks[[#This Row],[_Res2Work]]/(Tasks[[#This Row],[_FinishWorkday]]-Tasks[[#This Row],[_StartWorkday]]+1),0)</f>
        <v>0</v>
      </c>
      <c r="DZ47" s="43" t="n">
        <f aca="false">Tasks[[#This Row],[_Res2WorkPerWD]]*MAX(0,Tasks[[#This Row],[_StartWorkday]]-1)</f>
        <v>0</v>
      </c>
      <c r="EA47" s="43" t="n">
        <f aca="false">Tasks[[#This Row],[_Res2Work]]*Tasks[[#This Row],[_LeafProgress]]</f>
        <v>0</v>
      </c>
      <c r="EB47" s="43" t="str">
        <f aca="false">IF(Tasks[[#This Row],[_Res3Text]]="","",IF(Tasks[[#This Row],[_Res3Row]]&gt;0,INDEX(res_Name,Tasks[[#This Row],[_Res3Row]]),TRIM(LEFT(Tasks[[#This Row],[_Res3Text]],FIND("[",Tasks[[#This Row],[_Res3Text]]&amp;"[")-1))))</f>
        <v/>
      </c>
      <c r="EC4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7" s="43" t="n">
        <f aca="false">IF(OR(NOT(Tasks[[#This Row],[_IsLeaf]]=1),Tasks[[#This Row],[_Res3Row]]=0),0,N(Tasks[[#This Row],[_Days]])*HoursPerDay*IF(Tasks[[#This Row],[_Res3Units]]="",DefaultUnits,Tasks[[#This Row],[_Res3Units]]))</f>
        <v>0</v>
      </c>
      <c r="EE47" s="43" t="n">
        <f aca="false">IF(AND(AND(Tasks[[#This Row],[_IsLeaf]]=1,Tasks[[#This Row],[_LeafTotalWork]]&gt;0),Tasks[[#This Row],[_Res3Work]]&gt;0),Tasks[[#This Row],[_Res3Work]]/(Tasks[[#This Row],[_FinishWorkday]]-Tasks[[#This Row],[_StartWorkday]]+1),0)</f>
        <v>0</v>
      </c>
      <c r="EF47" s="43" t="n">
        <f aca="false">Tasks[[#This Row],[_Res3WorkPerWD]]*MAX(0,Tasks[[#This Row],[_StartWorkday]]-1)</f>
        <v>0</v>
      </c>
      <c r="EG47" s="43" t="n">
        <f aca="false">Tasks[[#This Row],[_Res3Work]]*Tasks[[#This Row],[_LeafProgress]]</f>
        <v>0</v>
      </c>
      <c r="EH47" s="43" t="str">
        <f aca="false">IF(Tasks[[#This Row],[_Res4Text]]="","",IF(Tasks[[#This Row],[_Res4Row]]&gt;0,INDEX(res_Name,Tasks[[#This Row],[_Res4Row]]),TRIM(LEFT(Tasks[[#This Row],[_Res4Text]],FIND("[",Tasks[[#This Row],[_Res4Text]]&amp;"[")-1))))</f>
        <v/>
      </c>
      <c r="EI4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7" s="43" t="n">
        <f aca="false">IF(OR(NOT(Tasks[[#This Row],[_IsLeaf]]=1),Tasks[[#This Row],[_Res4Row]]=0),0,N(Tasks[[#This Row],[_Days]])*HoursPerDay*IF(Tasks[[#This Row],[_Res4Units]]="",DefaultUnits,Tasks[[#This Row],[_Res4Units]]))</f>
        <v>0</v>
      </c>
      <c r="EK47" s="43" t="n">
        <f aca="false">IF(AND(AND(Tasks[[#This Row],[_IsLeaf]]=1,Tasks[[#This Row],[_LeafTotalWork]]&gt;0),Tasks[[#This Row],[_Res4Work]]&gt;0),Tasks[[#This Row],[_Res4Work]]/(Tasks[[#This Row],[_FinishWorkday]]-Tasks[[#This Row],[_StartWorkday]]+1),0)</f>
        <v>0</v>
      </c>
      <c r="EL47" s="43" t="n">
        <f aca="false">Tasks[[#This Row],[_Res4WorkPerWD]]*MAX(0,Tasks[[#This Row],[_StartWorkday]]-1)</f>
        <v>0</v>
      </c>
      <c r="EM47" s="43" t="n">
        <f aca="false">Tasks[[#This Row],[_Res4Work]]*Tasks[[#This Row],[_LeafProgress]]</f>
        <v>0</v>
      </c>
      <c r="EN47" s="43" t="n">
        <f aca="false">IF(ISNUMBER(Tasks[[#This Row],[% Complete]]),Tasks[[#This Row],[% Complete]],IF(Tasks[[#This Row],[Stage]]="",0,IFERROR(INDEX(stg_Pct,MATCH(Tasks[[#This Row],[Stage]],stg_Name,0)),0)))</f>
        <v>0</v>
      </c>
      <c r="EO47" s="43" t="n">
        <f aca="false">IF(NOT(Tasks[[#This Row],[_IsLeaf]]=1),0,IF(N(Tasks[[#This Row],[Actual Finish]])&gt;0,1,MIN(1,Tasks[[#This Row],[_Pct]])))</f>
        <v>0</v>
      </c>
      <c r="EP47" s="43" t="n">
        <f aca="false">IF(OR(NOT(Tasks[[#This Row],[_IsLeaf]]=1),Tasks[[#This Row],[_Res1Row]]=0),0,N(Tasks[[#This Row],[_Days]])*HoursPerDay*IF(Tasks[[#This Row],[_Units1]]="",DefaultUnits,Tasks[[#This Row],[_Units1]]))</f>
        <v>0</v>
      </c>
      <c r="EQ47" s="43" t="n">
        <f aca="false">Tasks[[#This Row],[_LeafWork]]+Tasks[[#This Row],[_Res2Work]]+Tasks[[#This Row],[_Res3Work]]+Tasks[[#This Row],[_Res4Work]]</f>
        <v>0</v>
      </c>
      <c r="ER4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7" s="43" t="n">
        <f aca="false">IF(NOT(Tasks[[#This Row],[_IsLeaf]]=1),0,MAX(_xlfn.MAXIFS(Tasks[_Row],Tasks[_Pred1UID],Tasks[[#This Row],[UID]]),_xlfn.MAXIFS(Tasks[_Row],Tasks[_Pred2UID],Tasks[[#This Row],[UID]]),_xlfn.MAXIFS(Tasks[_Row],Tasks[_Pred3UID],Tasks[[#This Row],[UID]]),_xlfn.MAXIFS(Tasks[_Row],Tasks[_Pred4UID],Tasks[[#This Row],[UID]])))</f>
        <v>0</v>
      </c>
      <c r="FA4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7" s="91" t="str">
        <f aca="false">IF(NOT(Tasks[[#This Row],[_IsLeaf]]=1),"",IF(N(Tasks[[#This Row],[_Days]])&lt;=0,Tasks[[#This Row],[_LeafLateFinish]],WORKDAY.INTL(Tasks[[#This Row],[_LeafLateFinish]],-(Tasks[[#This Row],[_Days]]-1),WorkWeek,Holidays)))</f>
        <v/>
      </c>
      <c r="FD4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7" s="90" t="b">
        <f aca="false">AND(Tasks[[#This Row],[_IsLeaf]]=1,Tasks[[#This Row],[_LeafProgress]]&lt;1,N(Tasks[[#This Row],[_LeafTotalSlack]])&lt;=CriticalSlackDays)</f>
        <v>0</v>
      </c>
      <c r="FF47" s="43" t="n">
        <f aca="false">IF(AND(Tasks[[#This Row],[_IsLeaf]]=1,Tasks[[#This Row],[_ConstraintCode]]=1,Tasks[[#This Row],[Mode]]&lt;&gt;"Manual",N(Tasks[[#This Row],[Actual Start]])=0),MAX(0,N(Tasks[[#This Row],[Free Slack]])),0)</f>
        <v>0</v>
      </c>
      <c r="FG47" s="91" t="str">
        <f aca="false">IF(NOT(Tasks[[#This Row],[_IsLeaf]]=1),"",IF(Tasks[[#This Row],[_AlapShift]]=0,Tasks[[#This Row],[_LeafCalcStart]],WORKDAY.INTL(Tasks[[#This Row],[_LeafCalcStart]],Tasks[[#This Row],[_AlapShift]],WorkWeek,Holidays)))</f>
        <v/>
      </c>
      <c r="FH47" s="91" t="str">
        <f aca="false">IF(NOT(Tasks[[#This Row],[_IsLeaf]]=1),"",IF(Tasks[[#This Row],[_AlapShift]]=0,Tasks[[#This Row],[_LeafCalcFinish]],WORKDAY.INTL(Tasks[[#This Row],[_LeafCalcFinish]],Tasks[[#This Row],[_AlapShift]],WorkWeek,Holidays)))</f>
        <v/>
      </c>
      <c r="FI47" s="91" t="str">
        <f aca="false">IF(NOT(Tasks[[#This Row],[_IsLeaf]]=1),"",IF(Tasks[[#This Row],[_AlapShift]]=0,Tasks[[#This Row],[_LeafFcstStart]],WORKDAY.INTL(Tasks[[#This Row],[_LeafFcstStart]],Tasks[[#This Row],[_AlapShift]],WorkWeek,Holidays)))</f>
        <v/>
      </c>
      <c r="FJ47" s="91" t="str">
        <f aca="false">IF(NOT(Tasks[[#This Row],[_IsLeaf]]=1),"",IF(Tasks[[#This Row],[_AlapShift]]=0,Tasks[[#This Row],[_LeafFcstFinish]],WORKDAY.INTL(Tasks[[#This Row],[_LeafFcstFinish]],Tasks[[#This Row],[_AlapShift]],WorkWeek,Holidays)))</f>
        <v/>
      </c>
      <c r="FK47" s="91" t="str">
        <f aca="false">IF(Tasks[[#This Row],[Task Name]]="","",IF(Tasks[[#This Row],[_IsSummary]],MIN(INDEX(Tasks[_ShownCalcStart],Tasks[[#This Row],[_Row]]+1):INDEX(Tasks[_ShownCalcStart],Tasks[[#This Row],[_Row]]+Tasks[[#This Row],[_Descendants]])),Tasks[[#This Row],[_ShownCalcStart]]))</f>
        <v/>
      </c>
      <c r="FL47" s="91" t="str">
        <f aca="false">IF(Tasks[[#This Row],[Task Name]]="","",IF(Tasks[[#This Row],[_IsSummary]],MAX(INDEX(Tasks[_ShownCalcFinish],Tasks[[#This Row],[_Row]]+1):INDEX(Tasks[_ShownCalcFinish],Tasks[[#This Row],[_Row]]+Tasks[[#This Row],[_Descendants]])),Tasks[[#This Row],[_ShownCalcFinish]]))</f>
        <v/>
      </c>
      <c r="FM4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7" s="43" t="n">
        <f aca="false">IF(AND(Tasks[[#This Row],[_IsLeaf]]=1,Tasks[[#This Row],[_LeafTotalWork]]&gt;0),NETWORKDAYS.INTL(ProjectStart,Tasks[[#This Row],[_ShownFcstStart]],WorkWeek,Holidays),0)</f>
        <v>0</v>
      </c>
      <c r="FZ47" s="43" t="n">
        <f aca="false">IF(AND(Tasks[[#This Row],[_IsLeaf]]=1,Tasks[[#This Row],[_LeafTotalWork]]&gt;0),MAX(Tasks[[#This Row],[_StartWorkday]],NETWORKDAYS.INTL(ProjectStart,Tasks[[#This Row],[_ShownFcstFinish]],WorkWeek,Holidays)),0)</f>
        <v>0</v>
      </c>
      <c r="GA47" s="43" t="n">
        <f aca="false">IF(AND(Tasks[[#This Row],[_IsLeaf]]=1,Tasks[[#This Row],[_LeafTotalWork]]&gt;0),Tasks[[#This Row],[_LeafWork]]/(Tasks[[#This Row],[_FinishWorkday]]-Tasks[[#This Row],[_StartWorkday]]+1),0)</f>
        <v>0</v>
      </c>
      <c r="GB47" s="43" t="n">
        <f aca="false">Tasks[[#This Row],[_WorkPerWorkday]]*(Tasks[[#This Row],[_StartWorkday]]-1)</f>
        <v>-0</v>
      </c>
      <c r="GC47" s="43" t="n">
        <f aca="false">IF(Tasks[[#This Row],[_IsLeaf]]=1,MAX(N(Tasks[[#This Row],[_Days]]),0.1),0)</f>
        <v>0</v>
      </c>
      <c r="GD47" s="43" t="n">
        <f aca="false">Tasks[[#This Row],[_WeightDur]]*Tasks[[#This Row],[_LeafProgress]]</f>
        <v>0</v>
      </c>
      <c r="GE47" s="43" t="n">
        <f aca="false">Tasks[[#This Row],[_WeightDur]]*Tasks[[#This Row],[_PlannedPct]]</f>
        <v>0</v>
      </c>
      <c r="GF4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7" s="43" t="str">
        <f aca="false">IF(AND(Tasks[[#This Row],[_IsLeaf]]=1,N(Tasks[[#This Row],[_Days]])=0,Tasks[[#This Row],[_LeafProgress]]&lt;1),Tasks[[#This Row],[_ShownFcstFinish]]+Tasks[[#This Row],[_Row]]/100000,"")</f>
        <v/>
      </c>
      <c r="GH4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7" s="43" t="str">
        <f aca="false">IF(Tasks[[#This Row],[Task Name]]="","",LEFT(Tasks[[#This Row],[WBS]],FIND(".",Tasks[[#This Row],[WBS]]&amp;".")-1))</f>
        <v/>
      </c>
      <c r="GJ47" s="43" t="str">
        <f aca="false">IF(AND(Tasks[[#This Row],[Task Name]]&lt;&gt;"",Tasks[[#This Row],[_Level]]=1),Tasks[[#This Row],[_Row]],"")</f>
        <v/>
      </c>
      <c r="GK47" s="43" t="str">
        <f aca="false">IF(AND(Tasks[[#This Row],[_IsLeaf]]=1,N(Tasks[[#This Row],[_Days]])=0),Tasks[[#This Row],[Planned Finish]]+Tasks[[#This Row],[_Row]]/100000,"")</f>
        <v/>
      </c>
      <c r="GL47" s="43" t="str">
        <f aca="false">IF(AND(Tasks[[#This Row],[_IsLeaf]]=1,Tasks[[#This Row],[_LeafProgress]]&lt;1,OR(N(Tasks[[#This Row],[Finish Var]])&gt;0,Tasks[[#This Row],[Status]]="Late Start")),MAX(0,Tasks[[#This Row],[Finish Var]])+1-Tasks[[#This Row],[_Row]]/1000000,"")</f>
        <v/>
      </c>
      <c r="GM47" s="43" t="str">
        <f aca="false">IF(AND(Tasks[[#This Row],[_IsLeaf]]=1,N(Tasks[[#This Row],[Actual Start]])=0,Tasks[[#This Row],[_ShownFcstStart]]&gt;=StatusDate,Tasks[[#This Row],[_ShownFcstStart]]&lt;=LookaheadEnd),Tasks[[#This Row],[_ShownFcstStart]]+Tasks[[#This Row],[_Row]]/100000,"")</f>
        <v/>
      </c>
      <c r="GN47" s="43" t="str">
        <f aca="false">IF(AND(Tasks[[#This Row],[_IsLeaf]]=1,Tasks[[#This Row],[_LeafProgress]]&lt;1,Tasks[[#This Row],[_ShownFcstFinish]]&gt;=StatusDate,Tasks[[#This Row],[_ShownFcstFinish]]&lt;=LookaheadEnd),Tasks[[#This Row],[_ShownFcstFinish]]+Tasks[[#This Row],[_Row]]/100000,"")</f>
        <v/>
      </c>
      <c r="GO47" s="43" t="str">
        <f aca="false">IF(Tasks[[#This Row],[_LeafCritical]],Tasks[[#This Row],[_ShownFcstStart]]+Tasks[[#This Row],[_Row]]/100000,"")</f>
        <v/>
      </c>
      <c r="GP47" s="43" t="n">
        <f aca="false">Tasks[[#This Row],[_LeafWork]]*Tasks[[#This Row],[_LeafProgress]]</f>
        <v>0</v>
      </c>
      <c r="GQ47" s="91" t="str">
        <f aca="false">IF(AND(Tasks[[#This Row],[_IsLeaf]]=1,Tasks[[#This Row],[_LeafProgress]]&gt;=1),IF(N(Tasks[[#This Row],[Actual Finish]])&gt;0,Tasks[[#This Row],[Actual Finish]],Tasks[[#This Row],[_ShownFcstFinish]]),"")</f>
        <v/>
      </c>
      <c r="GR47" s="43" t="n">
        <f aca="false">IF(Tasks[[#This Row],[_IsLeaf]]=1,N(Tasks[[#This Row],[Story Points]]),0)</f>
        <v>0</v>
      </c>
      <c r="GS47" s="43" t="str">
        <f aca="false">""</f>
        <v/>
      </c>
      <c r="GT47" s="90" t="b">
        <f aca="false">IF(Tasks[[#This Row],[Task Name]]="",FALSE(),AND(Tasks[[#This Row],[_IsLeaf]]=1,N(Tasks[[#This Row],[_Days]])=0))</f>
        <v>0</v>
      </c>
      <c r="GU47" s="91" t="n">
        <f aca="false">IF(Tasks[[#This Row],[Task Name]]="",0,IF(AND(Tasks[[#This Row],[_IsLeaf]]=1,NOT(Tasks[[#This Row],[_IsMilestone]]),N(Tasks[[#This Row],[Progress]])&gt;0),Tasks[[#This Row],[Start]],0))</f>
        <v>0</v>
      </c>
      <c r="GV47" s="91" t="n">
        <f aca="false">IF(Tasks[[#This Row],[_DoneFrom]]=0,0,IF(Tasks[[#This Row],[Progress]]&gt;=1,Tasks[[#This Row],[Finish]],MAX(Tasks[[#This Row],[_DoneFrom]],Tasks[[#This Row],[Start]]+ROUND((Tasks[[#This Row],[Finish]]-Tasks[[#This Row],[Start]]+1)*Tasks[[#This Row],[Progress]],0)-1)))</f>
        <v>0</v>
      </c>
      <c r="GW47" s="91" t="n">
        <f aca="false">IF(Tasks[[#This Row],[Task Name]]="",0,IF(OR(NOT(Tasks[[#This Row],[_IsLeaf]]=1),Tasks[[#This Row],[_IsMilestone]],N(Tasks[[#This Row],[Progress]])&gt;=1),0,IF(Tasks[[#This Row],[_DoneTo]]&gt;0,Tasks[[#This Row],[_DoneTo]]+1,Tasks[[#This Row],[Start]])))</f>
        <v>0</v>
      </c>
      <c r="GX47" s="91" t="n">
        <f aca="false">IF(Tasks[[#This Row],[_RemFrom]]=0,0,Tasks[[#This Row],[Finish]])</f>
        <v>0</v>
      </c>
      <c r="GY47" s="90" t="b">
        <f aca="false">IF(Tasks[[#This Row],[Task Name]]="",FALSE(),OR(NOT(BaselineSet),N(Tasks[[#This Row],[Baseline Start]])&gt;0))</f>
        <v>0</v>
      </c>
      <c r="GZ4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7" s="92" t="str">
        <f aca="false">IF(Tasks[[#This Row],[_IsLeaf]]=1,Tasks[[#This Row],[_Row]],"")</f>
        <v/>
      </c>
      <c r="HD47" s="92" t="str">
        <f aca="false">IFERROR(INDEX(Tasks[UID],SMALL(Tasks[_PickKey],Tasks[[#This Row],[_Row]]))&amp;" "&amp;INDEX(Tasks[Task Name],SMALL(Tasks[_PickKey],Tasks[[#This Row],[_Row]])),"")</f>
        <v/>
      </c>
      <c r="HE47" s="43" t="str">
        <f aca="false">IF(Tasks[[#This Row],[Task Name]]="","",IF(Tasks[[#This Row],[_IsSummary]],NETWORKDAYS.INTL(Tasks[[#This Row],[Start]],Tasks[[#This Row],[Finish]],WorkWeek,Holidays),N(Tasks[[#This Row],[_Days]])))</f>
        <v/>
      </c>
      <c r="HF47" s="43" t="n">
        <f aca="false">IF(Tasks[[#This Row],[Expected]]="",0,((Tasks[[#This Row],[Pessimistic]]-Tasks[[#This Row],[Optimistic]])/6)^2)</f>
        <v>0</v>
      </c>
      <c r="HG47" s="43" t="n">
        <f aca="false">IF(Tasks[[#This Row],[Expected]]="",0,Tasks[[#This Row],[Expected]]-N(Tasks[[#This Row],[_Days]]))</f>
        <v>0</v>
      </c>
    </row>
    <row r="48" customFormat="false" ht="15" hidden="false" customHeight="false" outlineLevel="0" collapsed="false">
      <c r="A48" s="21" t="str">
        <f aca="false">IF(Tasks[[#This Row],[Task Name]]="","",COUNTA(Tasks[[#Headers],[Task Name]]:Tasks[[#This Row],[Task Name]])-1)</f>
        <v/>
      </c>
      <c r="B48" s="22" t="n">
        <v>56</v>
      </c>
      <c r="C48" s="22"/>
      <c r="D48" s="23"/>
      <c r="E48" s="22"/>
      <c r="F48" s="23"/>
      <c r="G48" s="22"/>
      <c r="H48" s="22"/>
      <c r="I48" s="23"/>
      <c r="J48" s="22"/>
      <c r="K48" s="22"/>
      <c r="L48" s="23"/>
      <c r="M48" s="22"/>
      <c r="N48" s="22"/>
      <c r="O48" s="23"/>
      <c r="P48" s="22"/>
      <c r="Q48" s="22"/>
      <c r="R48" s="23"/>
      <c r="S48" s="23"/>
      <c r="T48" s="84"/>
      <c r="U48" s="23"/>
      <c r="V48" s="84"/>
      <c r="W48" s="23"/>
      <c r="X48" s="84"/>
      <c r="Y48" s="23"/>
      <c r="Z48" s="84"/>
      <c r="AA48" s="23"/>
      <c r="AB48" s="23"/>
      <c r="AC48" s="7"/>
      <c r="AD48" s="7"/>
      <c r="AE48" s="63" t="str">
        <f aca="false">IF(Tasks[[#This Row],[Task Name]]="","",IF(Tasks[[#This Row],[_IsSummary]],MIN(INDEX(Tasks[_ShownFcstStart],Tasks[[#This Row],[_Row]]+1):INDEX(Tasks[_ShownFcstStart],Tasks[[#This Row],[_Row]]+Tasks[[#This Row],[_Descendants]])),Tasks[[#This Row],[_ShownFcstStart]]))</f>
        <v/>
      </c>
      <c r="AF48" s="63" t="str">
        <f aca="false">IF(Tasks[[#This Row],[Task Name]]="","",IF(Tasks[[#This Row],[_IsSummary]],MAX(INDEX(Tasks[_ShownFcstFinish],Tasks[[#This Row],[_Row]]+1):INDEX(Tasks[_ShownFcstFinish],Tasks[[#This Row],[_Row]]+Tasks[[#This Row],[_Descendants]])),Tasks[[#This Row],[_ShownFcstFinish]]))</f>
        <v/>
      </c>
      <c r="AG48" s="21" t="str">
        <f aca="false">""</f>
        <v/>
      </c>
      <c r="AH48" s="23"/>
      <c r="AI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8" s="7"/>
      <c r="AK48" s="22"/>
      <c r="AL48" s="23"/>
      <c r="AM48" s="7"/>
      <c r="AN48" s="47" t="str">
        <f aca="false">IF(Tasks[[#This Row],[Task Name]]="","",IF(Tasks[[#This Row],[Finish]]&gt;=Tasks[[#This Row],[Planned Finish]],NETWORKDAYS.INTL(Tasks[[#This Row],[Planned Finish]],Tasks[[#This Row],[Finish]],WorkWeek,Holidays)-1,1-NETWORKDAYS.INTL(Tasks[[#This Row],[Finish]],Tasks[[#This Row],[Planned Finish]],WorkWeek,Holidays)))</f>
        <v/>
      </c>
      <c r="AO48" s="21" t="str">
        <f aca="false">IF(Tasks[[#This Row],[Task Name]]="","",IF(Tasks[[#This Row],[Progress]]&gt;=1,"Complete",IF(OR(N(Tasks[[#This Row],[Actual Start]])&gt;0,Tasks[[#This Row],[Progress]]&gt;0),IF(Tasks[[#This Row],[Finish Var]]&gt;0,"Behind","In Progress"),IF(Tasks[[#This Row],[Planned Start]]&lt;StatusDate,"Late Start","Not Started"))))</f>
        <v/>
      </c>
      <c r="AP48" s="21" t="str">
        <f aca="false">IF(Tasks[[#This Row],[Task Name]]="","",IF(IF(Tasks[[#This Row],[_IsSummary]],COUNTIF(INDEX(Tasks[_LeafCritical],Tasks[[#This Row],[_Row]]+1):INDEX(Tasks[_LeafCritical],Tasks[[#This Row],[_Row]]+Tasks[[#This Row],[_Descendants]]),TRUE())&gt;0,Tasks[[#This Row],[_LeafCritical]]),"Yes",""))</f>
        <v/>
      </c>
      <c r="AQ48" s="63" t="str">
        <f aca="false">IF(Tasks[[#This Row],[Task Name]]="","",IF(N(Tasks[[#This Row],[Baseline Start]])&gt;0,Tasks[[#This Row],[Baseline Start]],Tasks[[#This Row],[_CalcStart]]))</f>
        <v/>
      </c>
      <c r="AR48" s="63" t="str">
        <f aca="false">IF(Tasks[[#This Row],[Task Name]]="","",IF(N(Tasks[[#This Row],[Baseline Finish]])&gt;0,Tasks[[#This Row],[Baseline Finish]],Tasks[[#This Row],[_CalcFinish]]))</f>
        <v/>
      </c>
      <c r="AS48" s="47" t="str">
        <f aca="false">IF(Tasks[[#This Row],[Task Name]]="","",IF(Tasks[[#This Row],[Start]]&gt;=Tasks[[#This Row],[Planned Start]],NETWORKDAYS.INTL(Tasks[[#This Row],[Planned Start]],Tasks[[#This Row],[Start]],WorkWeek,Holidays)-1,1-NETWORKDAYS.INTL(Tasks[[#This Row],[Start]],Tasks[[#This Row],[Planned Start]],WorkWeek,Holidays)))</f>
        <v/>
      </c>
      <c r="AT48" s="63" t="str">
        <f aca="false">IF(Tasks[[#This Row],[Task Name]]="","",IF(Tasks[[#This Row],[_IsSummary]],MIN(INDEX(Tasks[_LeafLateStart],Tasks[[#This Row],[_Row]]+1):INDEX(Tasks[_LeafLateStart],Tasks[[#This Row],[_Row]]+Tasks[[#This Row],[_Descendants]])),Tasks[[#This Row],[_LeafLateStart]]))</f>
        <v/>
      </c>
      <c r="AU48" s="63" t="str">
        <f aca="false">IF(Tasks[[#This Row],[Task Name]]="","",IF(Tasks[[#This Row],[_IsSummary]],MAX(INDEX(Tasks[_LeafLateFinish],Tasks[[#This Row],[_Row]]+1):INDEX(Tasks[_LeafLateFinish],Tasks[[#This Row],[_Row]]+Tasks[[#This Row],[_Descendants]])),Tasks[[#This Row],[_LeafLateFinish]]))</f>
        <v/>
      </c>
      <c r="AV48" s="47" t="str">
        <f aca="false">IF(Tasks[[#This Row],[Task Name]]="","",IF(Tasks[[#This Row],[_IsSummary]],MIN(INDEX(Tasks[_LeafTotalSlack],Tasks[[#This Row],[_Row]]+1):INDEX(Tasks[_LeafTotalSlack],Tasks[[#This Row],[_Row]]+Tasks[[#This Row],[_Descendants]])),Tasks[[#This Row],[_LeafTotalSlack]]))</f>
        <v/>
      </c>
      <c r="AW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5"/>
      <c r="BA4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1" t="str">
        <f aca="false">IF(Tasks[[#This Row],[Task Name]]="","",IF(Tasks[[#This Row],[_Level]]&lt;=OutlineShowLevel,"Yes","No"))</f>
        <v/>
      </c>
      <c r="BE48" s="86" t="str">
        <f aca="false">IF(Tasks[[#This Row],[Task Name]]="","",IF(Tasks[[#This Row],[_IsSummary]],SUM(INDEX(Tasks[_LeafTotalWork],Tasks[[#This Row],[_Row]]+1):INDEX(Tasks[_LeafTotalWork],Tasks[[#This Row],[_Row]]+Tasks[[#This Row],[_Descendants]])),Tasks[[#This Row],[_LeafTotalWork]]))</f>
        <v/>
      </c>
      <c r="BF48" s="23"/>
      <c r="BG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8" s="21" t="str">
        <f aca="false">""</f>
        <v/>
      </c>
      <c r="BI48" s="87"/>
      <c r="BJ48" s="22"/>
      <c r="BK48" s="47" t="str">
        <f aca="false">IF(OR(Tasks[[#This Row],[Task Name]]="",Tasks[[#This Row],[Baseline Duration]]=""),"",Tasks[[#This Row],[_SpanDays]]-N(Tasks[[#This Row],[Baseline Duration]]))</f>
        <v/>
      </c>
      <c r="BL48" s="86" t="str">
        <f aca="false">IF(OR(Tasks[[#This Row],[Task Name]]="",Tasks[[#This Row],[Baseline Work]]=""),"",Tasks[[#This Row],[Work]]-N(Tasks[[#This Row],[Baseline Work]]))</f>
        <v/>
      </c>
      <c r="BM48" s="63" t="str">
        <f aca="false">IF(Tasks[[#This Row],[Task Name]]="","",IF(OR(TakeBaseline="Yes",N(Tasks[[#This Row],[Baseline Start]])=0),Tasks[[#This Row],[Start]],Tasks[[#This Row],[Baseline Start]]))</f>
        <v/>
      </c>
      <c r="BN48" s="63" t="str">
        <f aca="false">IF(Tasks[[#This Row],[Task Name]]="","",IF(OR(TakeBaseline="Yes",N(Tasks[[#This Row],[Baseline Finish]])=0),Tasks[[#This Row],[Finish]],Tasks[[#This Row],[Baseline Finish]]))</f>
        <v/>
      </c>
      <c r="BO48" s="21" t="str">
        <f aca="false">IF(Tasks[[#This Row],[Task Name]]="","",IF(OR(TakeBaseline="Yes",N(Tasks[[#This Row],[Baseline Duration]])=0),Tasks[[#This Row],[_SpanDays]],Tasks[[#This Row],[Baseline Duration]]))</f>
        <v/>
      </c>
      <c r="BP48" s="86" t="str">
        <f aca="false">IF(Tasks[[#This Row],[Task Name]]="","",IF(OR(TakeBaseline="Yes",N(Tasks[[#This Row],[Baseline Work]])=0),Tasks[[#This Row],[Work]],Tasks[[#This Row],[Baseline Work]]))</f>
        <v/>
      </c>
      <c r="BQ48" s="7"/>
      <c r="BR48" s="7"/>
      <c r="BS48" s="22"/>
      <c r="BT48" s="88"/>
      <c r="BU48" s="23"/>
      <c r="BV48" s="23"/>
      <c r="BW48" s="23"/>
      <c r="BX48" s="89" t="str">
        <f aca="false">IF(AND(Tasks[[#This Row],[_IsLeaf]]=1,ISNUMBER(Tasks[[#This Row],[Optimistic]]),ISNUMBER(Tasks[[#This Row],[Pessimistic]])),ROUND((Tasks[[#This Row],[Optimistic]]+4*N(Tasks[[#This Row],[_Days]])+Tasks[[#This Row],[Pessimistic]])/6,1),"")</f>
        <v/>
      </c>
      <c r="BY48" s="87"/>
      <c r="BZ48" s="87"/>
      <c r="CA48" s="22"/>
      <c r="CB48" s="43" t="str">
        <f aca="false">IF(Tasks[[#This Row],[Task Name]]="","",MAX(1,N(Tasks[[#This Row],[Level]])))</f>
        <v/>
      </c>
      <c r="CC48" s="43" t="n">
        <f aca="false">ROW()-ROW(Tasks[[#Headers],[ID]])</f>
        <v>43</v>
      </c>
      <c r="CD48" s="43" t="n">
        <f aca="false">IF(OR(Tasks[[#This Row],[Task Name]]="",Tasks[[#This Row],[_Level]]&lt;=1),0,IFERROR(LOOKUP(2,1/(Tasks[[#Headers],[_Level]]:Tasks[[#This Row],[_Level]]=Tasks[[#This Row],[_Level]]-1),ROW(Tasks[[#Headers],[_Level]]:Tasks[[#This Row],[_Level]])),0))</f>
        <v>0</v>
      </c>
      <c r="CE48" s="43" t="n">
        <f aca="false">IFERROR(N(INDEX(Tasks[_Level],Tasks[[#This Row],[_Row]]+1)),0)</f>
        <v>0</v>
      </c>
      <c r="CF48" s="90" t="b">
        <f aca="false">AND(Tasks[[#This Row],[Task Name]]&lt;&gt;"",Tasks[[#This Row],[_NextLevel]]&gt;Tasks[[#This Row],[_Level]])</f>
        <v>0</v>
      </c>
      <c r="CG48" s="43" t="n">
        <f aca="false">IF(Tasks[[#This Row],[_IsSummary]],COUNTIF(Tasks[WBS],Tasks[[#This Row],[WBS]]&amp;".*"),0)</f>
        <v>0</v>
      </c>
      <c r="CH48" s="43" t="n">
        <f aca="false">IF(AND(Tasks[[#This Row],[Task Name]]&lt;&gt;"",NOT(Tasks[[#This Row],[_IsSummary]])),1,0)</f>
        <v>0</v>
      </c>
      <c r="CI48" s="43" t="n">
        <f aca="false">IF(N(Tasks[[#This Row],[_Pred1UID]])=0,0,IFERROR(MATCH(Tasks[[#This Row],[_Pred1UID]],Tasks[UID],0),-1))</f>
        <v>0</v>
      </c>
      <c r="CJ48" s="43" t="n">
        <f aca="false">IF(N(Tasks[[#This Row],[_Pred2UID]])=0,0,IFERROR(MATCH(Tasks[[#This Row],[_Pred2UID]],Tasks[UID],0),-1))</f>
        <v>0</v>
      </c>
      <c r="CK48" s="43" t="n">
        <f aca="false">IF(N(Tasks[[#This Row],[_Pred3UID]])=0,0,IFERROR(MATCH(Tasks[[#This Row],[_Pred3UID]],Tasks[UID],0),-1))</f>
        <v>0</v>
      </c>
      <c r="CL48" s="43" t="n">
        <f aca="false">IF(N(Tasks[[#This Row],[_Pred4UID]])=0,0,IFERROR(MATCH(Tasks[[#This Row],[_Pred4UID]],Tasks[UID],0),-1))</f>
        <v>0</v>
      </c>
      <c r="CM4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8" s="91" t="n">
        <f aca="false">IF(OR(Tasks[[#This Row],[_ConstraintCode]]=2,Tasks[[#This Row],[_ConstraintCode]]=3,Tasks[[#This Row],[_ConstraintCode]]=4,Tasks[[#This Row],[_ConstraintCode]]=6),Tasks[[#This Row],[_ConstraintStart]],0)</f>
        <v>0</v>
      </c>
      <c r="CP48" s="91" t="n">
        <f aca="false">IF(OR(Tasks[[#This Row],[_ConstraintCode]]=2,Tasks[[#This Row],[_ConstraintCode]]=3,Tasks[[#This Row],[_ConstraintCode]]=5,Tasks[[#This Row],[_ConstraintCode]]=7),Tasks[[#This Row],[_ConstraintStart]],2958465)</f>
        <v>2958465</v>
      </c>
      <c r="CQ4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8" s="91" t="str">
        <f aca="false">IF(NOT(Tasks[[#This Row],[_IsLeaf]]=1),"",IF(N(Tasks[[#This Row],[_Days]])&lt;=0,Tasks[[#This Row],[_LeafCalcStart]],WORKDAY.INTL(Tasks[[#This Row],[_LeafCalcStart]],Tasks[[#This Row],[_Days]]-1,WorkWeek,Holidays)))</f>
        <v/>
      </c>
      <c r="CS4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8" s="43" t="str">
        <f aca="false">IF(Tasks[[#This Row],[_Predecessors]]="","",TRIM(MID(SUBSTITUTE(SUBSTITUTE(SUBSTITUTE(UPPER(Tasks[[#This Row],[_Predecessors]]),";",",")," ",""),",",REPT(" ",99)),1,99)))</f>
        <v/>
      </c>
      <c r="CV48" s="43" t="str">
        <f aca="false">IF(Tasks[[#This Row],[_Pred1Text]]="","",IFERROR(VALUE(LEFT(Tasks[[#This Row],[_Pred1Text]],MIN(FIND("F",Tasks[[#This Row],[_Pred1Text]]&amp;"F"),FIND("S",Tasks[[#This Row],[_Pred1Text]]&amp;"S"),FIND("+",Tasks[[#This Row],[_Pred1Text]]&amp;"+"),FIND("-",Tasks[[#This Row],[_Pred1Text]]&amp;"-"))-1)),""))</f>
        <v/>
      </c>
      <c r="CW4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8" s="43" t="str">
        <f aca="false">IF(Tasks[[#This Row],[_Pred1Text]]="","",TRIM(MID(SUBSTITUTE(SUBSTITUTE(SUBSTITUTE(UPPER(Tasks[[#This Row],[_Predecessors]]),";",",")," ",""),",",REPT(" ",99)),100,99)))</f>
        <v/>
      </c>
      <c r="CZ48" s="43" t="str">
        <f aca="false">IF(Tasks[[#This Row],[_Pred2Text]]="","",IFERROR(VALUE(LEFT(Tasks[[#This Row],[_Pred2Text]],MIN(FIND("F",Tasks[[#This Row],[_Pred2Text]]&amp;"F"),FIND("S",Tasks[[#This Row],[_Pred2Text]]&amp;"S"),FIND("+",Tasks[[#This Row],[_Pred2Text]]&amp;"+"),FIND("-",Tasks[[#This Row],[_Pred2Text]]&amp;"-"))-1)),""))</f>
        <v/>
      </c>
      <c r="DA4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8" s="43" t="str">
        <f aca="false">IF(Tasks[[#This Row],[_Pred2Text]]="","",TRIM(MID(SUBSTITUTE(SUBSTITUTE(SUBSTITUTE(UPPER(Tasks[[#This Row],[_Predecessors]]),";",",")," ",""),",",REPT(" ",99)),199,99)))</f>
        <v/>
      </c>
      <c r="DD48" s="43" t="str">
        <f aca="false">IF(Tasks[[#This Row],[_Pred3Text]]="","",IFERROR(VALUE(LEFT(Tasks[[#This Row],[_Pred3Text]],MIN(FIND("F",Tasks[[#This Row],[_Pred3Text]]&amp;"F"),FIND("S",Tasks[[#This Row],[_Pred3Text]]&amp;"S"),FIND("+",Tasks[[#This Row],[_Pred3Text]]&amp;"+"),FIND("-",Tasks[[#This Row],[_Pred3Text]]&amp;"-"))-1)),""))</f>
        <v/>
      </c>
      <c r="DE4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8" s="43" t="str">
        <f aca="false">IF(Tasks[[#This Row],[_Pred3Text]]="","",TRIM(MID(SUBSTITUTE(SUBSTITUTE(SUBSTITUTE(UPPER(Tasks[[#This Row],[_Predecessors]]),";",",")," ",""),",",REPT(" ",99)),298,99)))</f>
        <v/>
      </c>
      <c r="DH48" s="43" t="str">
        <f aca="false">IF(Tasks[[#This Row],[_Pred4Text]]="","",IFERROR(VALUE(LEFT(Tasks[[#This Row],[_Pred4Text]],MIN(FIND("F",Tasks[[#This Row],[_Pred4Text]]&amp;"F"),FIND("S",Tasks[[#This Row],[_Pred4Text]]&amp;"S"),FIND("+",Tasks[[#This Row],[_Pred4Text]]&amp;"+"),FIND("-",Tasks[[#This Row],[_Pred4Text]]&amp;"-"))-1)),""))</f>
        <v/>
      </c>
      <c r="DI4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8" s="43" t="str">
        <f aca="false">IF(OR(Tasks[[#This Row],[Task Name]]="",Tasks[[#This Row],[_Resources]]=""),"",TRIM(MID(SUBSTITUTE(Tasks[[#This Row],[_Resources]],",",REPT(" ",99)),1,99)))</f>
        <v/>
      </c>
      <c r="DL48" s="43" t="str">
        <f aca="false">IF(Tasks[[#This Row],[_Res1Text]]="","",TRIM(MID(SUBSTITUTE(Tasks[[#This Row],[_Resources]],",",REPT(" ",99)),100,99)))</f>
        <v/>
      </c>
      <c r="DM48" s="43" t="str">
        <f aca="false">IF(Tasks[[#This Row],[_Res2Text]]="","",TRIM(MID(SUBSTITUTE(Tasks[[#This Row],[_Resources]],",",REPT(" ",99)),199,99)))</f>
        <v/>
      </c>
      <c r="DN48" s="43" t="str">
        <f aca="false">IF(Tasks[[#This Row],[_Res3Text]]="","",TRIM(MID(SUBSTITUTE(Tasks[[#This Row],[_Resources]],",",REPT(" ",99)),298,99)))</f>
        <v/>
      </c>
      <c r="DO48" s="43" t="n">
        <f aca="false">IF(Tasks[[#This Row],[_Res1Text]]="",0,IFERROR(MATCH(TRIM(LEFT(Tasks[[#This Row],[_Res1Text]],FIND("[",Tasks[[#This Row],[_Res1Text]]&amp;"[")-1)),res_Name,0),IFERROR(MATCH(TRIM(LEFT(Tasks[[#This Row],[_Res1Text]],FIND("[",Tasks[[#This Row],[_Res1Text]]&amp;"[")-1)),res_Initials,0),0)))</f>
        <v>0</v>
      </c>
      <c r="DP48" s="43" t="n">
        <f aca="false">IF(Tasks[[#This Row],[_Res2Text]]="",0,IFERROR(MATCH(TRIM(LEFT(Tasks[[#This Row],[_Res2Text]],FIND("[",Tasks[[#This Row],[_Res2Text]]&amp;"[")-1)),res_Name,0),IFERROR(MATCH(TRIM(LEFT(Tasks[[#This Row],[_Res2Text]],FIND("[",Tasks[[#This Row],[_Res2Text]]&amp;"[")-1)),res_Initials,0),0)))</f>
        <v>0</v>
      </c>
      <c r="DQ48" s="43" t="n">
        <f aca="false">IF(Tasks[[#This Row],[_Res3Text]]="",0,IFERROR(MATCH(TRIM(LEFT(Tasks[[#This Row],[_Res3Text]],FIND("[",Tasks[[#This Row],[_Res3Text]]&amp;"[")-1)),res_Name,0),IFERROR(MATCH(TRIM(LEFT(Tasks[[#This Row],[_Res3Text]],FIND("[",Tasks[[#This Row],[_Res3Text]]&amp;"[")-1)),res_Initials,0),0)))</f>
        <v>0</v>
      </c>
      <c r="DR48" s="43" t="n">
        <f aca="false">IF(Tasks[[#This Row],[_Res4Text]]="",0,IFERROR(MATCH(TRIM(LEFT(Tasks[[#This Row],[_Res4Text]],FIND("[",Tasks[[#This Row],[_Res4Text]]&amp;"[")-1)),res_Name,0),IFERROR(MATCH(TRIM(LEFT(Tasks[[#This Row],[_Res4Text]],FIND("[",Tasks[[#This Row],[_Res4Text]]&amp;"[")-1)),res_Initials,0),0)))</f>
        <v>0</v>
      </c>
      <c r="DS48" s="43" t="str">
        <f aca="false">IF(Tasks[[#This Row],[_Res1Text]]="","",IF(Tasks[[#This Row],[_Res1Row]]&gt;0,INDEX(res_Name,Tasks[[#This Row],[_Res1Row]]),TRIM(LEFT(Tasks[[#This Row],[_Res1Text]],FIND("[",Tasks[[#This Row],[_Res1Text]]&amp;"[")-1))))</f>
        <v/>
      </c>
      <c r="DT4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8" s="43" t="n">
        <f aca="false">IF(NOT(Tasks[[#This Row],[_IsLeaf]]=1),0,(Tasks[[#This Row],[_Resource1]]&lt;&gt;"")+(Tasks[[#This Row],[_Res2]]&lt;&gt;"")+(Tasks[[#This Row],[_Res3]]&lt;&gt;"")+(Tasks[[#This Row],[_Res4]]&lt;&gt;""))</f>
        <v>0</v>
      </c>
      <c r="DV48" s="43" t="str">
        <f aca="false">IF(Tasks[[#This Row],[_Res2Text]]="","",IF(Tasks[[#This Row],[_Res2Row]]&gt;0,INDEX(res_Name,Tasks[[#This Row],[_Res2Row]]),TRIM(LEFT(Tasks[[#This Row],[_Res2Text]],FIND("[",Tasks[[#This Row],[_Res2Text]]&amp;"[")-1))))</f>
        <v/>
      </c>
      <c r="DW4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8" s="43" t="n">
        <f aca="false">IF(OR(NOT(Tasks[[#This Row],[_IsLeaf]]=1),Tasks[[#This Row],[_Res2Row]]=0),0,N(Tasks[[#This Row],[_Days]])*HoursPerDay*IF(Tasks[[#This Row],[_Res2Units]]="",DefaultUnits,Tasks[[#This Row],[_Res2Units]]))</f>
        <v>0</v>
      </c>
      <c r="DY48" s="43" t="n">
        <f aca="false">IF(AND(AND(Tasks[[#This Row],[_IsLeaf]]=1,Tasks[[#This Row],[_LeafTotalWork]]&gt;0),Tasks[[#This Row],[_Res2Work]]&gt;0),Tasks[[#This Row],[_Res2Work]]/(Tasks[[#This Row],[_FinishWorkday]]-Tasks[[#This Row],[_StartWorkday]]+1),0)</f>
        <v>0</v>
      </c>
      <c r="DZ48" s="43" t="n">
        <f aca="false">Tasks[[#This Row],[_Res2WorkPerWD]]*MAX(0,Tasks[[#This Row],[_StartWorkday]]-1)</f>
        <v>0</v>
      </c>
      <c r="EA48" s="43" t="n">
        <f aca="false">Tasks[[#This Row],[_Res2Work]]*Tasks[[#This Row],[_LeafProgress]]</f>
        <v>0</v>
      </c>
      <c r="EB48" s="43" t="str">
        <f aca="false">IF(Tasks[[#This Row],[_Res3Text]]="","",IF(Tasks[[#This Row],[_Res3Row]]&gt;0,INDEX(res_Name,Tasks[[#This Row],[_Res3Row]]),TRIM(LEFT(Tasks[[#This Row],[_Res3Text]],FIND("[",Tasks[[#This Row],[_Res3Text]]&amp;"[")-1))))</f>
        <v/>
      </c>
      <c r="EC4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8" s="43" t="n">
        <f aca="false">IF(OR(NOT(Tasks[[#This Row],[_IsLeaf]]=1),Tasks[[#This Row],[_Res3Row]]=0),0,N(Tasks[[#This Row],[_Days]])*HoursPerDay*IF(Tasks[[#This Row],[_Res3Units]]="",DefaultUnits,Tasks[[#This Row],[_Res3Units]]))</f>
        <v>0</v>
      </c>
      <c r="EE48" s="43" t="n">
        <f aca="false">IF(AND(AND(Tasks[[#This Row],[_IsLeaf]]=1,Tasks[[#This Row],[_LeafTotalWork]]&gt;0),Tasks[[#This Row],[_Res3Work]]&gt;0),Tasks[[#This Row],[_Res3Work]]/(Tasks[[#This Row],[_FinishWorkday]]-Tasks[[#This Row],[_StartWorkday]]+1),0)</f>
        <v>0</v>
      </c>
      <c r="EF48" s="43" t="n">
        <f aca="false">Tasks[[#This Row],[_Res3WorkPerWD]]*MAX(0,Tasks[[#This Row],[_StartWorkday]]-1)</f>
        <v>0</v>
      </c>
      <c r="EG48" s="43" t="n">
        <f aca="false">Tasks[[#This Row],[_Res3Work]]*Tasks[[#This Row],[_LeafProgress]]</f>
        <v>0</v>
      </c>
      <c r="EH48" s="43" t="str">
        <f aca="false">IF(Tasks[[#This Row],[_Res4Text]]="","",IF(Tasks[[#This Row],[_Res4Row]]&gt;0,INDEX(res_Name,Tasks[[#This Row],[_Res4Row]]),TRIM(LEFT(Tasks[[#This Row],[_Res4Text]],FIND("[",Tasks[[#This Row],[_Res4Text]]&amp;"[")-1))))</f>
        <v/>
      </c>
      <c r="EI4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8" s="43" t="n">
        <f aca="false">IF(OR(NOT(Tasks[[#This Row],[_IsLeaf]]=1),Tasks[[#This Row],[_Res4Row]]=0),0,N(Tasks[[#This Row],[_Days]])*HoursPerDay*IF(Tasks[[#This Row],[_Res4Units]]="",DefaultUnits,Tasks[[#This Row],[_Res4Units]]))</f>
        <v>0</v>
      </c>
      <c r="EK48" s="43" t="n">
        <f aca="false">IF(AND(AND(Tasks[[#This Row],[_IsLeaf]]=1,Tasks[[#This Row],[_LeafTotalWork]]&gt;0),Tasks[[#This Row],[_Res4Work]]&gt;0),Tasks[[#This Row],[_Res4Work]]/(Tasks[[#This Row],[_FinishWorkday]]-Tasks[[#This Row],[_StartWorkday]]+1),0)</f>
        <v>0</v>
      </c>
      <c r="EL48" s="43" t="n">
        <f aca="false">Tasks[[#This Row],[_Res4WorkPerWD]]*MAX(0,Tasks[[#This Row],[_StartWorkday]]-1)</f>
        <v>0</v>
      </c>
      <c r="EM48" s="43" t="n">
        <f aca="false">Tasks[[#This Row],[_Res4Work]]*Tasks[[#This Row],[_LeafProgress]]</f>
        <v>0</v>
      </c>
      <c r="EN48" s="43" t="n">
        <f aca="false">IF(ISNUMBER(Tasks[[#This Row],[% Complete]]),Tasks[[#This Row],[% Complete]],IF(Tasks[[#This Row],[Stage]]="",0,IFERROR(INDEX(stg_Pct,MATCH(Tasks[[#This Row],[Stage]],stg_Name,0)),0)))</f>
        <v>0</v>
      </c>
      <c r="EO48" s="43" t="n">
        <f aca="false">IF(NOT(Tasks[[#This Row],[_IsLeaf]]=1),0,IF(N(Tasks[[#This Row],[Actual Finish]])&gt;0,1,MIN(1,Tasks[[#This Row],[_Pct]])))</f>
        <v>0</v>
      </c>
      <c r="EP48" s="43" t="n">
        <f aca="false">IF(OR(NOT(Tasks[[#This Row],[_IsLeaf]]=1),Tasks[[#This Row],[_Res1Row]]=0),0,N(Tasks[[#This Row],[_Days]])*HoursPerDay*IF(Tasks[[#This Row],[_Units1]]="",DefaultUnits,Tasks[[#This Row],[_Units1]]))</f>
        <v>0</v>
      </c>
      <c r="EQ48" s="43" t="n">
        <f aca="false">Tasks[[#This Row],[_LeafWork]]+Tasks[[#This Row],[_Res2Work]]+Tasks[[#This Row],[_Res3Work]]+Tasks[[#This Row],[_Res4Work]]</f>
        <v>0</v>
      </c>
      <c r="ER4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8" s="43" t="n">
        <f aca="false">IF(NOT(Tasks[[#This Row],[_IsLeaf]]=1),0,MAX(_xlfn.MAXIFS(Tasks[_Row],Tasks[_Pred1UID],Tasks[[#This Row],[UID]]),_xlfn.MAXIFS(Tasks[_Row],Tasks[_Pred2UID],Tasks[[#This Row],[UID]]),_xlfn.MAXIFS(Tasks[_Row],Tasks[_Pred3UID],Tasks[[#This Row],[UID]]),_xlfn.MAXIFS(Tasks[_Row],Tasks[_Pred4UID],Tasks[[#This Row],[UID]])))</f>
        <v>0</v>
      </c>
      <c r="FA4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8" s="91" t="str">
        <f aca="false">IF(NOT(Tasks[[#This Row],[_IsLeaf]]=1),"",IF(N(Tasks[[#This Row],[_Days]])&lt;=0,Tasks[[#This Row],[_LeafLateFinish]],WORKDAY.INTL(Tasks[[#This Row],[_LeafLateFinish]],-(Tasks[[#This Row],[_Days]]-1),WorkWeek,Holidays)))</f>
        <v/>
      </c>
      <c r="FD4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8" s="90" t="b">
        <f aca="false">AND(Tasks[[#This Row],[_IsLeaf]]=1,Tasks[[#This Row],[_LeafProgress]]&lt;1,N(Tasks[[#This Row],[_LeafTotalSlack]])&lt;=CriticalSlackDays)</f>
        <v>0</v>
      </c>
      <c r="FF48" s="43" t="n">
        <f aca="false">IF(AND(Tasks[[#This Row],[_IsLeaf]]=1,Tasks[[#This Row],[_ConstraintCode]]=1,Tasks[[#This Row],[Mode]]&lt;&gt;"Manual",N(Tasks[[#This Row],[Actual Start]])=0),MAX(0,N(Tasks[[#This Row],[Free Slack]])),0)</f>
        <v>0</v>
      </c>
      <c r="FG48" s="91" t="str">
        <f aca="false">IF(NOT(Tasks[[#This Row],[_IsLeaf]]=1),"",IF(Tasks[[#This Row],[_AlapShift]]=0,Tasks[[#This Row],[_LeafCalcStart]],WORKDAY.INTL(Tasks[[#This Row],[_LeafCalcStart]],Tasks[[#This Row],[_AlapShift]],WorkWeek,Holidays)))</f>
        <v/>
      </c>
      <c r="FH48" s="91" t="str">
        <f aca="false">IF(NOT(Tasks[[#This Row],[_IsLeaf]]=1),"",IF(Tasks[[#This Row],[_AlapShift]]=0,Tasks[[#This Row],[_LeafCalcFinish]],WORKDAY.INTL(Tasks[[#This Row],[_LeafCalcFinish]],Tasks[[#This Row],[_AlapShift]],WorkWeek,Holidays)))</f>
        <v/>
      </c>
      <c r="FI48" s="91" t="str">
        <f aca="false">IF(NOT(Tasks[[#This Row],[_IsLeaf]]=1),"",IF(Tasks[[#This Row],[_AlapShift]]=0,Tasks[[#This Row],[_LeafFcstStart]],WORKDAY.INTL(Tasks[[#This Row],[_LeafFcstStart]],Tasks[[#This Row],[_AlapShift]],WorkWeek,Holidays)))</f>
        <v/>
      </c>
      <c r="FJ48" s="91" t="str">
        <f aca="false">IF(NOT(Tasks[[#This Row],[_IsLeaf]]=1),"",IF(Tasks[[#This Row],[_AlapShift]]=0,Tasks[[#This Row],[_LeafFcstFinish]],WORKDAY.INTL(Tasks[[#This Row],[_LeafFcstFinish]],Tasks[[#This Row],[_AlapShift]],WorkWeek,Holidays)))</f>
        <v/>
      </c>
      <c r="FK48" s="91" t="str">
        <f aca="false">IF(Tasks[[#This Row],[Task Name]]="","",IF(Tasks[[#This Row],[_IsSummary]],MIN(INDEX(Tasks[_ShownCalcStart],Tasks[[#This Row],[_Row]]+1):INDEX(Tasks[_ShownCalcStart],Tasks[[#This Row],[_Row]]+Tasks[[#This Row],[_Descendants]])),Tasks[[#This Row],[_ShownCalcStart]]))</f>
        <v/>
      </c>
      <c r="FL48" s="91" t="str">
        <f aca="false">IF(Tasks[[#This Row],[Task Name]]="","",IF(Tasks[[#This Row],[_IsSummary]],MAX(INDEX(Tasks[_ShownCalcFinish],Tasks[[#This Row],[_Row]]+1):INDEX(Tasks[_ShownCalcFinish],Tasks[[#This Row],[_Row]]+Tasks[[#This Row],[_Descendants]])),Tasks[[#This Row],[_ShownCalcFinish]]))</f>
        <v/>
      </c>
      <c r="FM4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8" s="43" t="n">
        <f aca="false">IF(AND(Tasks[[#This Row],[_IsLeaf]]=1,Tasks[[#This Row],[_LeafTotalWork]]&gt;0),NETWORKDAYS.INTL(ProjectStart,Tasks[[#This Row],[_ShownFcstStart]],WorkWeek,Holidays),0)</f>
        <v>0</v>
      </c>
      <c r="FZ48" s="43" t="n">
        <f aca="false">IF(AND(Tasks[[#This Row],[_IsLeaf]]=1,Tasks[[#This Row],[_LeafTotalWork]]&gt;0),MAX(Tasks[[#This Row],[_StartWorkday]],NETWORKDAYS.INTL(ProjectStart,Tasks[[#This Row],[_ShownFcstFinish]],WorkWeek,Holidays)),0)</f>
        <v>0</v>
      </c>
      <c r="GA48" s="43" t="n">
        <f aca="false">IF(AND(Tasks[[#This Row],[_IsLeaf]]=1,Tasks[[#This Row],[_LeafTotalWork]]&gt;0),Tasks[[#This Row],[_LeafWork]]/(Tasks[[#This Row],[_FinishWorkday]]-Tasks[[#This Row],[_StartWorkday]]+1),0)</f>
        <v>0</v>
      </c>
      <c r="GB48" s="43" t="n">
        <f aca="false">Tasks[[#This Row],[_WorkPerWorkday]]*(Tasks[[#This Row],[_StartWorkday]]-1)</f>
        <v>-0</v>
      </c>
      <c r="GC48" s="43" t="n">
        <f aca="false">IF(Tasks[[#This Row],[_IsLeaf]]=1,MAX(N(Tasks[[#This Row],[_Days]]),0.1),0)</f>
        <v>0</v>
      </c>
      <c r="GD48" s="43" t="n">
        <f aca="false">Tasks[[#This Row],[_WeightDur]]*Tasks[[#This Row],[_LeafProgress]]</f>
        <v>0</v>
      </c>
      <c r="GE48" s="43" t="n">
        <f aca="false">Tasks[[#This Row],[_WeightDur]]*Tasks[[#This Row],[_PlannedPct]]</f>
        <v>0</v>
      </c>
      <c r="GF4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8" s="43" t="str">
        <f aca="false">IF(AND(Tasks[[#This Row],[_IsLeaf]]=1,N(Tasks[[#This Row],[_Days]])=0,Tasks[[#This Row],[_LeafProgress]]&lt;1),Tasks[[#This Row],[_ShownFcstFinish]]+Tasks[[#This Row],[_Row]]/100000,"")</f>
        <v/>
      </c>
      <c r="GH4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8" s="43" t="str">
        <f aca="false">IF(Tasks[[#This Row],[Task Name]]="","",LEFT(Tasks[[#This Row],[WBS]],FIND(".",Tasks[[#This Row],[WBS]]&amp;".")-1))</f>
        <v/>
      </c>
      <c r="GJ48" s="43" t="str">
        <f aca="false">IF(AND(Tasks[[#This Row],[Task Name]]&lt;&gt;"",Tasks[[#This Row],[_Level]]=1),Tasks[[#This Row],[_Row]],"")</f>
        <v/>
      </c>
      <c r="GK48" s="43" t="str">
        <f aca="false">IF(AND(Tasks[[#This Row],[_IsLeaf]]=1,N(Tasks[[#This Row],[_Days]])=0),Tasks[[#This Row],[Planned Finish]]+Tasks[[#This Row],[_Row]]/100000,"")</f>
        <v/>
      </c>
      <c r="GL48" s="43" t="str">
        <f aca="false">IF(AND(Tasks[[#This Row],[_IsLeaf]]=1,Tasks[[#This Row],[_LeafProgress]]&lt;1,OR(N(Tasks[[#This Row],[Finish Var]])&gt;0,Tasks[[#This Row],[Status]]="Late Start")),MAX(0,Tasks[[#This Row],[Finish Var]])+1-Tasks[[#This Row],[_Row]]/1000000,"")</f>
        <v/>
      </c>
      <c r="GM48" s="43" t="str">
        <f aca="false">IF(AND(Tasks[[#This Row],[_IsLeaf]]=1,N(Tasks[[#This Row],[Actual Start]])=0,Tasks[[#This Row],[_ShownFcstStart]]&gt;=StatusDate,Tasks[[#This Row],[_ShownFcstStart]]&lt;=LookaheadEnd),Tasks[[#This Row],[_ShownFcstStart]]+Tasks[[#This Row],[_Row]]/100000,"")</f>
        <v/>
      </c>
      <c r="GN48" s="43" t="str">
        <f aca="false">IF(AND(Tasks[[#This Row],[_IsLeaf]]=1,Tasks[[#This Row],[_LeafProgress]]&lt;1,Tasks[[#This Row],[_ShownFcstFinish]]&gt;=StatusDate,Tasks[[#This Row],[_ShownFcstFinish]]&lt;=LookaheadEnd),Tasks[[#This Row],[_ShownFcstFinish]]+Tasks[[#This Row],[_Row]]/100000,"")</f>
        <v/>
      </c>
      <c r="GO48" s="43" t="str">
        <f aca="false">IF(Tasks[[#This Row],[_LeafCritical]],Tasks[[#This Row],[_ShownFcstStart]]+Tasks[[#This Row],[_Row]]/100000,"")</f>
        <v/>
      </c>
      <c r="GP48" s="43" t="n">
        <f aca="false">Tasks[[#This Row],[_LeafWork]]*Tasks[[#This Row],[_LeafProgress]]</f>
        <v>0</v>
      </c>
      <c r="GQ48" s="91" t="str">
        <f aca="false">IF(AND(Tasks[[#This Row],[_IsLeaf]]=1,Tasks[[#This Row],[_LeafProgress]]&gt;=1),IF(N(Tasks[[#This Row],[Actual Finish]])&gt;0,Tasks[[#This Row],[Actual Finish]],Tasks[[#This Row],[_ShownFcstFinish]]),"")</f>
        <v/>
      </c>
      <c r="GR48" s="43" t="n">
        <f aca="false">IF(Tasks[[#This Row],[_IsLeaf]]=1,N(Tasks[[#This Row],[Story Points]]),0)</f>
        <v>0</v>
      </c>
      <c r="GS48" s="43" t="str">
        <f aca="false">""</f>
        <v/>
      </c>
      <c r="GT48" s="90" t="b">
        <f aca="false">IF(Tasks[[#This Row],[Task Name]]="",FALSE(),AND(Tasks[[#This Row],[_IsLeaf]]=1,N(Tasks[[#This Row],[_Days]])=0))</f>
        <v>0</v>
      </c>
      <c r="GU48" s="91" t="n">
        <f aca="false">IF(Tasks[[#This Row],[Task Name]]="",0,IF(AND(Tasks[[#This Row],[_IsLeaf]]=1,NOT(Tasks[[#This Row],[_IsMilestone]]),N(Tasks[[#This Row],[Progress]])&gt;0),Tasks[[#This Row],[Start]],0))</f>
        <v>0</v>
      </c>
      <c r="GV48" s="91" t="n">
        <f aca="false">IF(Tasks[[#This Row],[_DoneFrom]]=0,0,IF(Tasks[[#This Row],[Progress]]&gt;=1,Tasks[[#This Row],[Finish]],MAX(Tasks[[#This Row],[_DoneFrom]],Tasks[[#This Row],[Start]]+ROUND((Tasks[[#This Row],[Finish]]-Tasks[[#This Row],[Start]]+1)*Tasks[[#This Row],[Progress]],0)-1)))</f>
        <v>0</v>
      </c>
      <c r="GW48" s="91" t="n">
        <f aca="false">IF(Tasks[[#This Row],[Task Name]]="",0,IF(OR(NOT(Tasks[[#This Row],[_IsLeaf]]=1),Tasks[[#This Row],[_IsMilestone]],N(Tasks[[#This Row],[Progress]])&gt;=1),0,IF(Tasks[[#This Row],[_DoneTo]]&gt;0,Tasks[[#This Row],[_DoneTo]]+1,Tasks[[#This Row],[Start]])))</f>
        <v>0</v>
      </c>
      <c r="GX48" s="91" t="n">
        <f aca="false">IF(Tasks[[#This Row],[_RemFrom]]=0,0,Tasks[[#This Row],[Finish]])</f>
        <v>0</v>
      </c>
      <c r="GY48" s="90" t="b">
        <f aca="false">IF(Tasks[[#This Row],[Task Name]]="",FALSE(),OR(NOT(BaselineSet),N(Tasks[[#This Row],[Baseline Start]])&gt;0))</f>
        <v>0</v>
      </c>
      <c r="GZ4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8" s="92" t="str">
        <f aca="false">IF(Tasks[[#This Row],[_IsLeaf]]=1,Tasks[[#This Row],[_Row]],"")</f>
        <v/>
      </c>
      <c r="HD48" s="92" t="str">
        <f aca="false">IFERROR(INDEX(Tasks[UID],SMALL(Tasks[_PickKey],Tasks[[#This Row],[_Row]]))&amp;" "&amp;INDEX(Tasks[Task Name],SMALL(Tasks[_PickKey],Tasks[[#This Row],[_Row]])),"")</f>
        <v/>
      </c>
      <c r="HE48" s="43" t="str">
        <f aca="false">IF(Tasks[[#This Row],[Task Name]]="","",IF(Tasks[[#This Row],[_IsSummary]],NETWORKDAYS.INTL(Tasks[[#This Row],[Start]],Tasks[[#This Row],[Finish]],WorkWeek,Holidays),N(Tasks[[#This Row],[_Days]])))</f>
        <v/>
      </c>
      <c r="HF48" s="43" t="n">
        <f aca="false">IF(Tasks[[#This Row],[Expected]]="",0,((Tasks[[#This Row],[Pessimistic]]-Tasks[[#This Row],[Optimistic]])/6)^2)</f>
        <v>0</v>
      </c>
      <c r="HG48" s="43" t="n">
        <f aca="false">IF(Tasks[[#This Row],[Expected]]="",0,Tasks[[#This Row],[Expected]]-N(Tasks[[#This Row],[_Days]]))</f>
        <v>0</v>
      </c>
    </row>
    <row r="49" customFormat="false" ht="15" hidden="false" customHeight="false" outlineLevel="0" collapsed="false">
      <c r="A49" s="21" t="str">
        <f aca="false">IF(Tasks[[#This Row],[Task Name]]="","",COUNTA(Tasks[[#Headers],[Task Name]]:Tasks[[#This Row],[Task Name]])-1)</f>
        <v/>
      </c>
      <c r="B49" s="22" t="n">
        <v>57</v>
      </c>
      <c r="C49" s="22"/>
      <c r="D49" s="23"/>
      <c r="E49" s="22"/>
      <c r="F49" s="23"/>
      <c r="G49" s="22"/>
      <c r="H49" s="22"/>
      <c r="I49" s="23"/>
      <c r="J49" s="22"/>
      <c r="K49" s="22"/>
      <c r="L49" s="23"/>
      <c r="M49" s="22"/>
      <c r="N49" s="22"/>
      <c r="O49" s="23"/>
      <c r="P49" s="22"/>
      <c r="Q49" s="22"/>
      <c r="R49" s="23"/>
      <c r="S49" s="23"/>
      <c r="T49" s="84"/>
      <c r="U49" s="23"/>
      <c r="V49" s="84"/>
      <c r="W49" s="23"/>
      <c r="X49" s="84"/>
      <c r="Y49" s="23"/>
      <c r="Z49" s="84"/>
      <c r="AA49" s="23"/>
      <c r="AB49" s="23"/>
      <c r="AC49" s="7"/>
      <c r="AD49" s="7"/>
      <c r="AE49" s="63" t="str">
        <f aca="false">IF(Tasks[[#This Row],[Task Name]]="","",IF(Tasks[[#This Row],[_IsSummary]],MIN(INDEX(Tasks[_ShownFcstStart],Tasks[[#This Row],[_Row]]+1):INDEX(Tasks[_ShownFcstStart],Tasks[[#This Row],[_Row]]+Tasks[[#This Row],[_Descendants]])),Tasks[[#This Row],[_ShownFcstStart]]))</f>
        <v/>
      </c>
      <c r="AF49" s="63" t="str">
        <f aca="false">IF(Tasks[[#This Row],[Task Name]]="","",IF(Tasks[[#This Row],[_IsSummary]],MAX(INDEX(Tasks[_ShownFcstFinish],Tasks[[#This Row],[_Row]]+1):INDEX(Tasks[_ShownFcstFinish],Tasks[[#This Row],[_Row]]+Tasks[[#This Row],[_Descendants]])),Tasks[[#This Row],[_ShownFcstFinish]]))</f>
        <v/>
      </c>
      <c r="AG49" s="21" t="str">
        <f aca="false">""</f>
        <v/>
      </c>
      <c r="AH49" s="23"/>
      <c r="AI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9" s="7"/>
      <c r="AK49" s="22"/>
      <c r="AL49" s="23"/>
      <c r="AM49" s="7"/>
      <c r="AN49" s="47" t="str">
        <f aca="false">IF(Tasks[[#This Row],[Task Name]]="","",IF(Tasks[[#This Row],[Finish]]&gt;=Tasks[[#This Row],[Planned Finish]],NETWORKDAYS.INTL(Tasks[[#This Row],[Planned Finish]],Tasks[[#This Row],[Finish]],WorkWeek,Holidays)-1,1-NETWORKDAYS.INTL(Tasks[[#This Row],[Finish]],Tasks[[#This Row],[Planned Finish]],WorkWeek,Holidays)))</f>
        <v/>
      </c>
      <c r="AO49" s="21" t="str">
        <f aca="false">IF(Tasks[[#This Row],[Task Name]]="","",IF(Tasks[[#This Row],[Progress]]&gt;=1,"Complete",IF(OR(N(Tasks[[#This Row],[Actual Start]])&gt;0,Tasks[[#This Row],[Progress]]&gt;0),IF(Tasks[[#This Row],[Finish Var]]&gt;0,"Behind","In Progress"),IF(Tasks[[#This Row],[Planned Start]]&lt;StatusDate,"Late Start","Not Started"))))</f>
        <v/>
      </c>
      <c r="AP49" s="21" t="str">
        <f aca="false">IF(Tasks[[#This Row],[Task Name]]="","",IF(IF(Tasks[[#This Row],[_IsSummary]],COUNTIF(INDEX(Tasks[_LeafCritical],Tasks[[#This Row],[_Row]]+1):INDEX(Tasks[_LeafCritical],Tasks[[#This Row],[_Row]]+Tasks[[#This Row],[_Descendants]]),TRUE())&gt;0,Tasks[[#This Row],[_LeafCritical]]),"Yes",""))</f>
        <v/>
      </c>
      <c r="AQ49" s="63" t="str">
        <f aca="false">IF(Tasks[[#This Row],[Task Name]]="","",IF(N(Tasks[[#This Row],[Baseline Start]])&gt;0,Tasks[[#This Row],[Baseline Start]],Tasks[[#This Row],[_CalcStart]]))</f>
        <v/>
      </c>
      <c r="AR49" s="63" t="str">
        <f aca="false">IF(Tasks[[#This Row],[Task Name]]="","",IF(N(Tasks[[#This Row],[Baseline Finish]])&gt;0,Tasks[[#This Row],[Baseline Finish]],Tasks[[#This Row],[_CalcFinish]]))</f>
        <v/>
      </c>
      <c r="AS49" s="47" t="str">
        <f aca="false">IF(Tasks[[#This Row],[Task Name]]="","",IF(Tasks[[#This Row],[Start]]&gt;=Tasks[[#This Row],[Planned Start]],NETWORKDAYS.INTL(Tasks[[#This Row],[Planned Start]],Tasks[[#This Row],[Start]],WorkWeek,Holidays)-1,1-NETWORKDAYS.INTL(Tasks[[#This Row],[Start]],Tasks[[#This Row],[Planned Start]],WorkWeek,Holidays)))</f>
        <v/>
      </c>
      <c r="AT49" s="63" t="str">
        <f aca="false">IF(Tasks[[#This Row],[Task Name]]="","",IF(Tasks[[#This Row],[_IsSummary]],MIN(INDEX(Tasks[_LeafLateStart],Tasks[[#This Row],[_Row]]+1):INDEX(Tasks[_LeafLateStart],Tasks[[#This Row],[_Row]]+Tasks[[#This Row],[_Descendants]])),Tasks[[#This Row],[_LeafLateStart]]))</f>
        <v/>
      </c>
      <c r="AU49" s="63" t="str">
        <f aca="false">IF(Tasks[[#This Row],[Task Name]]="","",IF(Tasks[[#This Row],[_IsSummary]],MAX(INDEX(Tasks[_LeafLateFinish],Tasks[[#This Row],[_Row]]+1):INDEX(Tasks[_LeafLateFinish],Tasks[[#This Row],[_Row]]+Tasks[[#This Row],[_Descendants]])),Tasks[[#This Row],[_LeafLateFinish]]))</f>
        <v/>
      </c>
      <c r="AV49" s="47" t="str">
        <f aca="false">IF(Tasks[[#This Row],[Task Name]]="","",IF(Tasks[[#This Row],[_IsSummary]],MIN(INDEX(Tasks[_LeafTotalSlack],Tasks[[#This Row],[_Row]]+1):INDEX(Tasks[_LeafTotalSlack],Tasks[[#This Row],[_Row]]+Tasks[[#This Row],[_Descendants]])),Tasks[[#This Row],[_LeafTotalSlack]]))</f>
        <v/>
      </c>
      <c r="AW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5"/>
      <c r="BA4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1" t="str">
        <f aca="false">IF(Tasks[[#This Row],[Task Name]]="","",IF(Tasks[[#This Row],[_Level]]&lt;=OutlineShowLevel,"Yes","No"))</f>
        <v/>
      </c>
      <c r="BE49" s="86" t="str">
        <f aca="false">IF(Tasks[[#This Row],[Task Name]]="","",IF(Tasks[[#This Row],[_IsSummary]],SUM(INDEX(Tasks[_LeafTotalWork],Tasks[[#This Row],[_Row]]+1):INDEX(Tasks[_LeafTotalWork],Tasks[[#This Row],[_Row]]+Tasks[[#This Row],[_Descendants]])),Tasks[[#This Row],[_LeafTotalWork]]))</f>
        <v/>
      </c>
      <c r="BF49" s="23"/>
      <c r="BG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9" s="21" t="str">
        <f aca="false">""</f>
        <v/>
      </c>
      <c r="BI49" s="87"/>
      <c r="BJ49" s="22"/>
      <c r="BK49" s="47" t="str">
        <f aca="false">IF(OR(Tasks[[#This Row],[Task Name]]="",Tasks[[#This Row],[Baseline Duration]]=""),"",Tasks[[#This Row],[_SpanDays]]-N(Tasks[[#This Row],[Baseline Duration]]))</f>
        <v/>
      </c>
      <c r="BL49" s="86" t="str">
        <f aca="false">IF(OR(Tasks[[#This Row],[Task Name]]="",Tasks[[#This Row],[Baseline Work]]=""),"",Tasks[[#This Row],[Work]]-N(Tasks[[#This Row],[Baseline Work]]))</f>
        <v/>
      </c>
      <c r="BM49" s="63" t="str">
        <f aca="false">IF(Tasks[[#This Row],[Task Name]]="","",IF(OR(TakeBaseline="Yes",N(Tasks[[#This Row],[Baseline Start]])=0),Tasks[[#This Row],[Start]],Tasks[[#This Row],[Baseline Start]]))</f>
        <v/>
      </c>
      <c r="BN49" s="63" t="str">
        <f aca="false">IF(Tasks[[#This Row],[Task Name]]="","",IF(OR(TakeBaseline="Yes",N(Tasks[[#This Row],[Baseline Finish]])=0),Tasks[[#This Row],[Finish]],Tasks[[#This Row],[Baseline Finish]]))</f>
        <v/>
      </c>
      <c r="BO49" s="21" t="str">
        <f aca="false">IF(Tasks[[#This Row],[Task Name]]="","",IF(OR(TakeBaseline="Yes",N(Tasks[[#This Row],[Baseline Duration]])=0),Tasks[[#This Row],[_SpanDays]],Tasks[[#This Row],[Baseline Duration]]))</f>
        <v/>
      </c>
      <c r="BP49" s="86" t="str">
        <f aca="false">IF(Tasks[[#This Row],[Task Name]]="","",IF(OR(TakeBaseline="Yes",N(Tasks[[#This Row],[Baseline Work]])=0),Tasks[[#This Row],[Work]],Tasks[[#This Row],[Baseline Work]]))</f>
        <v/>
      </c>
      <c r="BQ49" s="7"/>
      <c r="BR49" s="7"/>
      <c r="BS49" s="22"/>
      <c r="BT49" s="88"/>
      <c r="BU49" s="23"/>
      <c r="BV49" s="23"/>
      <c r="BW49" s="23"/>
      <c r="BX49" s="89" t="str">
        <f aca="false">IF(AND(Tasks[[#This Row],[_IsLeaf]]=1,ISNUMBER(Tasks[[#This Row],[Optimistic]]),ISNUMBER(Tasks[[#This Row],[Pessimistic]])),ROUND((Tasks[[#This Row],[Optimistic]]+4*N(Tasks[[#This Row],[_Days]])+Tasks[[#This Row],[Pessimistic]])/6,1),"")</f>
        <v/>
      </c>
      <c r="BY49" s="87"/>
      <c r="BZ49" s="87"/>
      <c r="CA49" s="22"/>
      <c r="CB49" s="43" t="str">
        <f aca="false">IF(Tasks[[#This Row],[Task Name]]="","",MAX(1,N(Tasks[[#This Row],[Level]])))</f>
        <v/>
      </c>
      <c r="CC49" s="43" t="n">
        <f aca="false">ROW()-ROW(Tasks[[#Headers],[ID]])</f>
        <v>44</v>
      </c>
      <c r="CD49" s="43" t="n">
        <f aca="false">IF(OR(Tasks[[#This Row],[Task Name]]="",Tasks[[#This Row],[_Level]]&lt;=1),0,IFERROR(LOOKUP(2,1/(Tasks[[#Headers],[_Level]]:Tasks[[#This Row],[_Level]]=Tasks[[#This Row],[_Level]]-1),ROW(Tasks[[#Headers],[_Level]]:Tasks[[#This Row],[_Level]])),0))</f>
        <v>0</v>
      </c>
      <c r="CE49" s="43" t="n">
        <f aca="false">IFERROR(N(INDEX(Tasks[_Level],Tasks[[#This Row],[_Row]]+1)),0)</f>
        <v>0</v>
      </c>
      <c r="CF49" s="90" t="b">
        <f aca="false">AND(Tasks[[#This Row],[Task Name]]&lt;&gt;"",Tasks[[#This Row],[_NextLevel]]&gt;Tasks[[#This Row],[_Level]])</f>
        <v>0</v>
      </c>
      <c r="CG49" s="43" t="n">
        <f aca="false">IF(Tasks[[#This Row],[_IsSummary]],COUNTIF(Tasks[WBS],Tasks[[#This Row],[WBS]]&amp;".*"),0)</f>
        <v>0</v>
      </c>
      <c r="CH49" s="43" t="n">
        <f aca="false">IF(AND(Tasks[[#This Row],[Task Name]]&lt;&gt;"",NOT(Tasks[[#This Row],[_IsSummary]])),1,0)</f>
        <v>0</v>
      </c>
      <c r="CI49" s="43" t="n">
        <f aca="false">IF(N(Tasks[[#This Row],[_Pred1UID]])=0,0,IFERROR(MATCH(Tasks[[#This Row],[_Pred1UID]],Tasks[UID],0),-1))</f>
        <v>0</v>
      </c>
      <c r="CJ49" s="43" t="n">
        <f aca="false">IF(N(Tasks[[#This Row],[_Pred2UID]])=0,0,IFERROR(MATCH(Tasks[[#This Row],[_Pred2UID]],Tasks[UID],0),-1))</f>
        <v>0</v>
      </c>
      <c r="CK49" s="43" t="n">
        <f aca="false">IF(N(Tasks[[#This Row],[_Pred3UID]])=0,0,IFERROR(MATCH(Tasks[[#This Row],[_Pred3UID]],Tasks[UID],0),-1))</f>
        <v>0</v>
      </c>
      <c r="CL49" s="43" t="n">
        <f aca="false">IF(N(Tasks[[#This Row],[_Pred4UID]])=0,0,IFERROR(MATCH(Tasks[[#This Row],[_Pred4UID]],Tasks[UID],0),-1))</f>
        <v>0</v>
      </c>
      <c r="CM4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9" s="91" t="n">
        <f aca="false">IF(OR(Tasks[[#This Row],[_ConstraintCode]]=2,Tasks[[#This Row],[_ConstraintCode]]=3,Tasks[[#This Row],[_ConstraintCode]]=4,Tasks[[#This Row],[_ConstraintCode]]=6),Tasks[[#This Row],[_ConstraintStart]],0)</f>
        <v>0</v>
      </c>
      <c r="CP49" s="91" t="n">
        <f aca="false">IF(OR(Tasks[[#This Row],[_ConstraintCode]]=2,Tasks[[#This Row],[_ConstraintCode]]=3,Tasks[[#This Row],[_ConstraintCode]]=5,Tasks[[#This Row],[_ConstraintCode]]=7),Tasks[[#This Row],[_ConstraintStart]],2958465)</f>
        <v>2958465</v>
      </c>
      <c r="CQ4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9" s="91" t="str">
        <f aca="false">IF(NOT(Tasks[[#This Row],[_IsLeaf]]=1),"",IF(N(Tasks[[#This Row],[_Days]])&lt;=0,Tasks[[#This Row],[_LeafCalcStart]],WORKDAY.INTL(Tasks[[#This Row],[_LeafCalcStart]],Tasks[[#This Row],[_Days]]-1,WorkWeek,Holidays)))</f>
        <v/>
      </c>
      <c r="CS4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9" s="43" t="str">
        <f aca="false">IF(Tasks[[#This Row],[_Predecessors]]="","",TRIM(MID(SUBSTITUTE(SUBSTITUTE(SUBSTITUTE(UPPER(Tasks[[#This Row],[_Predecessors]]),";",",")," ",""),",",REPT(" ",99)),1,99)))</f>
        <v/>
      </c>
      <c r="CV49" s="43" t="str">
        <f aca="false">IF(Tasks[[#This Row],[_Pred1Text]]="","",IFERROR(VALUE(LEFT(Tasks[[#This Row],[_Pred1Text]],MIN(FIND("F",Tasks[[#This Row],[_Pred1Text]]&amp;"F"),FIND("S",Tasks[[#This Row],[_Pred1Text]]&amp;"S"),FIND("+",Tasks[[#This Row],[_Pred1Text]]&amp;"+"),FIND("-",Tasks[[#This Row],[_Pred1Text]]&amp;"-"))-1)),""))</f>
        <v/>
      </c>
      <c r="CW4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9" s="43" t="str">
        <f aca="false">IF(Tasks[[#This Row],[_Pred1Text]]="","",TRIM(MID(SUBSTITUTE(SUBSTITUTE(SUBSTITUTE(UPPER(Tasks[[#This Row],[_Predecessors]]),";",",")," ",""),",",REPT(" ",99)),100,99)))</f>
        <v/>
      </c>
      <c r="CZ49" s="43" t="str">
        <f aca="false">IF(Tasks[[#This Row],[_Pred2Text]]="","",IFERROR(VALUE(LEFT(Tasks[[#This Row],[_Pred2Text]],MIN(FIND("F",Tasks[[#This Row],[_Pred2Text]]&amp;"F"),FIND("S",Tasks[[#This Row],[_Pred2Text]]&amp;"S"),FIND("+",Tasks[[#This Row],[_Pred2Text]]&amp;"+"),FIND("-",Tasks[[#This Row],[_Pred2Text]]&amp;"-"))-1)),""))</f>
        <v/>
      </c>
      <c r="DA4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9" s="43" t="str">
        <f aca="false">IF(Tasks[[#This Row],[_Pred2Text]]="","",TRIM(MID(SUBSTITUTE(SUBSTITUTE(SUBSTITUTE(UPPER(Tasks[[#This Row],[_Predecessors]]),";",",")," ",""),",",REPT(" ",99)),199,99)))</f>
        <v/>
      </c>
      <c r="DD49" s="43" t="str">
        <f aca="false">IF(Tasks[[#This Row],[_Pred3Text]]="","",IFERROR(VALUE(LEFT(Tasks[[#This Row],[_Pred3Text]],MIN(FIND("F",Tasks[[#This Row],[_Pred3Text]]&amp;"F"),FIND("S",Tasks[[#This Row],[_Pred3Text]]&amp;"S"),FIND("+",Tasks[[#This Row],[_Pred3Text]]&amp;"+"),FIND("-",Tasks[[#This Row],[_Pred3Text]]&amp;"-"))-1)),""))</f>
        <v/>
      </c>
      <c r="DE4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9" s="43" t="str">
        <f aca="false">IF(Tasks[[#This Row],[_Pred3Text]]="","",TRIM(MID(SUBSTITUTE(SUBSTITUTE(SUBSTITUTE(UPPER(Tasks[[#This Row],[_Predecessors]]),";",",")," ",""),",",REPT(" ",99)),298,99)))</f>
        <v/>
      </c>
      <c r="DH49" s="43" t="str">
        <f aca="false">IF(Tasks[[#This Row],[_Pred4Text]]="","",IFERROR(VALUE(LEFT(Tasks[[#This Row],[_Pred4Text]],MIN(FIND("F",Tasks[[#This Row],[_Pred4Text]]&amp;"F"),FIND("S",Tasks[[#This Row],[_Pred4Text]]&amp;"S"),FIND("+",Tasks[[#This Row],[_Pred4Text]]&amp;"+"),FIND("-",Tasks[[#This Row],[_Pred4Text]]&amp;"-"))-1)),""))</f>
        <v/>
      </c>
      <c r="DI4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9" s="43" t="str">
        <f aca="false">IF(OR(Tasks[[#This Row],[Task Name]]="",Tasks[[#This Row],[_Resources]]=""),"",TRIM(MID(SUBSTITUTE(Tasks[[#This Row],[_Resources]],",",REPT(" ",99)),1,99)))</f>
        <v/>
      </c>
      <c r="DL49" s="43" t="str">
        <f aca="false">IF(Tasks[[#This Row],[_Res1Text]]="","",TRIM(MID(SUBSTITUTE(Tasks[[#This Row],[_Resources]],",",REPT(" ",99)),100,99)))</f>
        <v/>
      </c>
      <c r="DM49" s="43" t="str">
        <f aca="false">IF(Tasks[[#This Row],[_Res2Text]]="","",TRIM(MID(SUBSTITUTE(Tasks[[#This Row],[_Resources]],",",REPT(" ",99)),199,99)))</f>
        <v/>
      </c>
      <c r="DN49" s="43" t="str">
        <f aca="false">IF(Tasks[[#This Row],[_Res3Text]]="","",TRIM(MID(SUBSTITUTE(Tasks[[#This Row],[_Resources]],",",REPT(" ",99)),298,99)))</f>
        <v/>
      </c>
      <c r="DO49" s="43" t="n">
        <f aca="false">IF(Tasks[[#This Row],[_Res1Text]]="",0,IFERROR(MATCH(TRIM(LEFT(Tasks[[#This Row],[_Res1Text]],FIND("[",Tasks[[#This Row],[_Res1Text]]&amp;"[")-1)),res_Name,0),IFERROR(MATCH(TRIM(LEFT(Tasks[[#This Row],[_Res1Text]],FIND("[",Tasks[[#This Row],[_Res1Text]]&amp;"[")-1)),res_Initials,0),0)))</f>
        <v>0</v>
      </c>
      <c r="DP49" s="43" t="n">
        <f aca="false">IF(Tasks[[#This Row],[_Res2Text]]="",0,IFERROR(MATCH(TRIM(LEFT(Tasks[[#This Row],[_Res2Text]],FIND("[",Tasks[[#This Row],[_Res2Text]]&amp;"[")-1)),res_Name,0),IFERROR(MATCH(TRIM(LEFT(Tasks[[#This Row],[_Res2Text]],FIND("[",Tasks[[#This Row],[_Res2Text]]&amp;"[")-1)),res_Initials,0),0)))</f>
        <v>0</v>
      </c>
      <c r="DQ49" s="43" t="n">
        <f aca="false">IF(Tasks[[#This Row],[_Res3Text]]="",0,IFERROR(MATCH(TRIM(LEFT(Tasks[[#This Row],[_Res3Text]],FIND("[",Tasks[[#This Row],[_Res3Text]]&amp;"[")-1)),res_Name,0),IFERROR(MATCH(TRIM(LEFT(Tasks[[#This Row],[_Res3Text]],FIND("[",Tasks[[#This Row],[_Res3Text]]&amp;"[")-1)),res_Initials,0),0)))</f>
        <v>0</v>
      </c>
      <c r="DR49" s="43" t="n">
        <f aca="false">IF(Tasks[[#This Row],[_Res4Text]]="",0,IFERROR(MATCH(TRIM(LEFT(Tasks[[#This Row],[_Res4Text]],FIND("[",Tasks[[#This Row],[_Res4Text]]&amp;"[")-1)),res_Name,0),IFERROR(MATCH(TRIM(LEFT(Tasks[[#This Row],[_Res4Text]],FIND("[",Tasks[[#This Row],[_Res4Text]]&amp;"[")-1)),res_Initials,0),0)))</f>
        <v>0</v>
      </c>
      <c r="DS49" s="43" t="str">
        <f aca="false">IF(Tasks[[#This Row],[_Res1Text]]="","",IF(Tasks[[#This Row],[_Res1Row]]&gt;0,INDEX(res_Name,Tasks[[#This Row],[_Res1Row]]),TRIM(LEFT(Tasks[[#This Row],[_Res1Text]],FIND("[",Tasks[[#This Row],[_Res1Text]]&amp;"[")-1))))</f>
        <v/>
      </c>
      <c r="DT4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9" s="43" t="n">
        <f aca="false">IF(NOT(Tasks[[#This Row],[_IsLeaf]]=1),0,(Tasks[[#This Row],[_Resource1]]&lt;&gt;"")+(Tasks[[#This Row],[_Res2]]&lt;&gt;"")+(Tasks[[#This Row],[_Res3]]&lt;&gt;"")+(Tasks[[#This Row],[_Res4]]&lt;&gt;""))</f>
        <v>0</v>
      </c>
      <c r="DV49" s="43" t="str">
        <f aca="false">IF(Tasks[[#This Row],[_Res2Text]]="","",IF(Tasks[[#This Row],[_Res2Row]]&gt;0,INDEX(res_Name,Tasks[[#This Row],[_Res2Row]]),TRIM(LEFT(Tasks[[#This Row],[_Res2Text]],FIND("[",Tasks[[#This Row],[_Res2Text]]&amp;"[")-1))))</f>
        <v/>
      </c>
      <c r="DW4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9" s="43" t="n">
        <f aca="false">IF(OR(NOT(Tasks[[#This Row],[_IsLeaf]]=1),Tasks[[#This Row],[_Res2Row]]=0),0,N(Tasks[[#This Row],[_Days]])*HoursPerDay*IF(Tasks[[#This Row],[_Res2Units]]="",DefaultUnits,Tasks[[#This Row],[_Res2Units]]))</f>
        <v>0</v>
      </c>
      <c r="DY49" s="43" t="n">
        <f aca="false">IF(AND(AND(Tasks[[#This Row],[_IsLeaf]]=1,Tasks[[#This Row],[_LeafTotalWork]]&gt;0),Tasks[[#This Row],[_Res2Work]]&gt;0),Tasks[[#This Row],[_Res2Work]]/(Tasks[[#This Row],[_FinishWorkday]]-Tasks[[#This Row],[_StartWorkday]]+1),0)</f>
        <v>0</v>
      </c>
      <c r="DZ49" s="43" t="n">
        <f aca="false">Tasks[[#This Row],[_Res2WorkPerWD]]*MAX(0,Tasks[[#This Row],[_StartWorkday]]-1)</f>
        <v>0</v>
      </c>
      <c r="EA49" s="43" t="n">
        <f aca="false">Tasks[[#This Row],[_Res2Work]]*Tasks[[#This Row],[_LeafProgress]]</f>
        <v>0</v>
      </c>
      <c r="EB49" s="43" t="str">
        <f aca="false">IF(Tasks[[#This Row],[_Res3Text]]="","",IF(Tasks[[#This Row],[_Res3Row]]&gt;0,INDEX(res_Name,Tasks[[#This Row],[_Res3Row]]),TRIM(LEFT(Tasks[[#This Row],[_Res3Text]],FIND("[",Tasks[[#This Row],[_Res3Text]]&amp;"[")-1))))</f>
        <v/>
      </c>
      <c r="EC4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9" s="43" t="n">
        <f aca="false">IF(OR(NOT(Tasks[[#This Row],[_IsLeaf]]=1),Tasks[[#This Row],[_Res3Row]]=0),0,N(Tasks[[#This Row],[_Days]])*HoursPerDay*IF(Tasks[[#This Row],[_Res3Units]]="",DefaultUnits,Tasks[[#This Row],[_Res3Units]]))</f>
        <v>0</v>
      </c>
      <c r="EE49" s="43" t="n">
        <f aca="false">IF(AND(AND(Tasks[[#This Row],[_IsLeaf]]=1,Tasks[[#This Row],[_LeafTotalWork]]&gt;0),Tasks[[#This Row],[_Res3Work]]&gt;0),Tasks[[#This Row],[_Res3Work]]/(Tasks[[#This Row],[_FinishWorkday]]-Tasks[[#This Row],[_StartWorkday]]+1),0)</f>
        <v>0</v>
      </c>
      <c r="EF49" s="43" t="n">
        <f aca="false">Tasks[[#This Row],[_Res3WorkPerWD]]*MAX(0,Tasks[[#This Row],[_StartWorkday]]-1)</f>
        <v>0</v>
      </c>
      <c r="EG49" s="43" t="n">
        <f aca="false">Tasks[[#This Row],[_Res3Work]]*Tasks[[#This Row],[_LeafProgress]]</f>
        <v>0</v>
      </c>
      <c r="EH49" s="43" t="str">
        <f aca="false">IF(Tasks[[#This Row],[_Res4Text]]="","",IF(Tasks[[#This Row],[_Res4Row]]&gt;0,INDEX(res_Name,Tasks[[#This Row],[_Res4Row]]),TRIM(LEFT(Tasks[[#This Row],[_Res4Text]],FIND("[",Tasks[[#This Row],[_Res4Text]]&amp;"[")-1))))</f>
        <v/>
      </c>
      <c r="EI4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9" s="43" t="n">
        <f aca="false">IF(OR(NOT(Tasks[[#This Row],[_IsLeaf]]=1),Tasks[[#This Row],[_Res4Row]]=0),0,N(Tasks[[#This Row],[_Days]])*HoursPerDay*IF(Tasks[[#This Row],[_Res4Units]]="",DefaultUnits,Tasks[[#This Row],[_Res4Units]]))</f>
        <v>0</v>
      </c>
      <c r="EK49" s="43" t="n">
        <f aca="false">IF(AND(AND(Tasks[[#This Row],[_IsLeaf]]=1,Tasks[[#This Row],[_LeafTotalWork]]&gt;0),Tasks[[#This Row],[_Res4Work]]&gt;0),Tasks[[#This Row],[_Res4Work]]/(Tasks[[#This Row],[_FinishWorkday]]-Tasks[[#This Row],[_StartWorkday]]+1),0)</f>
        <v>0</v>
      </c>
      <c r="EL49" s="43" t="n">
        <f aca="false">Tasks[[#This Row],[_Res4WorkPerWD]]*MAX(0,Tasks[[#This Row],[_StartWorkday]]-1)</f>
        <v>0</v>
      </c>
      <c r="EM49" s="43" t="n">
        <f aca="false">Tasks[[#This Row],[_Res4Work]]*Tasks[[#This Row],[_LeafProgress]]</f>
        <v>0</v>
      </c>
      <c r="EN49" s="43" t="n">
        <f aca="false">IF(ISNUMBER(Tasks[[#This Row],[% Complete]]),Tasks[[#This Row],[% Complete]],IF(Tasks[[#This Row],[Stage]]="",0,IFERROR(INDEX(stg_Pct,MATCH(Tasks[[#This Row],[Stage]],stg_Name,0)),0)))</f>
        <v>0</v>
      </c>
      <c r="EO49" s="43" t="n">
        <f aca="false">IF(NOT(Tasks[[#This Row],[_IsLeaf]]=1),0,IF(N(Tasks[[#This Row],[Actual Finish]])&gt;0,1,MIN(1,Tasks[[#This Row],[_Pct]])))</f>
        <v>0</v>
      </c>
      <c r="EP49" s="43" t="n">
        <f aca="false">IF(OR(NOT(Tasks[[#This Row],[_IsLeaf]]=1),Tasks[[#This Row],[_Res1Row]]=0),0,N(Tasks[[#This Row],[_Days]])*HoursPerDay*IF(Tasks[[#This Row],[_Units1]]="",DefaultUnits,Tasks[[#This Row],[_Units1]]))</f>
        <v>0</v>
      </c>
      <c r="EQ49" s="43" t="n">
        <f aca="false">Tasks[[#This Row],[_LeafWork]]+Tasks[[#This Row],[_Res2Work]]+Tasks[[#This Row],[_Res3Work]]+Tasks[[#This Row],[_Res4Work]]</f>
        <v>0</v>
      </c>
      <c r="ER4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9" s="43" t="n">
        <f aca="false">IF(NOT(Tasks[[#This Row],[_IsLeaf]]=1),0,MAX(_xlfn.MAXIFS(Tasks[_Row],Tasks[_Pred1UID],Tasks[[#This Row],[UID]]),_xlfn.MAXIFS(Tasks[_Row],Tasks[_Pred2UID],Tasks[[#This Row],[UID]]),_xlfn.MAXIFS(Tasks[_Row],Tasks[_Pred3UID],Tasks[[#This Row],[UID]]),_xlfn.MAXIFS(Tasks[_Row],Tasks[_Pred4UID],Tasks[[#This Row],[UID]])))</f>
        <v>0</v>
      </c>
      <c r="FA4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9" s="91" t="str">
        <f aca="false">IF(NOT(Tasks[[#This Row],[_IsLeaf]]=1),"",IF(N(Tasks[[#This Row],[_Days]])&lt;=0,Tasks[[#This Row],[_LeafLateFinish]],WORKDAY.INTL(Tasks[[#This Row],[_LeafLateFinish]],-(Tasks[[#This Row],[_Days]]-1),WorkWeek,Holidays)))</f>
        <v/>
      </c>
      <c r="FD4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9" s="90" t="b">
        <f aca="false">AND(Tasks[[#This Row],[_IsLeaf]]=1,Tasks[[#This Row],[_LeafProgress]]&lt;1,N(Tasks[[#This Row],[_LeafTotalSlack]])&lt;=CriticalSlackDays)</f>
        <v>0</v>
      </c>
      <c r="FF49" s="43" t="n">
        <f aca="false">IF(AND(Tasks[[#This Row],[_IsLeaf]]=1,Tasks[[#This Row],[_ConstraintCode]]=1,Tasks[[#This Row],[Mode]]&lt;&gt;"Manual",N(Tasks[[#This Row],[Actual Start]])=0),MAX(0,N(Tasks[[#This Row],[Free Slack]])),0)</f>
        <v>0</v>
      </c>
      <c r="FG49" s="91" t="str">
        <f aca="false">IF(NOT(Tasks[[#This Row],[_IsLeaf]]=1),"",IF(Tasks[[#This Row],[_AlapShift]]=0,Tasks[[#This Row],[_LeafCalcStart]],WORKDAY.INTL(Tasks[[#This Row],[_LeafCalcStart]],Tasks[[#This Row],[_AlapShift]],WorkWeek,Holidays)))</f>
        <v/>
      </c>
      <c r="FH49" s="91" t="str">
        <f aca="false">IF(NOT(Tasks[[#This Row],[_IsLeaf]]=1),"",IF(Tasks[[#This Row],[_AlapShift]]=0,Tasks[[#This Row],[_LeafCalcFinish]],WORKDAY.INTL(Tasks[[#This Row],[_LeafCalcFinish]],Tasks[[#This Row],[_AlapShift]],WorkWeek,Holidays)))</f>
        <v/>
      </c>
      <c r="FI49" s="91" t="str">
        <f aca="false">IF(NOT(Tasks[[#This Row],[_IsLeaf]]=1),"",IF(Tasks[[#This Row],[_AlapShift]]=0,Tasks[[#This Row],[_LeafFcstStart]],WORKDAY.INTL(Tasks[[#This Row],[_LeafFcstStart]],Tasks[[#This Row],[_AlapShift]],WorkWeek,Holidays)))</f>
        <v/>
      </c>
      <c r="FJ49" s="91" t="str">
        <f aca="false">IF(NOT(Tasks[[#This Row],[_IsLeaf]]=1),"",IF(Tasks[[#This Row],[_AlapShift]]=0,Tasks[[#This Row],[_LeafFcstFinish]],WORKDAY.INTL(Tasks[[#This Row],[_LeafFcstFinish]],Tasks[[#This Row],[_AlapShift]],WorkWeek,Holidays)))</f>
        <v/>
      </c>
      <c r="FK49" s="91" t="str">
        <f aca="false">IF(Tasks[[#This Row],[Task Name]]="","",IF(Tasks[[#This Row],[_IsSummary]],MIN(INDEX(Tasks[_ShownCalcStart],Tasks[[#This Row],[_Row]]+1):INDEX(Tasks[_ShownCalcStart],Tasks[[#This Row],[_Row]]+Tasks[[#This Row],[_Descendants]])),Tasks[[#This Row],[_ShownCalcStart]]))</f>
        <v/>
      </c>
      <c r="FL49" s="91" t="str">
        <f aca="false">IF(Tasks[[#This Row],[Task Name]]="","",IF(Tasks[[#This Row],[_IsSummary]],MAX(INDEX(Tasks[_ShownCalcFinish],Tasks[[#This Row],[_Row]]+1):INDEX(Tasks[_ShownCalcFinish],Tasks[[#This Row],[_Row]]+Tasks[[#This Row],[_Descendants]])),Tasks[[#This Row],[_ShownCalcFinish]]))</f>
        <v/>
      </c>
      <c r="FM4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9" s="43" t="n">
        <f aca="false">IF(AND(Tasks[[#This Row],[_IsLeaf]]=1,Tasks[[#This Row],[_LeafTotalWork]]&gt;0),NETWORKDAYS.INTL(ProjectStart,Tasks[[#This Row],[_ShownFcstStart]],WorkWeek,Holidays),0)</f>
        <v>0</v>
      </c>
      <c r="FZ49" s="43" t="n">
        <f aca="false">IF(AND(Tasks[[#This Row],[_IsLeaf]]=1,Tasks[[#This Row],[_LeafTotalWork]]&gt;0),MAX(Tasks[[#This Row],[_StartWorkday]],NETWORKDAYS.INTL(ProjectStart,Tasks[[#This Row],[_ShownFcstFinish]],WorkWeek,Holidays)),0)</f>
        <v>0</v>
      </c>
      <c r="GA49" s="43" t="n">
        <f aca="false">IF(AND(Tasks[[#This Row],[_IsLeaf]]=1,Tasks[[#This Row],[_LeafTotalWork]]&gt;0),Tasks[[#This Row],[_LeafWork]]/(Tasks[[#This Row],[_FinishWorkday]]-Tasks[[#This Row],[_StartWorkday]]+1),0)</f>
        <v>0</v>
      </c>
      <c r="GB49" s="43" t="n">
        <f aca="false">Tasks[[#This Row],[_WorkPerWorkday]]*(Tasks[[#This Row],[_StartWorkday]]-1)</f>
        <v>-0</v>
      </c>
      <c r="GC49" s="43" t="n">
        <f aca="false">IF(Tasks[[#This Row],[_IsLeaf]]=1,MAX(N(Tasks[[#This Row],[_Days]]),0.1),0)</f>
        <v>0</v>
      </c>
      <c r="GD49" s="43" t="n">
        <f aca="false">Tasks[[#This Row],[_WeightDur]]*Tasks[[#This Row],[_LeafProgress]]</f>
        <v>0</v>
      </c>
      <c r="GE49" s="43" t="n">
        <f aca="false">Tasks[[#This Row],[_WeightDur]]*Tasks[[#This Row],[_PlannedPct]]</f>
        <v>0</v>
      </c>
      <c r="GF4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9" s="43" t="str">
        <f aca="false">IF(AND(Tasks[[#This Row],[_IsLeaf]]=1,N(Tasks[[#This Row],[_Days]])=0,Tasks[[#This Row],[_LeafProgress]]&lt;1),Tasks[[#This Row],[_ShownFcstFinish]]+Tasks[[#This Row],[_Row]]/100000,"")</f>
        <v/>
      </c>
      <c r="GH4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9" s="43" t="str">
        <f aca="false">IF(Tasks[[#This Row],[Task Name]]="","",LEFT(Tasks[[#This Row],[WBS]],FIND(".",Tasks[[#This Row],[WBS]]&amp;".")-1))</f>
        <v/>
      </c>
      <c r="GJ49" s="43" t="str">
        <f aca="false">IF(AND(Tasks[[#This Row],[Task Name]]&lt;&gt;"",Tasks[[#This Row],[_Level]]=1),Tasks[[#This Row],[_Row]],"")</f>
        <v/>
      </c>
      <c r="GK49" s="43" t="str">
        <f aca="false">IF(AND(Tasks[[#This Row],[_IsLeaf]]=1,N(Tasks[[#This Row],[_Days]])=0),Tasks[[#This Row],[Planned Finish]]+Tasks[[#This Row],[_Row]]/100000,"")</f>
        <v/>
      </c>
      <c r="GL49" s="43" t="str">
        <f aca="false">IF(AND(Tasks[[#This Row],[_IsLeaf]]=1,Tasks[[#This Row],[_LeafProgress]]&lt;1,OR(N(Tasks[[#This Row],[Finish Var]])&gt;0,Tasks[[#This Row],[Status]]="Late Start")),MAX(0,Tasks[[#This Row],[Finish Var]])+1-Tasks[[#This Row],[_Row]]/1000000,"")</f>
        <v/>
      </c>
      <c r="GM49" s="43" t="str">
        <f aca="false">IF(AND(Tasks[[#This Row],[_IsLeaf]]=1,N(Tasks[[#This Row],[Actual Start]])=0,Tasks[[#This Row],[_ShownFcstStart]]&gt;=StatusDate,Tasks[[#This Row],[_ShownFcstStart]]&lt;=LookaheadEnd),Tasks[[#This Row],[_ShownFcstStart]]+Tasks[[#This Row],[_Row]]/100000,"")</f>
        <v/>
      </c>
      <c r="GN49" s="43" t="str">
        <f aca="false">IF(AND(Tasks[[#This Row],[_IsLeaf]]=1,Tasks[[#This Row],[_LeafProgress]]&lt;1,Tasks[[#This Row],[_ShownFcstFinish]]&gt;=StatusDate,Tasks[[#This Row],[_ShownFcstFinish]]&lt;=LookaheadEnd),Tasks[[#This Row],[_ShownFcstFinish]]+Tasks[[#This Row],[_Row]]/100000,"")</f>
        <v/>
      </c>
      <c r="GO49" s="43" t="str">
        <f aca="false">IF(Tasks[[#This Row],[_LeafCritical]],Tasks[[#This Row],[_ShownFcstStart]]+Tasks[[#This Row],[_Row]]/100000,"")</f>
        <v/>
      </c>
      <c r="GP49" s="43" t="n">
        <f aca="false">Tasks[[#This Row],[_LeafWork]]*Tasks[[#This Row],[_LeafProgress]]</f>
        <v>0</v>
      </c>
      <c r="GQ49" s="91" t="str">
        <f aca="false">IF(AND(Tasks[[#This Row],[_IsLeaf]]=1,Tasks[[#This Row],[_LeafProgress]]&gt;=1),IF(N(Tasks[[#This Row],[Actual Finish]])&gt;0,Tasks[[#This Row],[Actual Finish]],Tasks[[#This Row],[_ShownFcstFinish]]),"")</f>
        <v/>
      </c>
      <c r="GR49" s="43" t="n">
        <f aca="false">IF(Tasks[[#This Row],[_IsLeaf]]=1,N(Tasks[[#This Row],[Story Points]]),0)</f>
        <v>0</v>
      </c>
      <c r="GS49" s="43" t="str">
        <f aca="false">""</f>
        <v/>
      </c>
      <c r="GT49" s="90" t="b">
        <f aca="false">IF(Tasks[[#This Row],[Task Name]]="",FALSE(),AND(Tasks[[#This Row],[_IsLeaf]]=1,N(Tasks[[#This Row],[_Days]])=0))</f>
        <v>0</v>
      </c>
      <c r="GU49" s="91" t="n">
        <f aca="false">IF(Tasks[[#This Row],[Task Name]]="",0,IF(AND(Tasks[[#This Row],[_IsLeaf]]=1,NOT(Tasks[[#This Row],[_IsMilestone]]),N(Tasks[[#This Row],[Progress]])&gt;0),Tasks[[#This Row],[Start]],0))</f>
        <v>0</v>
      </c>
      <c r="GV49" s="91" t="n">
        <f aca="false">IF(Tasks[[#This Row],[_DoneFrom]]=0,0,IF(Tasks[[#This Row],[Progress]]&gt;=1,Tasks[[#This Row],[Finish]],MAX(Tasks[[#This Row],[_DoneFrom]],Tasks[[#This Row],[Start]]+ROUND((Tasks[[#This Row],[Finish]]-Tasks[[#This Row],[Start]]+1)*Tasks[[#This Row],[Progress]],0)-1)))</f>
        <v>0</v>
      </c>
      <c r="GW49" s="91" t="n">
        <f aca="false">IF(Tasks[[#This Row],[Task Name]]="",0,IF(OR(NOT(Tasks[[#This Row],[_IsLeaf]]=1),Tasks[[#This Row],[_IsMilestone]],N(Tasks[[#This Row],[Progress]])&gt;=1),0,IF(Tasks[[#This Row],[_DoneTo]]&gt;0,Tasks[[#This Row],[_DoneTo]]+1,Tasks[[#This Row],[Start]])))</f>
        <v>0</v>
      </c>
      <c r="GX49" s="91" t="n">
        <f aca="false">IF(Tasks[[#This Row],[_RemFrom]]=0,0,Tasks[[#This Row],[Finish]])</f>
        <v>0</v>
      </c>
      <c r="GY49" s="90" t="b">
        <f aca="false">IF(Tasks[[#This Row],[Task Name]]="",FALSE(),OR(NOT(BaselineSet),N(Tasks[[#This Row],[Baseline Start]])&gt;0))</f>
        <v>0</v>
      </c>
      <c r="GZ4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9" s="92" t="str">
        <f aca="false">IF(Tasks[[#This Row],[_IsLeaf]]=1,Tasks[[#This Row],[_Row]],"")</f>
        <v/>
      </c>
      <c r="HD49" s="92" t="str">
        <f aca="false">IFERROR(INDEX(Tasks[UID],SMALL(Tasks[_PickKey],Tasks[[#This Row],[_Row]]))&amp;" "&amp;INDEX(Tasks[Task Name],SMALL(Tasks[_PickKey],Tasks[[#This Row],[_Row]])),"")</f>
        <v/>
      </c>
      <c r="HE49" s="43" t="str">
        <f aca="false">IF(Tasks[[#This Row],[Task Name]]="","",IF(Tasks[[#This Row],[_IsSummary]],NETWORKDAYS.INTL(Tasks[[#This Row],[Start]],Tasks[[#This Row],[Finish]],WorkWeek,Holidays),N(Tasks[[#This Row],[_Days]])))</f>
        <v/>
      </c>
      <c r="HF49" s="43" t="n">
        <f aca="false">IF(Tasks[[#This Row],[Expected]]="",0,((Tasks[[#This Row],[Pessimistic]]-Tasks[[#This Row],[Optimistic]])/6)^2)</f>
        <v>0</v>
      </c>
      <c r="HG49" s="43" t="n">
        <f aca="false">IF(Tasks[[#This Row],[Expected]]="",0,Tasks[[#This Row],[Expected]]-N(Tasks[[#This Row],[_Days]]))</f>
        <v>0</v>
      </c>
    </row>
    <row r="50" customFormat="false" ht="15" hidden="false" customHeight="false" outlineLevel="0" collapsed="false">
      <c r="A50" s="21" t="str">
        <f aca="false">IF(Tasks[[#This Row],[Task Name]]="","",COUNTA(Tasks[[#Headers],[Task Name]]:Tasks[[#This Row],[Task Name]])-1)</f>
        <v/>
      </c>
      <c r="B50" s="22" t="n">
        <v>58</v>
      </c>
      <c r="C50" s="22"/>
      <c r="D50" s="23"/>
      <c r="E50" s="22"/>
      <c r="F50" s="23"/>
      <c r="G50" s="22"/>
      <c r="H50" s="22"/>
      <c r="I50" s="23"/>
      <c r="J50" s="22"/>
      <c r="K50" s="22"/>
      <c r="L50" s="23"/>
      <c r="M50" s="22"/>
      <c r="N50" s="22"/>
      <c r="O50" s="23"/>
      <c r="P50" s="22"/>
      <c r="Q50" s="22"/>
      <c r="R50" s="23"/>
      <c r="S50" s="23"/>
      <c r="T50" s="84"/>
      <c r="U50" s="23"/>
      <c r="V50" s="84"/>
      <c r="W50" s="23"/>
      <c r="X50" s="84"/>
      <c r="Y50" s="23"/>
      <c r="Z50" s="84"/>
      <c r="AA50" s="23"/>
      <c r="AB50" s="23"/>
      <c r="AC50" s="7"/>
      <c r="AD50" s="7"/>
      <c r="AE50" s="63" t="str">
        <f aca="false">IF(Tasks[[#This Row],[Task Name]]="","",IF(Tasks[[#This Row],[_IsSummary]],MIN(INDEX(Tasks[_ShownFcstStart],Tasks[[#This Row],[_Row]]+1):INDEX(Tasks[_ShownFcstStart],Tasks[[#This Row],[_Row]]+Tasks[[#This Row],[_Descendants]])),Tasks[[#This Row],[_ShownFcstStart]]))</f>
        <v/>
      </c>
      <c r="AF50" s="63" t="str">
        <f aca="false">IF(Tasks[[#This Row],[Task Name]]="","",IF(Tasks[[#This Row],[_IsSummary]],MAX(INDEX(Tasks[_ShownFcstFinish],Tasks[[#This Row],[_Row]]+1):INDEX(Tasks[_ShownFcstFinish],Tasks[[#This Row],[_Row]]+Tasks[[#This Row],[_Descendants]])),Tasks[[#This Row],[_ShownFcstFinish]]))</f>
        <v/>
      </c>
      <c r="AG50" s="21" t="str">
        <f aca="false">""</f>
        <v/>
      </c>
      <c r="AH50" s="23"/>
      <c r="AI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0" s="7"/>
      <c r="AK50" s="22"/>
      <c r="AL50" s="23"/>
      <c r="AM50" s="7"/>
      <c r="AN50" s="47" t="str">
        <f aca="false">IF(Tasks[[#This Row],[Task Name]]="","",IF(Tasks[[#This Row],[Finish]]&gt;=Tasks[[#This Row],[Planned Finish]],NETWORKDAYS.INTL(Tasks[[#This Row],[Planned Finish]],Tasks[[#This Row],[Finish]],WorkWeek,Holidays)-1,1-NETWORKDAYS.INTL(Tasks[[#This Row],[Finish]],Tasks[[#This Row],[Planned Finish]],WorkWeek,Holidays)))</f>
        <v/>
      </c>
      <c r="AO50" s="21" t="str">
        <f aca="false">IF(Tasks[[#This Row],[Task Name]]="","",IF(Tasks[[#This Row],[Progress]]&gt;=1,"Complete",IF(OR(N(Tasks[[#This Row],[Actual Start]])&gt;0,Tasks[[#This Row],[Progress]]&gt;0),IF(Tasks[[#This Row],[Finish Var]]&gt;0,"Behind","In Progress"),IF(Tasks[[#This Row],[Planned Start]]&lt;StatusDate,"Late Start","Not Started"))))</f>
        <v/>
      </c>
      <c r="AP50" s="21" t="str">
        <f aca="false">IF(Tasks[[#This Row],[Task Name]]="","",IF(IF(Tasks[[#This Row],[_IsSummary]],COUNTIF(INDEX(Tasks[_LeafCritical],Tasks[[#This Row],[_Row]]+1):INDEX(Tasks[_LeafCritical],Tasks[[#This Row],[_Row]]+Tasks[[#This Row],[_Descendants]]),TRUE())&gt;0,Tasks[[#This Row],[_LeafCritical]]),"Yes",""))</f>
        <v/>
      </c>
      <c r="AQ50" s="63" t="str">
        <f aca="false">IF(Tasks[[#This Row],[Task Name]]="","",IF(N(Tasks[[#This Row],[Baseline Start]])&gt;0,Tasks[[#This Row],[Baseline Start]],Tasks[[#This Row],[_CalcStart]]))</f>
        <v/>
      </c>
      <c r="AR50" s="63" t="str">
        <f aca="false">IF(Tasks[[#This Row],[Task Name]]="","",IF(N(Tasks[[#This Row],[Baseline Finish]])&gt;0,Tasks[[#This Row],[Baseline Finish]],Tasks[[#This Row],[_CalcFinish]]))</f>
        <v/>
      </c>
      <c r="AS50" s="47" t="str">
        <f aca="false">IF(Tasks[[#This Row],[Task Name]]="","",IF(Tasks[[#This Row],[Start]]&gt;=Tasks[[#This Row],[Planned Start]],NETWORKDAYS.INTL(Tasks[[#This Row],[Planned Start]],Tasks[[#This Row],[Start]],WorkWeek,Holidays)-1,1-NETWORKDAYS.INTL(Tasks[[#This Row],[Start]],Tasks[[#This Row],[Planned Start]],WorkWeek,Holidays)))</f>
        <v/>
      </c>
      <c r="AT50" s="63" t="str">
        <f aca="false">IF(Tasks[[#This Row],[Task Name]]="","",IF(Tasks[[#This Row],[_IsSummary]],MIN(INDEX(Tasks[_LeafLateStart],Tasks[[#This Row],[_Row]]+1):INDEX(Tasks[_LeafLateStart],Tasks[[#This Row],[_Row]]+Tasks[[#This Row],[_Descendants]])),Tasks[[#This Row],[_LeafLateStart]]))</f>
        <v/>
      </c>
      <c r="AU50" s="63" t="str">
        <f aca="false">IF(Tasks[[#This Row],[Task Name]]="","",IF(Tasks[[#This Row],[_IsSummary]],MAX(INDEX(Tasks[_LeafLateFinish],Tasks[[#This Row],[_Row]]+1):INDEX(Tasks[_LeafLateFinish],Tasks[[#This Row],[_Row]]+Tasks[[#This Row],[_Descendants]])),Tasks[[#This Row],[_LeafLateFinish]]))</f>
        <v/>
      </c>
      <c r="AV50" s="47" t="str">
        <f aca="false">IF(Tasks[[#This Row],[Task Name]]="","",IF(Tasks[[#This Row],[_IsSummary]],MIN(INDEX(Tasks[_LeafTotalSlack],Tasks[[#This Row],[_Row]]+1):INDEX(Tasks[_LeafTotalSlack],Tasks[[#This Row],[_Row]]+Tasks[[#This Row],[_Descendants]])),Tasks[[#This Row],[_LeafTotalSlack]]))</f>
        <v/>
      </c>
      <c r="AW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5"/>
      <c r="BA5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1" t="str">
        <f aca="false">IF(Tasks[[#This Row],[Task Name]]="","",IF(Tasks[[#This Row],[_Level]]&lt;=OutlineShowLevel,"Yes","No"))</f>
        <v/>
      </c>
      <c r="BE50" s="86" t="str">
        <f aca="false">IF(Tasks[[#This Row],[Task Name]]="","",IF(Tasks[[#This Row],[_IsSummary]],SUM(INDEX(Tasks[_LeafTotalWork],Tasks[[#This Row],[_Row]]+1):INDEX(Tasks[_LeafTotalWork],Tasks[[#This Row],[_Row]]+Tasks[[#This Row],[_Descendants]])),Tasks[[#This Row],[_LeafTotalWork]]))</f>
        <v/>
      </c>
      <c r="BF50" s="23"/>
      <c r="BG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0" s="21" t="str">
        <f aca="false">""</f>
        <v/>
      </c>
      <c r="BI50" s="87"/>
      <c r="BJ50" s="22"/>
      <c r="BK50" s="47" t="str">
        <f aca="false">IF(OR(Tasks[[#This Row],[Task Name]]="",Tasks[[#This Row],[Baseline Duration]]=""),"",Tasks[[#This Row],[_SpanDays]]-N(Tasks[[#This Row],[Baseline Duration]]))</f>
        <v/>
      </c>
      <c r="BL50" s="86" t="str">
        <f aca="false">IF(OR(Tasks[[#This Row],[Task Name]]="",Tasks[[#This Row],[Baseline Work]]=""),"",Tasks[[#This Row],[Work]]-N(Tasks[[#This Row],[Baseline Work]]))</f>
        <v/>
      </c>
      <c r="BM50" s="63" t="str">
        <f aca="false">IF(Tasks[[#This Row],[Task Name]]="","",IF(OR(TakeBaseline="Yes",N(Tasks[[#This Row],[Baseline Start]])=0),Tasks[[#This Row],[Start]],Tasks[[#This Row],[Baseline Start]]))</f>
        <v/>
      </c>
      <c r="BN50" s="63" t="str">
        <f aca="false">IF(Tasks[[#This Row],[Task Name]]="","",IF(OR(TakeBaseline="Yes",N(Tasks[[#This Row],[Baseline Finish]])=0),Tasks[[#This Row],[Finish]],Tasks[[#This Row],[Baseline Finish]]))</f>
        <v/>
      </c>
      <c r="BO50" s="21" t="str">
        <f aca="false">IF(Tasks[[#This Row],[Task Name]]="","",IF(OR(TakeBaseline="Yes",N(Tasks[[#This Row],[Baseline Duration]])=0),Tasks[[#This Row],[_SpanDays]],Tasks[[#This Row],[Baseline Duration]]))</f>
        <v/>
      </c>
      <c r="BP50" s="86" t="str">
        <f aca="false">IF(Tasks[[#This Row],[Task Name]]="","",IF(OR(TakeBaseline="Yes",N(Tasks[[#This Row],[Baseline Work]])=0),Tasks[[#This Row],[Work]],Tasks[[#This Row],[Baseline Work]]))</f>
        <v/>
      </c>
      <c r="BQ50" s="7"/>
      <c r="BR50" s="7"/>
      <c r="BS50" s="22"/>
      <c r="BT50" s="88"/>
      <c r="BU50" s="23"/>
      <c r="BV50" s="23"/>
      <c r="BW50" s="23"/>
      <c r="BX50" s="89" t="str">
        <f aca="false">IF(AND(Tasks[[#This Row],[_IsLeaf]]=1,ISNUMBER(Tasks[[#This Row],[Optimistic]]),ISNUMBER(Tasks[[#This Row],[Pessimistic]])),ROUND((Tasks[[#This Row],[Optimistic]]+4*N(Tasks[[#This Row],[_Days]])+Tasks[[#This Row],[Pessimistic]])/6,1),"")</f>
        <v/>
      </c>
      <c r="BY50" s="87"/>
      <c r="BZ50" s="87"/>
      <c r="CA50" s="22"/>
      <c r="CB50" s="43" t="str">
        <f aca="false">IF(Tasks[[#This Row],[Task Name]]="","",MAX(1,N(Tasks[[#This Row],[Level]])))</f>
        <v/>
      </c>
      <c r="CC50" s="43" t="n">
        <f aca="false">ROW()-ROW(Tasks[[#Headers],[ID]])</f>
        <v>45</v>
      </c>
      <c r="CD50" s="43" t="n">
        <f aca="false">IF(OR(Tasks[[#This Row],[Task Name]]="",Tasks[[#This Row],[_Level]]&lt;=1),0,IFERROR(LOOKUP(2,1/(Tasks[[#Headers],[_Level]]:Tasks[[#This Row],[_Level]]=Tasks[[#This Row],[_Level]]-1),ROW(Tasks[[#Headers],[_Level]]:Tasks[[#This Row],[_Level]])),0))</f>
        <v>0</v>
      </c>
      <c r="CE50" s="43" t="n">
        <f aca="false">IFERROR(N(INDEX(Tasks[_Level],Tasks[[#This Row],[_Row]]+1)),0)</f>
        <v>0</v>
      </c>
      <c r="CF50" s="90" t="b">
        <f aca="false">AND(Tasks[[#This Row],[Task Name]]&lt;&gt;"",Tasks[[#This Row],[_NextLevel]]&gt;Tasks[[#This Row],[_Level]])</f>
        <v>0</v>
      </c>
      <c r="CG50" s="43" t="n">
        <f aca="false">IF(Tasks[[#This Row],[_IsSummary]],COUNTIF(Tasks[WBS],Tasks[[#This Row],[WBS]]&amp;".*"),0)</f>
        <v>0</v>
      </c>
      <c r="CH50" s="43" t="n">
        <f aca="false">IF(AND(Tasks[[#This Row],[Task Name]]&lt;&gt;"",NOT(Tasks[[#This Row],[_IsSummary]])),1,0)</f>
        <v>0</v>
      </c>
      <c r="CI50" s="43" t="n">
        <f aca="false">IF(N(Tasks[[#This Row],[_Pred1UID]])=0,0,IFERROR(MATCH(Tasks[[#This Row],[_Pred1UID]],Tasks[UID],0),-1))</f>
        <v>0</v>
      </c>
      <c r="CJ50" s="43" t="n">
        <f aca="false">IF(N(Tasks[[#This Row],[_Pred2UID]])=0,0,IFERROR(MATCH(Tasks[[#This Row],[_Pred2UID]],Tasks[UID],0),-1))</f>
        <v>0</v>
      </c>
      <c r="CK50" s="43" t="n">
        <f aca="false">IF(N(Tasks[[#This Row],[_Pred3UID]])=0,0,IFERROR(MATCH(Tasks[[#This Row],[_Pred3UID]],Tasks[UID],0),-1))</f>
        <v>0</v>
      </c>
      <c r="CL50" s="43" t="n">
        <f aca="false">IF(N(Tasks[[#This Row],[_Pred4UID]])=0,0,IFERROR(MATCH(Tasks[[#This Row],[_Pred4UID]],Tasks[UID],0),-1))</f>
        <v>0</v>
      </c>
      <c r="CM5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0" s="91" t="n">
        <f aca="false">IF(OR(Tasks[[#This Row],[_ConstraintCode]]=2,Tasks[[#This Row],[_ConstraintCode]]=3,Tasks[[#This Row],[_ConstraintCode]]=4,Tasks[[#This Row],[_ConstraintCode]]=6),Tasks[[#This Row],[_ConstraintStart]],0)</f>
        <v>0</v>
      </c>
      <c r="CP50" s="91" t="n">
        <f aca="false">IF(OR(Tasks[[#This Row],[_ConstraintCode]]=2,Tasks[[#This Row],[_ConstraintCode]]=3,Tasks[[#This Row],[_ConstraintCode]]=5,Tasks[[#This Row],[_ConstraintCode]]=7),Tasks[[#This Row],[_ConstraintStart]],2958465)</f>
        <v>2958465</v>
      </c>
      <c r="CQ5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0" s="91" t="str">
        <f aca="false">IF(NOT(Tasks[[#This Row],[_IsLeaf]]=1),"",IF(N(Tasks[[#This Row],[_Days]])&lt;=0,Tasks[[#This Row],[_LeafCalcStart]],WORKDAY.INTL(Tasks[[#This Row],[_LeafCalcStart]],Tasks[[#This Row],[_Days]]-1,WorkWeek,Holidays)))</f>
        <v/>
      </c>
      <c r="CS5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0" s="43" t="str">
        <f aca="false">IF(Tasks[[#This Row],[_Predecessors]]="","",TRIM(MID(SUBSTITUTE(SUBSTITUTE(SUBSTITUTE(UPPER(Tasks[[#This Row],[_Predecessors]]),";",",")," ",""),",",REPT(" ",99)),1,99)))</f>
        <v/>
      </c>
      <c r="CV50" s="43" t="str">
        <f aca="false">IF(Tasks[[#This Row],[_Pred1Text]]="","",IFERROR(VALUE(LEFT(Tasks[[#This Row],[_Pred1Text]],MIN(FIND("F",Tasks[[#This Row],[_Pred1Text]]&amp;"F"),FIND("S",Tasks[[#This Row],[_Pred1Text]]&amp;"S"),FIND("+",Tasks[[#This Row],[_Pred1Text]]&amp;"+"),FIND("-",Tasks[[#This Row],[_Pred1Text]]&amp;"-"))-1)),""))</f>
        <v/>
      </c>
      <c r="CW5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0" s="43" t="str">
        <f aca="false">IF(Tasks[[#This Row],[_Pred1Text]]="","",TRIM(MID(SUBSTITUTE(SUBSTITUTE(SUBSTITUTE(UPPER(Tasks[[#This Row],[_Predecessors]]),";",",")," ",""),",",REPT(" ",99)),100,99)))</f>
        <v/>
      </c>
      <c r="CZ50" s="43" t="str">
        <f aca="false">IF(Tasks[[#This Row],[_Pred2Text]]="","",IFERROR(VALUE(LEFT(Tasks[[#This Row],[_Pred2Text]],MIN(FIND("F",Tasks[[#This Row],[_Pred2Text]]&amp;"F"),FIND("S",Tasks[[#This Row],[_Pred2Text]]&amp;"S"),FIND("+",Tasks[[#This Row],[_Pred2Text]]&amp;"+"),FIND("-",Tasks[[#This Row],[_Pred2Text]]&amp;"-"))-1)),""))</f>
        <v/>
      </c>
      <c r="DA5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0" s="43" t="str">
        <f aca="false">IF(Tasks[[#This Row],[_Pred2Text]]="","",TRIM(MID(SUBSTITUTE(SUBSTITUTE(SUBSTITUTE(UPPER(Tasks[[#This Row],[_Predecessors]]),";",",")," ",""),",",REPT(" ",99)),199,99)))</f>
        <v/>
      </c>
      <c r="DD50" s="43" t="str">
        <f aca="false">IF(Tasks[[#This Row],[_Pred3Text]]="","",IFERROR(VALUE(LEFT(Tasks[[#This Row],[_Pred3Text]],MIN(FIND("F",Tasks[[#This Row],[_Pred3Text]]&amp;"F"),FIND("S",Tasks[[#This Row],[_Pred3Text]]&amp;"S"),FIND("+",Tasks[[#This Row],[_Pred3Text]]&amp;"+"),FIND("-",Tasks[[#This Row],[_Pred3Text]]&amp;"-"))-1)),""))</f>
        <v/>
      </c>
      <c r="DE5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0" s="43" t="str">
        <f aca="false">IF(Tasks[[#This Row],[_Pred3Text]]="","",TRIM(MID(SUBSTITUTE(SUBSTITUTE(SUBSTITUTE(UPPER(Tasks[[#This Row],[_Predecessors]]),";",",")," ",""),",",REPT(" ",99)),298,99)))</f>
        <v/>
      </c>
      <c r="DH50" s="43" t="str">
        <f aca="false">IF(Tasks[[#This Row],[_Pred4Text]]="","",IFERROR(VALUE(LEFT(Tasks[[#This Row],[_Pred4Text]],MIN(FIND("F",Tasks[[#This Row],[_Pred4Text]]&amp;"F"),FIND("S",Tasks[[#This Row],[_Pred4Text]]&amp;"S"),FIND("+",Tasks[[#This Row],[_Pred4Text]]&amp;"+"),FIND("-",Tasks[[#This Row],[_Pred4Text]]&amp;"-"))-1)),""))</f>
        <v/>
      </c>
      <c r="DI5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0" s="43" t="str">
        <f aca="false">IF(OR(Tasks[[#This Row],[Task Name]]="",Tasks[[#This Row],[_Resources]]=""),"",TRIM(MID(SUBSTITUTE(Tasks[[#This Row],[_Resources]],",",REPT(" ",99)),1,99)))</f>
        <v/>
      </c>
      <c r="DL50" s="43" t="str">
        <f aca="false">IF(Tasks[[#This Row],[_Res1Text]]="","",TRIM(MID(SUBSTITUTE(Tasks[[#This Row],[_Resources]],",",REPT(" ",99)),100,99)))</f>
        <v/>
      </c>
      <c r="DM50" s="43" t="str">
        <f aca="false">IF(Tasks[[#This Row],[_Res2Text]]="","",TRIM(MID(SUBSTITUTE(Tasks[[#This Row],[_Resources]],",",REPT(" ",99)),199,99)))</f>
        <v/>
      </c>
      <c r="DN50" s="43" t="str">
        <f aca="false">IF(Tasks[[#This Row],[_Res3Text]]="","",TRIM(MID(SUBSTITUTE(Tasks[[#This Row],[_Resources]],",",REPT(" ",99)),298,99)))</f>
        <v/>
      </c>
      <c r="DO50" s="43" t="n">
        <f aca="false">IF(Tasks[[#This Row],[_Res1Text]]="",0,IFERROR(MATCH(TRIM(LEFT(Tasks[[#This Row],[_Res1Text]],FIND("[",Tasks[[#This Row],[_Res1Text]]&amp;"[")-1)),res_Name,0),IFERROR(MATCH(TRIM(LEFT(Tasks[[#This Row],[_Res1Text]],FIND("[",Tasks[[#This Row],[_Res1Text]]&amp;"[")-1)),res_Initials,0),0)))</f>
        <v>0</v>
      </c>
      <c r="DP50" s="43" t="n">
        <f aca="false">IF(Tasks[[#This Row],[_Res2Text]]="",0,IFERROR(MATCH(TRIM(LEFT(Tasks[[#This Row],[_Res2Text]],FIND("[",Tasks[[#This Row],[_Res2Text]]&amp;"[")-1)),res_Name,0),IFERROR(MATCH(TRIM(LEFT(Tasks[[#This Row],[_Res2Text]],FIND("[",Tasks[[#This Row],[_Res2Text]]&amp;"[")-1)),res_Initials,0),0)))</f>
        <v>0</v>
      </c>
      <c r="DQ50" s="43" t="n">
        <f aca="false">IF(Tasks[[#This Row],[_Res3Text]]="",0,IFERROR(MATCH(TRIM(LEFT(Tasks[[#This Row],[_Res3Text]],FIND("[",Tasks[[#This Row],[_Res3Text]]&amp;"[")-1)),res_Name,0),IFERROR(MATCH(TRIM(LEFT(Tasks[[#This Row],[_Res3Text]],FIND("[",Tasks[[#This Row],[_Res3Text]]&amp;"[")-1)),res_Initials,0),0)))</f>
        <v>0</v>
      </c>
      <c r="DR50" s="43" t="n">
        <f aca="false">IF(Tasks[[#This Row],[_Res4Text]]="",0,IFERROR(MATCH(TRIM(LEFT(Tasks[[#This Row],[_Res4Text]],FIND("[",Tasks[[#This Row],[_Res4Text]]&amp;"[")-1)),res_Name,0),IFERROR(MATCH(TRIM(LEFT(Tasks[[#This Row],[_Res4Text]],FIND("[",Tasks[[#This Row],[_Res4Text]]&amp;"[")-1)),res_Initials,0),0)))</f>
        <v>0</v>
      </c>
      <c r="DS50" s="43" t="str">
        <f aca="false">IF(Tasks[[#This Row],[_Res1Text]]="","",IF(Tasks[[#This Row],[_Res1Row]]&gt;0,INDEX(res_Name,Tasks[[#This Row],[_Res1Row]]),TRIM(LEFT(Tasks[[#This Row],[_Res1Text]],FIND("[",Tasks[[#This Row],[_Res1Text]]&amp;"[")-1))))</f>
        <v/>
      </c>
      <c r="DT5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0" s="43" t="n">
        <f aca="false">IF(NOT(Tasks[[#This Row],[_IsLeaf]]=1),0,(Tasks[[#This Row],[_Resource1]]&lt;&gt;"")+(Tasks[[#This Row],[_Res2]]&lt;&gt;"")+(Tasks[[#This Row],[_Res3]]&lt;&gt;"")+(Tasks[[#This Row],[_Res4]]&lt;&gt;""))</f>
        <v>0</v>
      </c>
      <c r="DV50" s="43" t="str">
        <f aca="false">IF(Tasks[[#This Row],[_Res2Text]]="","",IF(Tasks[[#This Row],[_Res2Row]]&gt;0,INDEX(res_Name,Tasks[[#This Row],[_Res2Row]]),TRIM(LEFT(Tasks[[#This Row],[_Res2Text]],FIND("[",Tasks[[#This Row],[_Res2Text]]&amp;"[")-1))))</f>
        <v/>
      </c>
      <c r="DW5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0" s="43" t="n">
        <f aca="false">IF(OR(NOT(Tasks[[#This Row],[_IsLeaf]]=1),Tasks[[#This Row],[_Res2Row]]=0),0,N(Tasks[[#This Row],[_Days]])*HoursPerDay*IF(Tasks[[#This Row],[_Res2Units]]="",DefaultUnits,Tasks[[#This Row],[_Res2Units]]))</f>
        <v>0</v>
      </c>
      <c r="DY50" s="43" t="n">
        <f aca="false">IF(AND(AND(Tasks[[#This Row],[_IsLeaf]]=1,Tasks[[#This Row],[_LeafTotalWork]]&gt;0),Tasks[[#This Row],[_Res2Work]]&gt;0),Tasks[[#This Row],[_Res2Work]]/(Tasks[[#This Row],[_FinishWorkday]]-Tasks[[#This Row],[_StartWorkday]]+1),0)</f>
        <v>0</v>
      </c>
      <c r="DZ50" s="43" t="n">
        <f aca="false">Tasks[[#This Row],[_Res2WorkPerWD]]*MAX(0,Tasks[[#This Row],[_StartWorkday]]-1)</f>
        <v>0</v>
      </c>
      <c r="EA50" s="43" t="n">
        <f aca="false">Tasks[[#This Row],[_Res2Work]]*Tasks[[#This Row],[_LeafProgress]]</f>
        <v>0</v>
      </c>
      <c r="EB50" s="43" t="str">
        <f aca="false">IF(Tasks[[#This Row],[_Res3Text]]="","",IF(Tasks[[#This Row],[_Res3Row]]&gt;0,INDEX(res_Name,Tasks[[#This Row],[_Res3Row]]),TRIM(LEFT(Tasks[[#This Row],[_Res3Text]],FIND("[",Tasks[[#This Row],[_Res3Text]]&amp;"[")-1))))</f>
        <v/>
      </c>
      <c r="EC5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0" s="43" t="n">
        <f aca="false">IF(OR(NOT(Tasks[[#This Row],[_IsLeaf]]=1),Tasks[[#This Row],[_Res3Row]]=0),0,N(Tasks[[#This Row],[_Days]])*HoursPerDay*IF(Tasks[[#This Row],[_Res3Units]]="",DefaultUnits,Tasks[[#This Row],[_Res3Units]]))</f>
        <v>0</v>
      </c>
      <c r="EE50" s="43" t="n">
        <f aca="false">IF(AND(AND(Tasks[[#This Row],[_IsLeaf]]=1,Tasks[[#This Row],[_LeafTotalWork]]&gt;0),Tasks[[#This Row],[_Res3Work]]&gt;0),Tasks[[#This Row],[_Res3Work]]/(Tasks[[#This Row],[_FinishWorkday]]-Tasks[[#This Row],[_StartWorkday]]+1),0)</f>
        <v>0</v>
      </c>
      <c r="EF50" s="43" t="n">
        <f aca="false">Tasks[[#This Row],[_Res3WorkPerWD]]*MAX(0,Tasks[[#This Row],[_StartWorkday]]-1)</f>
        <v>0</v>
      </c>
      <c r="EG50" s="43" t="n">
        <f aca="false">Tasks[[#This Row],[_Res3Work]]*Tasks[[#This Row],[_LeafProgress]]</f>
        <v>0</v>
      </c>
      <c r="EH50" s="43" t="str">
        <f aca="false">IF(Tasks[[#This Row],[_Res4Text]]="","",IF(Tasks[[#This Row],[_Res4Row]]&gt;0,INDEX(res_Name,Tasks[[#This Row],[_Res4Row]]),TRIM(LEFT(Tasks[[#This Row],[_Res4Text]],FIND("[",Tasks[[#This Row],[_Res4Text]]&amp;"[")-1))))</f>
        <v/>
      </c>
      <c r="EI5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0" s="43" t="n">
        <f aca="false">IF(OR(NOT(Tasks[[#This Row],[_IsLeaf]]=1),Tasks[[#This Row],[_Res4Row]]=0),0,N(Tasks[[#This Row],[_Days]])*HoursPerDay*IF(Tasks[[#This Row],[_Res4Units]]="",DefaultUnits,Tasks[[#This Row],[_Res4Units]]))</f>
        <v>0</v>
      </c>
      <c r="EK50" s="43" t="n">
        <f aca="false">IF(AND(AND(Tasks[[#This Row],[_IsLeaf]]=1,Tasks[[#This Row],[_LeafTotalWork]]&gt;0),Tasks[[#This Row],[_Res4Work]]&gt;0),Tasks[[#This Row],[_Res4Work]]/(Tasks[[#This Row],[_FinishWorkday]]-Tasks[[#This Row],[_StartWorkday]]+1),0)</f>
        <v>0</v>
      </c>
      <c r="EL50" s="43" t="n">
        <f aca="false">Tasks[[#This Row],[_Res4WorkPerWD]]*MAX(0,Tasks[[#This Row],[_StartWorkday]]-1)</f>
        <v>0</v>
      </c>
      <c r="EM50" s="43" t="n">
        <f aca="false">Tasks[[#This Row],[_Res4Work]]*Tasks[[#This Row],[_LeafProgress]]</f>
        <v>0</v>
      </c>
      <c r="EN50" s="43" t="n">
        <f aca="false">IF(ISNUMBER(Tasks[[#This Row],[% Complete]]),Tasks[[#This Row],[% Complete]],IF(Tasks[[#This Row],[Stage]]="",0,IFERROR(INDEX(stg_Pct,MATCH(Tasks[[#This Row],[Stage]],stg_Name,0)),0)))</f>
        <v>0</v>
      </c>
      <c r="EO50" s="43" t="n">
        <f aca="false">IF(NOT(Tasks[[#This Row],[_IsLeaf]]=1),0,IF(N(Tasks[[#This Row],[Actual Finish]])&gt;0,1,MIN(1,Tasks[[#This Row],[_Pct]])))</f>
        <v>0</v>
      </c>
      <c r="EP50" s="43" t="n">
        <f aca="false">IF(OR(NOT(Tasks[[#This Row],[_IsLeaf]]=1),Tasks[[#This Row],[_Res1Row]]=0),0,N(Tasks[[#This Row],[_Days]])*HoursPerDay*IF(Tasks[[#This Row],[_Units1]]="",DefaultUnits,Tasks[[#This Row],[_Units1]]))</f>
        <v>0</v>
      </c>
      <c r="EQ50" s="43" t="n">
        <f aca="false">Tasks[[#This Row],[_LeafWork]]+Tasks[[#This Row],[_Res2Work]]+Tasks[[#This Row],[_Res3Work]]+Tasks[[#This Row],[_Res4Work]]</f>
        <v>0</v>
      </c>
      <c r="ER5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0" s="43" t="n">
        <f aca="false">IF(NOT(Tasks[[#This Row],[_IsLeaf]]=1),0,MAX(_xlfn.MAXIFS(Tasks[_Row],Tasks[_Pred1UID],Tasks[[#This Row],[UID]]),_xlfn.MAXIFS(Tasks[_Row],Tasks[_Pred2UID],Tasks[[#This Row],[UID]]),_xlfn.MAXIFS(Tasks[_Row],Tasks[_Pred3UID],Tasks[[#This Row],[UID]]),_xlfn.MAXIFS(Tasks[_Row],Tasks[_Pred4UID],Tasks[[#This Row],[UID]])))</f>
        <v>0</v>
      </c>
      <c r="FA5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0" s="91" t="str">
        <f aca="false">IF(NOT(Tasks[[#This Row],[_IsLeaf]]=1),"",IF(N(Tasks[[#This Row],[_Days]])&lt;=0,Tasks[[#This Row],[_LeafLateFinish]],WORKDAY.INTL(Tasks[[#This Row],[_LeafLateFinish]],-(Tasks[[#This Row],[_Days]]-1),WorkWeek,Holidays)))</f>
        <v/>
      </c>
      <c r="FD5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0" s="90" t="b">
        <f aca="false">AND(Tasks[[#This Row],[_IsLeaf]]=1,Tasks[[#This Row],[_LeafProgress]]&lt;1,N(Tasks[[#This Row],[_LeafTotalSlack]])&lt;=CriticalSlackDays)</f>
        <v>0</v>
      </c>
      <c r="FF50" s="43" t="n">
        <f aca="false">IF(AND(Tasks[[#This Row],[_IsLeaf]]=1,Tasks[[#This Row],[_ConstraintCode]]=1,Tasks[[#This Row],[Mode]]&lt;&gt;"Manual",N(Tasks[[#This Row],[Actual Start]])=0),MAX(0,N(Tasks[[#This Row],[Free Slack]])),0)</f>
        <v>0</v>
      </c>
      <c r="FG50" s="91" t="str">
        <f aca="false">IF(NOT(Tasks[[#This Row],[_IsLeaf]]=1),"",IF(Tasks[[#This Row],[_AlapShift]]=0,Tasks[[#This Row],[_LeafCalcStart]],WORKDAY.INTL(Tasks[[#This Row],[_LeafCalcStart]],Tasks[[#This Row],[_AlapShift]],WorkWeek,Holidays)))</f>
        <v/>
      </c>
      <c r="FH50" s="91" t="str">
        <f aca="false">IF(NOT(Tasks[[#This Row],[_IsLeaf]]=1),"",IF(Tasks[[#This Row],[_AlapShift]]=0,Tasks[[#This Row],[_LeafCalcFinish]],WORKDAY.INTL(Tasks[[#This Row],[_LeafCalcFinish]],Tasks[[#This Row],[_AlapShift]],WorkWeek,Holidays)))</f>
        <v/>
      </c>
      <c r="FI50" s="91" t="str">
        <f aca="false">IF(NOT(Tasks[[#This Row],[_IsLeaf]]=1),"",IF(Tasks[[#This Row],[_AlapShift]]=0,Tasks[[#This Row],[_LeafFcstStart]],WORKDAY.INTL(Tasks[[#This Row],[_LeafFcstStart]],Tasks[[#This Row],[_AlapShift]],WorkWeek,Holidays)))</f>
        <v/>
      </c>
      <c r="FJ50" s="91" t="str">
        <f aca="false">IF(NOT(Tasks[[#This Row],[_IsLeaf]]=1),"",IF(Tasks[[#This Row],[_AlapShift]]=0,Tasks[[#This Row],[_LeafFcstFinish]],WORKDAY.INTL(Tasks[[#This Row],[_LeafFcstFinish]],Tasks[[#This Row],[_AlapShift]],WorkWeek,Holidays)))</f>
        <v/>
      </c>
      <c r="FK50" s="91" t="str">
        <f aca="false">IF(Tasks[[#This Row],[Task Name]]="","",IF(Tasks[[#This Row],[_IsSummary]],MIN(INDEX(Tasks[_ShownCalcStart],Tasks[[#This Row],[_Row]]+1):INDEX(Tasks[_ShownCalcStart],Tasks[[#This Row],[_Row]]+Tasks[[#This Row],[_Descendants]])),Tasks[[#This Row],[_ShownCalcStart]]))</f>
        <v/>
      </c>
      <c r="FL50" s="91" t="str">
        <f aca="false">IF(Tasks[[#This Row],[Task Name]]="","",IF(Tasks[[#This Row],[_IsSummary]],MAX(INDEX(Tasks[_ShownCalcFinish],Tasks[[#This Row],[_Row]]+1):INDEX(Tasks[_ShownCalcFinish],Tasks[[#This Row],[_Row]]+Tasks[[#This Row],[_Descendants]])),Tasks[[#This Row],[_ShownCalcFinish]]))</f>
        <v/>
      </c>
      <c r="FM5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0" s="43" t="n">
        <f aca="false">IF(AND(Tasks[[#This Row],[_IsLeaf]]=1,Tasks[[#This Row],[_LeafTotalWork]]&gt;0),NETWORKDAYS.INTL(ProjectStart,Tasks[[#This Row],[_ShownFcstStart]],WorkWeek,Holidays),0)</f>
        <v>0</v>
      </c>
      <c r="FZ50" s="43" t="n">
        <f aca="false">IF(AND(Tasks[[#This Row],[_IsLeaf]]=1,Tasks[[#This Row],[_LeafTotalWork]]&gt;0),MAX(Tasks[[#This Row],[_StartWorkday]],NETWORKDAYS.INTL(ProjectStart,Tasks[[#This Row],[_ShownFcstFinish]],WorkWeek,Holidays)),0)</f>
        <v>0</v>
      </c>
      <c r="GA50" s="43" t="n">
        <f aca="false">IF(AND(Tasks[[#This Row],[_IsLeaf]]=1,Tasks[[#This Row],[_LeafTotalWork]]&gt;0),Tasks[[#This Row],[_LeafWork]]/(Tasks[[#This Row],[_FinishWorkday]]-Tasks[[#This Row],[_StartWorkday]]+1),0)</f>
        <v>0</v>
      </c>
      <c r="GB50" s="43" t="n">
        <f aca="false">Tasks[[#This Row],[_WorkPerWorkday]]*(Tasks[[#This Row],[_StartWorkday]]-1)</f>
        <v>-0</v>
      </c>
      <c r="GC50" s="43" t="n">
        <f aca="false">IF(Tasks[[#This Row],[_IsLeaf]]=1,MAX(N(Tasks[[#This Row],[_Days]]),0.1),0)</f>
        <v>0</v>
      </c>
      <c r="GD50" s="43" t="n">
        <f aca="false">Tasks[[#This Row],[_WeightDur]]*Tasks[[#This Row],[_LeafProgress]]</f>
        <v>0</v>
      </c>
      <c r="GE50" s="43" t="n">
        <f aca="false">Tasks[[#This Row],[_WeightDur]]*Tasks[[#This Row],[_PlannedPct]]</f>
        <v>0</v>
      </c>
      <c r="GF5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0" s="43" t="str">
        <f aca="false">IF(AND(Tasks[[#This Row],[_IsLeaf]]=1,N(Tasks[[#This Row],[_Days]])=0,Tasks[[#This Row],[_LeafProgress]]&lt;1),Tasks[[#This Row],[_ShownFcstFinish]]+Tasks[[#This Row],[_Row]]/100000,"")</f>
        <v/>
      </c>
      <c r="GH5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0" s="43" t="str">
        <f aca="false">IF(Tasks[[#This Row],[Task Name]]="","",LEFT(Tasks[[#This Row],[WBS]],FIND(".",Tasks[[#This Row],[WBS]]&amp;".")-1))</f>
        <v/>
      </c>
      <c r="GJ50" s="43" t="str">
        <f aca="false">IF(AND(Tasks[[#This Row],[Task Name]]&lt;&gt;"",Tasks[[#This Row],[_Level]]=1),Tasks[[#This Row],[_Row]],"")</f>
        <v/>
      </c>
      <c r="GK50" s="43" t="str">
        <f aca="false">IF(AND(Tasks[[#This Row],[_IsLeaf]]=1,N(Tasks[[#This Row],[_Days]])=0),Tasks[[#This Row],[Planned Finish]]+Tasks[[#This Row],[_Row]]/100000,"")</f>
        <v/>
      </c>
      <c r="GL50" s="43" t="str">
        <f aca="false">IF(AND(Tasks[[#This Row],[_IsLeaf]]=1,Tasks[[#This Row],[_LeafProgress]]&lt;1,OR(N(Tasks[[#This Row],[Finish Var]])&gt;0,Tasks[[#This Row],[Status]]="Late Start")),MAX(0,Tasks[[#This Row],[Finish Var]])+1-Tasks[[#This Row],[_Row]]/1000000,"")</f>
        <v/>
      </c>
      <c r="GM50" s="43" t="str">
        <f aca="false">IF(AND(Tasks[[#This Row],[_IsLeaf]]=1,N(Tasks[[#This Row],[Actual Start]])=0,Tasks[[#This Row],[_ShownFcstStart]]&gt;=StatusDate,Tasks[[#This Row],[_ShownFcstStart]]&lt;=LookaheadEnd),Tasks[[#This Row],[_ShownFcstStart]]+Tasks[[#This Row],[_Row]]/100000,"")</f>
        <v/>
      </c>
      <c r="GN50" s="43" t="str">
        <f aca="false">IF(AND(Tasks[[#This Row],[_IsLeaf]]=1,Tasks[[#This Row],[_LeafProgress]]&lt;1,Tasks[[#This Row],[_ShownFcstFinish]]&gt;=StatusDate,Tasks[[#This Row],[_ShownFcstFinish]]&lt;=LookaheadEnd),Tasks[[#This Row],[_ShownFcstFinish]]+Tasks[[#This Row],[_Row]]/100000,"")</f>
        <v/>
      </c>
      <c r="GO50" s="43" t="str">
        <f aca="false">IF(Tasks[[#This Row],[_LeafCritical]],Tasks[[#This Row],[_ShownFcstStart]]+Tasks[[#This Row],[_Row]]/100000,"")</f>
        <v/>
      </c>
      <c r="GP50" s="43" t="n">
        <f aca="false">Tasks[[#This Row],[_LeafWork]]*Tasks[[#This Row],[_LeafProgress]]</f>
        <v>0</v>
      </c>
      <c r="GQ50" s="91" t="str">
        <f aca="false">IF(AND(Tasks[[#This Row],[_IsLeaf]]=1,Tasks[[#This Row],[_LeafProgress]]&gt;=1),IF(N(Tasks[[#This Row],[Actual Finish]])&gt;0,Tasks[[#This Row],[Actual Finish]],Tasks[[#This Row],[_ShownFcstFinish]]),"")</f>
        <v/>
      </c>
      <c r="GR50" s="43" t="n">
        <f aca="false">IF(Tasks[[#This Row],[_IsLeaf]]=1,N(Tasks[[#This Row],[Story Points]]),0)</f>
        <v>0</v>
      </c>
      <c r="GS50" s="43" t="str">
        <f aca="false">""</f>
        <v/>
      </c>
      <c r="GT50" s="90" t="b">
        <f aca="false">IF(Tasks[[#This Row],[Task Name]]="",FALSE(),AND(Tasks[[#This Row],[_IsLeaf]]=1,N(Tasks[[#This Row],[_Days]])=0))</f>
        <v>0</v>
      </c>
      <c r="GU50" s="91" t="n">
        <f aca="false">IF(Tasks[[#This Row],[Task Name]]="",0,IF(AND(Tasks[[#This Row],[_IsLeaf]]=1,NOT(Tasks[[#This Row],[_IsMilestone]]),N(Tasks[[#This Row],[Progress]])&gt;0),Tasks[[#This Row],[Start]],0))</f>
        <v>0</v>
      </c>
      <c r="GV50" s="91" t="n">
        <f aca="false">IF(Tasks[[#This Row],[_DoneFrom]]=0,0,IF(Tasks[[#This Row],[Progress]]&gt;=1,Tasks[[#This Row],[Finish]],MAX(Tasks[[#This Row],[_DoneFrom]],Tasks[[#This Row],[Start]]+ROUND((Tasks[[#This Row],[Finish]]-Tasks[[#This Row],[Start]]+1)*Tasks[[#This Row],[Progress]],0)-1)))</f>
        <v>0</v>
      </c>
      <c r="GW50" s="91" t="n">
        <f aca="false">IF(Tasks[[#This Row],[Task Name]]="",0,IF(OR(NOT(Tasks[[#This Row],[_IsLeaf]]=1),Tasks[[#This Row],[_IsMilestone]],N(Tasks[[#This Row],[Progress]])&gt;=1),0,IF(Tasks[[#This Row],[_DoneTo]]&gt;0,Tasks[[#This Row],[_DoneTo]]+1,Tasks[[#This Row],[Start]])))</f>
        <v>0</v>
      </c>
      <c r="GX50" s="91" t="n">
        <f aca="false">IF(Tasks[[#This Row],[_RemFrom]]=0,0,Tasks[[#This Row],[Finish]])</f>
        <v>0</v>
      </c>
      <c r="GY50" s="90" t="b">
        <f aca="false">IF(Tasks[[#This Row],[Task Name]]="",FALSE(),OR(NOT(BaselineSet),N(Tasks[[#This Row],[Baseline Start]])&gt;0))</f>
        <v>0</v>
      </c>
      <c r="GZ5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0" s="92" t="str">
        <f aca="false">IF(Tasks[[#This Row],[_IsLeaf]]=1,Tasks[[#This Row],[_Row]],"")</f>
        <v/>
      </c>
      <c r="HD50" s="92" t="str">
        <f aca="false">IFERROR(INDEX(Tasks[UID],SMALL(Tasks[_PickKey],Tasks[[#This Row],[_Row]]))&amp;" "&amp;INDEX(Tasks[Task Name],SMALL(Tasks[_PickKey],Tasks[[#This Row],[_Row]])),"")</f>
        <v/>
      </c>
      <c r="HE50" s="43" t="str">
        <f aca="false">IF(Tasks[[#This Row],[Task Name]]="","",IF(Tasks[[#This Row],[_IsSummary]],NETWORKDAYS.INTL(Tasks[[#This Row],[Start]],Tasks[[#This Row],[Finish]],WorkWeek,Holidays),N(Tasks[[#This Row],[_Days]])))</f>
        <v/>
      </c>
      <c r="HF50" s="43" t="n">
        <f aca="false">IF(Tasks[[#This Row],[Expected]]="",0,((Tasks[[#This Row],[Pessimistic]]-Tasks[[#This Row],[Optimistic]])/6)^2)</f>
        <v>0</v>
      </c>
      <c r="HG50" s="43" t="n">
        <f aca="false">IF(Tasks[[#This Row],[Expected]]="",0,Tasks[[#This Row],[Expected]]-N(Tasks[[#This Row],[_Days]]))</f>
        <v>0</v>
      </c>
    </row>
    <row r="51" customFormat="false" ht="15" hidden="false" customHeight="false" outlineLevel="0" collapsed="false">
      <c r="A51" s="21" t="str">
        <f aca="false">IF(Tasks[[#This Row],[Task Name]]="","",COUNTA(Tasks[[#Headers],[Task Name]]:Tasks[[#This Row],[Task Name]])-1)</f>
        <v/>
      </c>
      <c r="B51" s="22" t="n">
        <v>59</v>
      </c>
      <c r="C51" s="22"/>
      <c r="D51" s="23"/>
      <c r="E51" s="22"/>
      <c r="F51" s="23"/>
      <c r="G51" s="22"/>
      <c r="H51" s="22"/>
      <c r="I51" s="23"/>
      <c r="J51" s="22"/>
      <c r="K51" s="22"/>
      <c r="L51" s="23"/>
      <c r="M51" s="22"/>
      <c r="N51" s="22"/>
      <c r="O51" s="23"/>
      <c r="P51" s="22"/>
      <c r="Q51" s="22"/>
      <c r="R51" s="23"/>
      <c r="S51" s="23"/>
      <c r="T51" s="84"/>
      <c r="U51" s="23"/>
      <c r="V51" s="84"/>
      <c r="W51" s="23"/>
      <c r="X51" s="84"/>
      <c r="Y51" s="23"/>
      <c r="Z51" s="84"/>
      <c r="AA51" s="23"/>
      <c r="AB51" s="23"/>
      <c r="AC51" s="7"/>
      <c r="AD51" s="7"/>
      <c r="AE51" s="63" t="str">
        <f aca="false">IF(Tasks[[#This Row],[Task Name]]="","",IF(Tasks[[#This Row],[_IsSummary]],MIN(INDEX(Tasks[_ShownFcstStart],Tasks[[#This Row],[_Row]]+1):INDEX(Tasks[_ShownFcstStart],Tasks[[#This Row],[_Row]]+Tasks[[#This Row],[_Descendants]])),Tasks[[#This Row],[_ShownFcstStart]]))</f>
        <v/>
      </c>
      <c r="AF51" s="63" t="str">
        <f aca="false">IF(Tasks[[#This Row],[Task Name]]="","",IF(Tasks[[#This Row],[_IsSummary]],MAX(INDEX(Tasks[_ShownFcstFinish],Tasks[[#This Row],[_Row]]+1):INDEX(Tasks[_ShownFcstFinish],Tasks[[#This Row],[_Row]]+Tasks[[#This Row],[_Descendants]])),Tasks[[#This Row],[_ShownFcstFinish]]))</f>
        <v/>
      </c>
      <c r="AG51" s="21" t="str">
        <f aca="false">""</f>
        <v/>
      </c>
      <c r="AH51" s="23"/>
      <c r="AI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1" s="7"/>
      <c r="AK51" s="22"/>
      <c r="AL51" s="23"/>
      <c r="AM51" s="7"/>
      <c r="AN51" s="47" t="str">
        <f aca="false">IF(Tasks[[#This Row],[Task Name]]="","",IF(Tasks[[#This Row],[Finish]]&gt;=Tasks[[#This Row],[Planned Finish]],NETWORKDAYS.INTL(Tasks[[#This Row],[Planned Finish]],Tasks[[#This Row],[Finish]],WorkWeek,Holidays)-1,1-NETWORKDAYS.INTL(Tasks[[#This Row],[Finish]],Tasks[[#This Row],[Planned Finish]],WorkWeek,Holidays)))</f>
        <v/>
      </c>
      <c r="AO51" s="21" t="str">
        <f aca="false">IF(Tasks[[#This Row],[Task Name]]="","",IF(Tasks[[#This Row],[Progress]]&gt;=1,"Complete",IF(OR(N(Tasks[[#This Row],[Actual Start]])&gt;0,Tasks[[#This Row],[Progress]]&gt;0),IF(Tasks[[#This Row],[Finish Var]]&gt;0,"Behind","In Progress"),IF(Tasks[[#This Row],[Planned Start]]&lt;StatusDate,"Late Start","Not Started"))))</f>
        <v/>
      </c>
      <c r="AP51" s="21" t="str">
        <f aca="false">IF(Tasks[[#This Row],[Task Name]]="","",IF(IF(Tasks[[#This Row],[_IsSummary]],COUNTIF(INDEX(Tasks[_LeafCritical],Tasks[[#This Row],[_Row]]+1):INDEX(Tasks[_LeafCritical],Tasks[[#This Row],[_Row]]+Tasks[[#This Row],[_Descendants]]),TRUE())&gt;0,Tasks[[#This Row],[_LeafCritical]]),"Yes",""))</f>
        <v/>
      </c>
      <c r="AQ51" s="63" t="str">
        <f aca="false">IF(Tasks[[#This Row],[Task Name]]="","",IF(N(Tasks[[#This Row],[Baseline Start]])&gt;0,Tasks[[#This Row],[Baseline Start]],Tasks[[#This Row],[_CalcStart]]))</f>
        <v/>
      </c>
      <c r="AR51" s="63" t="str">
        <f aca="false">IF(Tasks[[#This Row],[Task Name]]="","",IF(N(Tasks[[#This Row],[Baseline Finish]])&gt;0,Tasks[[#This Row],[Baseline Finish]],Tasks[[#This Row],[_CalcFinish]]))</f>
        <v/>
      </c>
      <c r="AS51" s="47" t="str">
        <f aca="false">IF(Tasks[[#This Row],[Task Name]]="","",IF(Tasks[[#This Row],[Start]]&gt;=Tasks[[#This Row],[Planned Start]],NETWORKDAYS.INTL(Tasks[[#This Row],[Planned Start]],Tasks[[#This Row],[Start]],WorkWeek,Holidays)-1,1-NETWORKDAYS.INTL(Tasks[[#This Row],[Start]],Tasks[[#This Row],[Planned Start]],WorkWeek,Holidays)))</f>
        <v/>
      </c>
      <c r="AT51" s="63" t="str">
        <f aca="false">IF(Tasks[[#This Row],[Task Name]]="","",IF(Tasks[[#This Row],[_IsSummary]],MIN(INDEX(Tasks[_LeafLateStart],Tasks[[#This Row],[_Row]]+1):INDEX(Tasks[_LeafLateStart],Tasks[[#This Row],[_Row]]+Tasks[[#This Row],[_Descendants]])),Tasks[[#This Row],[_LeafLateStart]]))</f>
        <v/>
      </c>
      <c r="AU51" s="63" t="str">
        <f aca="false">IF(Tasks[[#This Row],[Task Name]]="","",IF(Tasks[[#This Row],[_IsSummary]],MAX(INDEX(Tasks[_LeafLateFinish],Tasks[[#This Row],[_Row]]+1):INDEX(Tasks[_LeafLateFinish],Tasks[[#This Row],[_Row]]+Tasks[[#This Row],[_Descendants]])),Tasks[[#This Row],[_LeafLateFinish]]))</f>
        <v/>
      </c>
      <c r="AV51" s="47" t="str">
        <f aca="false">IF(Tasks[[#This Row],[Task Name]]="","",IF(Tasks[[#This Row],[_IsSummary]],MIN(INDEX(Tasks[_LeafTotalSlack],Tasks[[#This Row],[_Row]]+1):INDEX(Tasks[_LeafTotalSlack],Tasks[[#This Row],[_Row]]+Tasks[[#This Row],[_Descendants]])),Tasks[[#This Row],[_LeafTotalSlack]]))</f>
        <v/>
      </c>
      <c r="AW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5"/>
      <c r="BA5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1" t="str">
        <f aca="false">IF(Tasks[[#This Row],[Task Name]]="","",IF(Tasks[[#This Row],[_Level]]&lt;=OutlineShowLevel,"Yes","No"))</f>
        <v/>
      </c>
      <c r="BE51" s="86" t="str">
        <f aca="false">IF(Tasks[[#This Row],[Task Name]]="","",IF(Tasks[[#This Row],[_IsSummary]],SUM(INDEX(Tasks[_LeafTotalWork],Tasks[[#This Row],[_Row]]+1):INDEX(Tasks[_LeafTotalWork],Tasks[[#This Row],[_Row]]+Tasks[[#This Row],[_Descendants]])),Tasks[[#This Row],[_LeafTotalWork]]))</f>
        <v/>
      </c>
      <c r="BF51" s="23"/>
      <c r="BG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1" s="21" t="str">
        <f aca="false">""</f>
        <v/>
      </c>
      <c r="BI51" s="87"/>
      <c r="BJ51" s="22"/>
      <c r="BK51" s="47" t="str">
        <f aca="false">IF(OR(Tasks[[#This Row],[Task Name]]="",Tasks[[#This Row],[Baseline Duration]]=""),"",Tasks[[#This Row],[_SpanDays]]-N(Tasks[[#This Row],[Baseline Duration]]))</f>
        <v/>
      </c>
      <c r="BL51" s="86" t="str">
        <f aca="false">IF(OR(Tasks[[#This Row],[Task Name]]="",Tasks[[#This Row],[Baseline Work]]=""),"",Tasks[[#This Row],[Work]]-N(Tasks[[#This Row],[Baseline Work]]))</f>
        <v/>
      </c>
      <c r="BM51" s="63" t="str">
        <f aca="false">IF(Tasks[[#This Row],[Task Name]]="","",IF(OR(TakeBaseline="Yes",N(Tasks[[#This Row],[Baseline Start]])=0),Tasks[[#This Row],[Start]],Tasks[[#This Row],[Baseline Start]]))</f>
        <v/>
      </c>
      <c r="BN51" s="63" t="str">
        <f aca="false">IF(Tasks[[#This Row],[Task Name]]="","",IF(OR(TakeBaseline="Yes",N(Tasks[[#This Row],[Baseline Finish]])=0),Tasks[[#This Row],[Finish]],Tasks[[#This Row],[Baseline Finish]]))</f>
        <v/>
      </c>
      <c r="BO51" s="21" t="str">
        <f aca="false">IF(Tasks[[#This Row],[Task Name]]="","",IF(OR(TakeBaseline="Yes",N(Tasks[[#This Row],[Baseline Duration]])=0),Tasks[[#This Row],[_SpanDays]],Tasks[[#This Row],[Baseline Duration]]))</f>
        <v/>
      </c>
      <c r="BP51" s="86" t="str">
        <f aca="false">IF(Tasks[[#This Row],[Task Name]]="","",IF(OR(TakeBaseline="Yes",N(Tasks[[#This Row],[Baseline Work]])=0),Tasks[[#This Row],[Work]],Tasks[[#This Row],[Baseline Work]]))</f>
        <v/>
      </c>
      <c r="BQ51" s="7"/>
      <c r="BR51" s="7"/>
      <c r="BS51" s="22"/>
      <c r="BT51" s="88"/>
      <c r="BU51" s="23"/>
      <c r="BV51" s="23"/>
      <c r="BW51" s="23"/>
      <c r="BX51" s="89" t="str">
        <f aca="false">IF(AND(Tasks[[#This Row],[_IsLeaf]]=1,ISNUMBER(Tasks[[#This Row],[Optimistic]]),ISNUMBER(Tasks[[#This Row],[Pessimistic]])),ROUND((Tasks[[#This Row],[Optimistic]]+4*N(Tasks[[#This Row],[_Days]])+Tasks[[#This Row],[Pessimistic]])/6,1),"")</f>
        <v/>
      </c>
      <c r="BY51" s="87"/>
      <c r="BZ51" s="87"/>
      <c r="CA51" s="22"/>
      <c r="CB51" s="43" t="str">
        <f aca="false">IF(Tasks[[#This Row],[Task Name]]="","",MAX(1,N(Tasks[[#This Row],[Level]])))</f>
        <v/>
      </c>
      <c r="CC51" s="43" t="n">
        <f aca="false">ROW()-ROW(Tasks[[#Headers],[ID]])</f>
        <v>46</v>
      </c>
      <c r="CD51" s="43" t="n">
        <f aca="false">IF(OR(Tasks[[#This Row],[Task Name]]="",Tasks[[#This Row],[_Level]]&lt;=1),0,IFERROR(LOOKUP(2,1/(Tasks[[#Headers],[_Level]]:Tasks[[#This Row],[_Level]]=Tasks[[#This Row],[_Level]]-1),ROW(Tasks[[#Headers],[_Level]]:Tasks[[#This Row],[_Level]])),0))</f>
        <v>0</v>
      </c>
      <c r="CE51" s="43" t="n">
        <f aca="false">IFERROR(N(INDEX(Tasks[_Level],Tasks[[#This Row],[_Row]]+1)),0)</f>
        <v>0</v>
      </c>
      <c r="CF51" s="90" t="b">
        <f aca="false">AND(Tasks[[#This Row],[Task Name]]&lt;&gt;"",Tasks[[#This Row],[_NextLevel]]&gt;Tasks[[#This Row],[_Level]])</f>
        <v>0</v>
      </c>
      <c r="CG51" s="43" t="n">
        <f aca="false">IF(Tasks[[#This Row],[_IsSummary]],COUNTIF(Tasks[WBS],Tasks[[#This Row],[WBS]]&amp;".*"),0)</f>
        <v>0</v>
      </c>
      <c r="CH51" s="43" t="n">
        <f aca="false">IF(AND(Tasks[[#This Row],[Task Name]]&lt;&gt;"",NOT(Tasks[[#This Row],[_IsSummary]])),1,0)</f>
        <v>0</v>
      </c>
      <c r="CI51" s="43" t="n">
        <f aca="false">IF(N(Tasks[[#This Row],[_Pred1UID]])=0,0,IFERROR(MATCH(Tasks[[#This Row],[_Pred1UID]],Tasks[UID],0),-1))</f>
        <v>0</v>
      </c>
      <c r="CJ51" s="43" t="n">
        <f aca="false">IF(N(Tasks[[#This Row],[_Pred2UID]])=0,0,IFERROR(MATCH(Tasks[[#This Row],[_Pred2UID]],Tasks[UID],0),-1))</f>
        <v>0</v>
      </c>
      <c r="CK51" s="43" t="n">
        <f aca="false">IF(N(Tasks[[#This Row],[_Pred3UID]])=0,0,IFERROR(MATCH(Tasks[[#This Row],[_Pred3UID]],Tasks[UID],0),-1))</f>
        <v>0</v>
      </c>
      <c r="CL51" s="43" t="n">
        <f aca="false">IF(N(Tasks[[#This Row],[_Pred4UID]])=0,0,IFERROR(MATCH(Tasks[[#This Row],[_Pred4UID]],Tasks[UID],0),-1))</f>
        <v>0</v>
      </c>
      <c r="CM5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1" s="91" t="n">
        <f aca="false">IF(OR(Tasks[[#This Row],[_ConstraintCode]]=2,Tasks[[#This Row],[_ConstraintCode]]=3,Tasks[[#This Row],[_ConstraintCode]]=4,Tasks[[#This Row],[_ConstraintCode]]=6),Tasks[[#This Row],[_ConstraintStart]],0)</f>
        <v>0</v>
      </c>
      <c r="CP51" s="91" t="n">
        <f aca="false">IF(OR(Tasks[[#This Row],[_ConstraintCode]]=2,Tasks[[#This Row],[_ConstraintCode]]=3,Tasks[[#This Row],[_ConstraintCode]]=5,Tasks[[#This Row],[_ConstraintCode]]=7),Tasks[[#This Row],[_ConstraintStart]],2958465)</f>
        <v>2958465</v>
      </c>
      <c r="CQ5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1" s="91" t="str">
        <f aca="false">IF(NOT(Tasks[[#This Row],[_IsLeaf]]=1),"",IF(N(Tasks[[#This Row],[_Days]])&lt;=0,Tasks[[#This Row],[_LeafCalcStart]],WORKDAY.INTL(Tasks[[#This Row],[_LeafCalcStart]],Tasks[[#This Row],[_Days]]-1,WorkWeek,Holidays)))</f>
        <v/>
      </c>
      <c r="CS5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1" s="43" t="str">
        <f aca="false">IF(Tasks[[#This Row],[_Predecessors]]="","",TRIM(MID(SUBSTITUTE(SUBSTITUTE(SUBSTITUTE(UPPER(Tasks[[#This Row],[_Predecessors]]),";",",")," ",""),",",REPT(" ",99)),1,99)))</f>
        <v/>
      </c>
      <c r="CV51" s="43" t="str">
        <f aca="false">IF(Tasks[[#This Row],[_Pred1Text]]="","",IFERROR(VALUE(LEFT(Tasks[[#This Row],[_Pred1Text]],MIN(FIND("F",Tasks[[#This Row],[_Pred1Text]]&amp;"F"),FIND("S",Tasks[[#This Row],[_Pred1Text]]&amp;"S"),FIND("+",Tasks[[#This Row],[_Pred1Text]]&amp;"+"),FIND("-",Tasks[[#This Row],[_Pred1Text]]&amp;"-"))-1)),""))</f>
        <v/>
      </c>
      <c r="CW5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1" s="43" t="str">
        <f aca="false">IF(Tasks[[#This Row],[_Pred1Text]]="","",TRIM(MID(SUBSTITUTE(SUBSTITUTE(SUBSTITUTE(UPPER(Tasks[[#This Row],[_Predecessors]]),";",",")," ",""),",",REPT(" ",99)),100,99)))</f>
        <v/>
      </c>
      <c r="CZ51" s="43" t="str">
        <f aca="false">IF(Tasks[[#This Row],[_Pred2Text]]="","",IFERROR(VALUE(LEFT(Tasks[[#This Row],[_Pred2Text]],MIN(FIND("F",Tasks[[#This Row],[_Pred2Text]]&amp;"F"),FIND("S",Tasks[[#This Row],[_Pred2Text]]&amp;"S"),FIND("+",Tasks[[#This Row],[_Pred2Text]]&amp;"+"),FIND("-",Tasks[[#This Row],[_Pred2Text]]&amp;"-"))-1)),""))</f>
        <v/>
      </c>
      <c r="DA5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1" s="43" t="str">
        <f aca="false">IF(Tasks[[#This Row],[_Pred2Text]]="","",TRIM(MID(SUBSTITUTE(SUBSTITUTE(SUBSTITUTE(UPPER(Tasks[[#This Row],[_Predecessors]]),";",",")," ",""),",",REPT(" ",99)),199,99)))</f>
        <v/>
      </c>
      <c r="DD51" s="43" t="str">
        <f aca="false">IF(Tasks[[#This Row],[_Pred3Text]]="","",IFERROR(VALUE(LEFT(Tasks[[#This Row],[_Pred3Text]],MIN(FIND("F",Tasks[[#This Row],[_Pred3Text]]&amp;"F"),FIND("S",Tasks[[#This Row],[_Pred3Text]]&amp;"S"),FIND("+",Tasks[[#This Row],[_Pred3Text]]&amp;"+"),FIND("-",Tasks[[#This Row],[_Pred3Text]]&amp;"-"))-1)),""))</f>
        <v/>
      </c>
      <c r="DE5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1" s="43" t="str">
        <f aca="false">IF(Tasks[[#This Row],[_Pred3Text]]="","",TRIM(MID(SUBSTITUTE(SUBSTITUTE(SUBSTITUTE(UPPER(Tasks[[#This Row],[_Predecessors]]),";",",")," ",""),",",REPT(" ",99)),298,99)))</f>
        <v/>
      </c>
      <c r="DH51" s="43" t="str">
        <f aca="false">IF(Tasks[[#This Row],[_Pred4Text]]="","",IFERROR(VALUE(LEFT(Tasks[[#This Row],[_Pred4Text]],MIN(FIND("F",Tasks[[#This Row],[_Pred4Text]]&amp;"F"),FIND("S",Tasks[[#This Row],[_Pred4Text]]&amp;"S"),FIND("+",Tasks[[#This Row],[_Pred4Text]]&amp;"+"),FIND("-",Tasks[[#This Row],[_Pred4Text]]&amp;"-"))-1)),""))</f>
        <v/>
      </c>
      <c r="DI5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1" s="43" t="str">
        <f aca="false">IF(OR(Tasks[[#This Row],[Task Name]]="",Tasks[[#This Row],[_Resources]]=""),"",TRIM(MID(SUBSTITUTE(Tasks[[#This Row],[_Resources]],",",REPT(" ",99)),1,99)))</f>
        <v/>
      </c>
      <c r="DL51" s="43" t="str">
        <f aca="false">IF(Tasks[[#This Row],[_Res1Text]]="","",TRIM(MID(SUBSTITUTE(Tasks[[#This Row],[_Resources]],",",REPT(" ",99)),100,99)))</f>
        <v/>
      </c>
      <c r="DM51" s="43" t="str">
        <f aca="false">IF(Tasks[[#This Row],[_Res2Text]]="","",TRIM(MID(SUBSTITUTE(Tasks[[#This Row],[_Resources]],",",REPT(" ",99)),199,99)))</f>
        <v/>
      </c>
      <c r="DN51" s="43" t="str">
        <f aca="false">IF(Tasks[[#This Row],[_Res3Text]]="","",TRIM(MID(SUBSTITUTE(Tasks[[#This Row],[_Resources]],",",REPT(" ",99)),298,99)))</f>
        <v/>
      </c>
      <c r="DO51" s="43" t="n">
        <f aca="false">IF(Tasks[[#This Row],[_Res1Text]]="",0,IFERROR(MATCH(TRIM(LEFT(Tasks[[#This Row],[_Res1Text]],FIND("[",Tasks[[#This Row],[_Res1Text]]&amp;"[")-1)),res_Name,0),IFERROR(MATCH(TRIM(LEFT(Tasks[[#This Row],[_Res1Text]],FIND("[",Tasks[[#This Row],[_Res1Text]]&amp;"[")-1)),res_Initials,0),0)))</f>
        <v>0</v>
      </c>
      <c r="DP51" s="43" t="n">
        <f aca="false">IF(Tasks[[#This Row],[_Res2Text]]="",0,IFERROR(MATCH(TRIM(LEFT(Tasks[[#This Row],[_Res2Text]],FIND("[",Tasks[[#This Row],[_Res2Text]]&amp;"[")-1)),res_Name,0),IFERROR(MATCH(TRIM(LEFT(Tasks[[#This Row],[_Res2Text]],FIND("[",Tasks[[#This Row],[_Res2Text]]&amp;"[")-1)),res_Initials,0),0)))</f>
        <v>0</v>
      </c>
      <c r="DQ51" s="43" t="n">
        <f aca="false">IF(Tasks[[#This Row],[_Res3Text]]="",0,IFERROR(MATCH(TRIM(LEFT(Tasks[[#This Row],[_Res3Text]],FIND("[",Tasks[[#This Row],[_Res3Text]]&amp;"[")-1)),res_Name,0),IFERROR(MATCH(TRIM(LEFT(Tasks[[#This Row],[_Res3Text]],FIND("[",Tasks[[#This Row],[_Res3Text]]&amp;"[")-1)),res_Initials,0),0)))</f>
        <v>0</v>
      </c>
      <c r="DR51" s="43" t="n">
        <f aca="false">IF(Tasks[[#This Row],[_Res4Text]]="",0,IFERROR(MATCH(TRIM(LEFT(Tasks[[#This Row],[_Res4Text]],FIND("[",Tasks[[#This Row],[_Res4Text]]&amp;"[")-1)),res_Name,0),IFERROR(MATCH(TRIM(LEFT(Tasks[[#This Row],[_Res4Text]],FIND("[",Tasks[[#This Row],[_Res4Text]]&amp;"[")-1)),res_Initials,0),0)))</f>
        <v>0</v>
      </c>
      <c r="DS51" s="43" t="str">
        <f aca="false">IF(Tasks[[#This Row],[_Res1Text]]="","",IF(Tasks[[#This Row],[_Res1Row]]&gt;0,INDEX(res_Name,Tasks[[#This Row],[_Res1Row]]),TRIM(LEFT(Tasks[[#This Row],[_Res1Text]],FIND("[",Tasks[[#This Row],[_Res1Text]]&amp;"[")-1))))</f>
        <v/>
      </c>
      <c r="DT5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1" s="43" t="n">
        <f aca="false">IF(NOT(Tasks[[#This Row],[_IsLeaf]]=1),0,(Tasks[[#This Row],[_Resource1]]&lt;&gt;"")+(Tasks[[#This Row],[_Res2]]&lt;&gt;"")+(Tasks[[#This Row],[_Res3]]&lt;&gt;"")+(Tasks[[#This Row],[_Res4]]&lt;&gt;""))</f>
        <v>0</v>
      </c>
      <c r="DV51" s="43" t="str">
        <f aca="false">IF(Tasks[[#This Row],[_Res2Text]]="","",IF(Tasks[[#This Row],[_Res2Row]]&gt;0,INDEX(res_Name,Tasks[[#This Row],[_Res2Row]]),TRIM(LEFT(Tasks[[#This Row],[_Res2Text]],FIND("[",Tasks[[#This Row],[_Res2Text]]&amp;"[")-1))))</f>
        <v/>
      </c>
      <c r="DW5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1" s="43" t="n">
        <f aca="false">IF(OR(NOT(Tasks[[#This Row],[_IsLeaf]]=1),Tasks[[#This Row],[_Res2Row]]=0),0,N(Tasks[[#This Row],[_Days]])*HoursPerDay*IF(Tasks[[#This Row],[_Res2Units]]="",DefaultUnits,Tasks[[#This Row],[_Res2Units]]))</f>
        <v>0</v>
      </c>
      <c r="DY51" s="43" t="n">
        <f aca="false">IF(AND(AND(Tasks[[#This Row],[_IsLeaf]]=1,Tasks[[#This Row],[_LeafTotalWork]]&gt;0),Tasks[[#This Row],[_Res2Work]]&gt;0),Tasks[[#This Row],[_Res2Work]]/(Tasks[[#This Row],[_FinishWorkday]]-Tasks[[#This Row],[_StartWorkday]]+1),0)</f>
        <v>0</v>
      </c>
      <c r="DZ51" s="43" t="n">
        <f aca="false">Tasks[[#This Row],[_Res2WorkPerWD]]*MAX(0,Tasks[[#This Row],[_StartWorkday]]-1)</f>
        <v>0</v>
      </c>
      <c r="EA51" s="43" t="n">
        <f aca="false">Tasks[[#This Row],[_Res2Work]]*Tasks[[#This Row],[_LeafProgress]]</f>
        <v>0</v>
      </c>
      <c r="EB51" s="43" t="str">
        <f aca="false">IF(Tasks[[#This Row],[_Res3Text]]="","",IF(Tasks[[#This Row],[_Res3Row]]&gt;0,INDEX(res_Name,Tasks[[#This Row],[_Res3Row]]),TRIM(LEFT(Tasks[[#This Row],[_Res3Text]],FIND("[",Tasks[[#This Row],[_Res3Text]]&amp;"[")-1))))</f>
        <v/>
      </c>
      <c r="EC5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1" s="43" t="n">
        <f aca="false">IF(OR(NOT(Tasks[[#This Row],[_IsLeaf]]=1),Tasks[[#This Row],[_Res3Row]]=0),0,N(Tasks[[#This Row],[_Days]])*HoursPerDay*IF(Tasks[[#This Row],[_Res3Units]]="",DefaultUnits,Tasks[[#This Row],[_Res3Units]]))</f>
        <v>0</v>
      </c>
      <c r="EE51" s="43" t="n">
        <f aca="false">IF(AND(AND(Tasks[[#This Row],[_IsLeaf]]=1,Tasks[[#This Row],[_LeafTotalWork]]&gt;0),Tasks[[#This Row],[_Res3Work]]&gt;0),Tasks[[#This Row],[_Res3Work]]/(Tasks[[#This Row],[_FinishWorkday]]-Tasks[[#This Row],[_StartWorkday]]+1),0)</f>
        <v>0</v>
      </c>
      <c r="EF51" s="43" t="n">
        <f aca="false">Tasks[[#This Row],[_Res3WorkPerWD]]*MAX(0,Tasks[[#This Row],[_StartWorkday]]-1)</f>
        <v>0</v>
      </c>
      <c r="EG51" s="43" t="n">
        <f aca="false">Tasks[[#This Row],[_Res3Work]]*Tasks[[#This Row],[_LeafProgress]]</f>
        <v>0</v>
      </c>
      <c r="EH51" s="43" t="str">
        <f aca="false">IF(Tasks[[#This Row],[_Res4Text]]="","",IF(Tasks[[#This Row],[_Res4Row]]&gt;0,INDEX(res_Name,Tasks[[#This Row],[_Res4Row]]),TRIM(LEFT(Tasks[[#This Row],[_Res4Text]],FIND("[",Tasks[[#This Row],[_Res4Text]]&amp;"[")-1))))</f>
        <v/>
      </c>
      <c r="EI5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1" s="43" t="n">
        <f aca="false">IF(OR(NOT(Tasks[[#This Row],[_IsLeaf]]=1),Tasks[[#This Row],[_Res4Row]]=0),0,N(Tasks[[#This Row],[_Days]])*HoursPerDay*IF(Tasks[[#This Row],[_Res4Units]]="",DefaultUnits,Tasks[[#This Row],[_Res4Units]]))</f>
        <v>0</v>
      </c>
      <c r="EK51" s="43" t="n">
        <f aca="false">IF(AND(AND(Tasks[[#This Row],[_IsLeaf]]=1,Tasks[[#This Row],[_LeafTotalWork]]&gt;0),Tasks[[#This Row],[_Res4Work]]&gt;0),Tasks[[#This Row],[_Res4Work]]/(Tasks[[#This Row],[_FinishWorkday]]-Tasks[[#This Row],[_StartWorkday]]+1),0)</f>
        <v>0</v>
      </c>
      <c r="EL51" s="43" t="n">
        <f aca="false">Tasks[[#This Row],[_Res4WorkPerWD]]*MAX(0,Tasks[[#This Row],[_StartWorkday]]-1)</f>
        <v>0</v>
      </c>
      <c r="EM51" s="43" t="n">
        <f aca="false">Tasks[[#This Row],[_Res4Work]]*Tasks[[#This Row],[_LeafProgress]]</f>
        <v>0</v>
      </c>
      <c r="EN51" s="43" t="n">
        <f aca="false">IF(ISNUMBER(Tasks[[#This Row],[% Complete]]),Tasks[[#This Row],[% Complete]],IF(Tasks[[#This Row],[Stage]]="",0,IFERROR(INDEX(stg_Pct,MATCH(Tasks[[#This Row],[Stage]],stg_Name,0)),0)))</f>
        <v>0</v>
      </c>
      <c r="EO51" s="43" t="n">
        <f aca="false">IF(NOT(Tasks[[#This Row],[_IsLeaf]]=1),0,IF(N(Tasks[[#This Row],[Actual Finish]])&gt;0,1,MIN(1,Tasks[[#This Row],[_Pct]])))</f>
        <v>0</v>
      </c>
      <c r="EP51" s="43" t="n">
        <f aca="false">IF(OR(NOT(Tasks[[#This Row],[_IsLeaf]]=1),Tasks[[#This Row],[_Res1Row]]=0),0,N(Tasks[[#This Row],[_Days]])*HoursPerDay*IF(Tasks[[#This Row],[_Units1]]="",DefaultUnits,Tasks[[#This Row],[_Units1]]))</f>
        <v>0</v>
      </c>
      <c r="EQ51" s="43" t="n">
        <f aca="false">Tasks[[#This Row],[_LeafWork]]+Tasks[[#This Row],[_Res2Work]]+Tasks[[#This Row],[_Res3Work]]+Tasks[[#This Row],[_Res4Work]]</f>
        <v>0</v>
      </c>
      <c r="ER5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1" s="43" t="n">
        <f aca="false">IF(NOT(Tasks[[#This Row],[_IsLeaf]]=1),0,MAX(_xlfn.MAXIFS(Tasks[_Row],Tasks[_Pred1UID],Tasks[[#This Row],[UID]]),_xlfn.MAXIFS(Tasks[_Row],Tasks[_Pred2UID],Tasks[[#This Row],[UID]]),_xlfn.MAXIFS(Tasks[_Row],Tasks[_Pred3UID],Tasks[[#This Row],[UID]]),_xlfn.MAXIFS(Tasks[_Row],Tasks[_Pred4UID],Tasks[[#This Row],[UID]])))</f>
        <v>0</v>
      </c>
      <c r="FA5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1" s="91" t="str">
        <f aca="false">IF(NOT(Tasks[[#This Row],[_IsLeaf]]=1),"",IF(N(Tasks[[#This Row],[_Days]])&lt;=0,Tasks[[#This Row],[_LeafLateFinish]],WORKDAY.INTL(Tasks[[#This Row],[_LeafLateFinish]],-(Tasks[[#This Row],[_Days]]-1),WorkWeek,Holidays)))</f>
        <v/>
      </c>
      <c r="FD5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1" s="90" t="b">
        <f aca="false">AND(Tasks[[#This Row],[_IsLeaf]]=1,Tasks[[#This Row],[_LeafProgress]]&lt;1,N(Tasks[[#This Row],[_LeafTotalSlack]])&lt;=CriticalSlackDays)</f>
        <v>0</v>
      </c>
      <c r="FF51" s="43" t="n">
        <f aca="false">IF(AND(Tasks[[#This Row],[_IsLeaf]]=1,Tasks[[#This Row],[_ConstraintCode]]=1,Tasks[[#This Row],[Mode]]&lt;&gt;"Manual",N(Tasks[[#This Row],[Actual Start]])=0),MAX(0,N(Tasks[[#This Row],[Free Slack]])),0)</f>
        <v>0</v>
      </c>
      <c r="FG51" s="91" t="str">
        <f aca="false">IF(NOT(Tasks[[#This Row],[_IsLeaf]]=1),"",IF(Tasks[[#This Row],[_AlapShift]]=0,Tasks[[#This Row],[_LeafCalcStart]],WORKDAY.INTL(Tasks[[#This Row],[_LeafCalcStart]],Tasks[[#This Row],[_AlapShift]],WorkWeek,Holidays)))</f>
        <v/>
      </c>
      <c r="FH51" s="91" t="str">
        <f aca="false">IF(NOT(Tasks[[#This Row],[_IsLeaf]]=1),"",IF(Tasks[[#This Row],[_AlapShift]]=0,Tasks[[#This Row],[_LeafCalcFinish]],WORKDAY.INTL(Tasks[[#This Row],[_LeafCalcFinish]],Tasks[[#This Row],[_AlapShift]],WorkWeek,Holidays)))</f>
        <v/>
      </c>
      <c r="FI51" s="91" t="str">
        <f aca="false">IF(NOT(Tasks[[#This Row],[_IsLeaf]]=1),"",IF(Tasks[[#This Row],[_AlapShift]]=0,Tasks[[#This Row],[_LeafFcstStart]],WORKDAY.INTL(Tasks[[#This Row],[_LeafFcstStart]],Tasks[[#This Row],[_AlapShift]],WorkWeek,Holidays)))</f>
        <v/>
      </c>
      <c r="FJ51" s="91" t="str">
        <f aca="false">IF(NOT(Tasks[[#This Row],[_IsLeaf]]=1),"",IF(Tasks[[#This Row],[_AlapShift]]=0,Tasks[[#This Row],[_LeafFcstFinish]],WORKDAY.INTL(Tasks[[#This Row],[_LeafFcstFinish]],Tasks[[#This Row],[_AlapShift]],WorkWeek,Holidays)))</f>
        <v/>
      </c>
      <c r="FK51" s="91" t="str">
        <f aca="false">IF(Tasks[[#This Row],[Task Name]]="","",IF(Tasks[[#This Row],[_IsSummary]],MIN(INDEX(Tasks[_ShownCalcStart],Tasks[[#This Row],[_Row]]+1):INDEX(Tasks[_ShownCalcStart],Tasks[[#This Row],[_Row]]+Tasks[[#This Row],[_Descendants]])),Tasks[[#This Row],[_ShownCalcStart]]))</f>
        <v/>
      </c>
      <c r="FL51" s="91" t="str">
        <f aca="false">IF(Tasks[[#This Row],[Task Name]]="","",IF(Tasks[[#This Row],[_IsSummary]],MAX(INDEX(Tasks[_ShownCalcFinish],Tasks[[#This Row],[_Row]]+1):INDEX(Tasks[_ShownCalcFinish],Tasks[[#This Row],[_Row]]+Tasks[[#This Row],[_Descendants]])),Tasks[[#This Row],[_ShownCalcFinish]]))</f>
        <v/>
      </c>
      <c r="FM5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1" s="43" t="n">
        <f aca="false">IF(AND(Tasks[[#This Row],[_IsLeaf]]=1,Tasks[[#This Row],[_LeafTotalWork]]&gt;0),NETWORKDAYS.INTL(ProjectStart,Tasks[[#This Row],[_ShownFcstStart]],WorkWeek,Holidays),0)</f>
        <v>0</v>
      </c>
      <c r="FZ51" s="43" t="n">
        <f aca="false">IF(AND(Tasks[[#This Row],[_IsLeaf]]=1,Tasks[[#This Row],[_LeafTotalWork]]&gt;0),MAX(Tasks[[#This Row],[_StartWorkday]],NETWORKDAYS.INTL(ProjectStart,Tasks[[#This Row],[_ShownFcstFinish]],WorkWeek,Holidays)),0)</f>
        <v>0</v>
      </c>
      <c r="GA51" s="43" t="n">
        <f aca="false">IF(AND(Tasks[[#This Row],[_IsLeaf]]=1,Tasks[[#This Row],[_LeafTotalWork]]&gt;0),Tasks[[#This Row],[_LeafWork]]/(Tasks[[#This Row],[_FinishWorkday]]-Tasks[[#This Row],[_StartWorkday]]+1),0)</f>
        <v>0</v>
      </c>
      <c r="GB51" s="43" t="n">
        <f aca="false">Tasks[[#This Row],[_WorkPerWorkday]]*(Tasks[[#This Row],[_StartWorkday]]-1)</f>
        <v>-0</v>
      </c>
      <c r="GC51" s="43" t="n">
        <f aca="false">IF(Tasks[[#This Row],[_IsLeaf]]=1,MAX(N(Tasks[[#This Row],[_Days]]),0.1),0)</f>
        <v>0</v>
      </c>
      <c r="GD51" s="43" t="n">
        <f aca="false">Tasks[[#This Row],[_WeightDur]]*Tasks[[#This Row],[_LeafProgress]]</f>
        <v>0</v>
      </c>
      <c r="GE51" s="43" t="n">
        <f aca="false">Tasks[[#This Row],[_WeightDur]]*Tasks[[#This Row],[_PlannedPct]]</f>
        <v>0</v>
      </c>
      <c r="GF5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1" s="43" t="str">
        <f aca="false">IF(AND(Tasks[[#This Row],[_IsLeaf]]=1,N(Tasks[[#This Row],[_Days]])=0,Tasks[[#This Row],[_LeafProgress]]&lt;1),Tasks[[#This Row],[_ShownFcstFinish]]+Tasks[[#This Row],[_Row]]/100000,"")</f>
        <v/>
      </c>
      <c r="GH5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1" s="43" t="str">
        <f aca="false">IF(Tasks[[#This Row],[Task Name]]="","",LEFT(Tasks[[#This Row],[WBS]],FIND(".",Tasks[[#This Row],[WBS]]&amp;".")-1))</f>
        <v/>
      </c>
      <c r="GJ51" s="43" t="str">
        <f aca="false">IF(AND(Tasks[[#This Row],[Task Name]]&lt;&gt;"",Tasks[[#This Row],[_Level]]=1),Tasks[[#This Row],[_Row]],"")</f>
        <v/>
      </c>
      <c r="GK51" s="43" t="str">
        <f aca="false">IF(AND(Tasks[[#This Row],[_IsLeaf]]=1,N(Tasks[[#This Row],[_Days]])=0),Tasks[[#This Row],[Planned Finish]]+Tasks[[#This Row],[_Row]]/100000,"")</f>
        <v/>
      </c>
      <c r="GL51" s="43" t="str">
        <f aca="false">IF(AND(Tasks[[#This Row],[_IsLeaf]]=1,Tasks[[#This Row],[_LeafProgress]]&lt;1,OR(N(Tasks[[#This Row],[Finish Var]])&gt;0,Tasks[[#This Row],[Status]]="Late Start")),MAX(0,Tasks[[#This Row],[Finish Var]])+1-Tasks[[#This Row],[_Row]]/1000000,"")</f>
        <v/>
      </c>
      <c r="GM51" s="43" t="str">
        <f aca="false">IF(AND(Tasks[[#This Row],[_IsLeaf]]=1,N(Tasks[[#This Row],[Actual Start]])=0,Tasks[[#This Row],[_ShownFcstStart]]&gt;=StatusDate,Tasks[[#This Row],[_ShownFcstStart]]&lt;=LookaheadEnd),Tasks[[#This Row],[_ShownFcstStart]]+Tasks[[#This Row],[_Row]]/100000,"")</f>
        <v/>
      </c>
      <c r="GN51" s="43" t="str">
        <f aca="false">IF(AND(Tasks[[#This Row],[_IsLeaf]]=1,Tasks[[#This Row],[_LeafProgress]]&lt;1,Tasks[[#This Row],[_ShownFcstFinish]]&gt;=StatusDate,Tasks[[#This Row],[_ShownFcstFinish]]&lt;=LookaheadEnd),Tasks[[#This Row],[_ShownFcstFinish]]+Tasks[[#This Row],[_Row]]/100000,"")</f>
        <v/>
      </c>
      <c r="GO51" s="43" t="str">
        <f aca="false">IF(Tasks[[#This Row],[_LeafCritical]],Tasks[[#This Row],[_ShownFcstStart]]+Tasks[[#This Row],[_Row]]/100000,"")</f>
        <v/>
      </c>
      <c r="GP51" s="43" t="n">
        <f aca="false">Tasks[[#This Row],[_LeafWork]]*Tasks[[#This Row],[_LeafProgress]]</f>
        <v>0</v>
      </c>
      <c r="GQ51" s="91" t="str">
        <f aca="false">IF(AND(Tasks[[#This Row],[_IsLeaf]]=1,Tasks[[#This Row],[_LeafProgress]]&gt;=1),IF(N(Tasks[[#This Row],[Actual Finish]])&gt;0,Tasks[[#This Row],[Actual Finish]],Tasks[[#This Row],[_ShownFcstFinish]]),"")</f>
        <v/>
      </c>
      <c r="GR51" s="43" t="n">
        <f aca="false">IF(Tasks[[#This Row],[_IsLeaf]]=1,N(Tasks[[#This Row],[Story Points]]),0)</f>
        <v>0</v>
      </c>
      <c r="GS51" s="43" t="str">
        <f aca="false">""</f>
        <v/>
      </c>
      <c r="GT51" s="90" t="b">
        <f aca="false">IF(Tasks[[#This Row],[Task Name]]="",FALSE(),AND(Tasks[[#This Row],[_IsLeaf]]=1,N(Tasks[[#This Row],[_Days]])=0))</f>
        <v>0</v>
      </c>
      <c r="GU51" s="91" t="n">
        <f aca="false">IF(Tasks[[#This Row],[Task Name]]="",0,IF(AND(Tasks[[#This Row],[_IsLeaf]]=1,NOT(Tasks[[#This Row],[_IsMilestone]]),N(Tasks[[#This Row],[Progress]])&gt;0),Tasks[[#This Row],[Start]],0))</f>
        <v>0</v>
      </c>
      <c r="GV51" s="91" t="n">
        <f aca="false">IF(Tasks[[#This Row],[_DoneFrom]]=0,0,IF(Tasks[[#This Row],[Progress]]&gt;=1,Tasks[[#This Row],[Finish]],MAX(Tasks[[#This Row],[_DoneFrom]],Tasks[[#This Row],[Start]]+ROUND((Tasks[[#This Row],[Finish]]-Tasks[[#This Row],[Start]]+1)*Tasks[[#This Row],[Progress]],0)-1)))</f>
        <v>0</v>
      </c>
      <c r="GW51" s="91" t="n">
        <f aca="false">IF(Tasks[[#This Row],[Task Name]]="",0,IF(OR(NOT(Tasks[[#This Row],[_IsLeaf]]=1),Tasks[[#This Row],[_IsMilestone]],N(Tasks[[#This Row],[Progress]])&gt;=1),0,IF(Tasks[[#This Row],[_DoneTo]]&gt;0,Tasks[[#This Row],[_DoneTo]]+1,Tasks[[#This Row],[Start]])))</f>
        <v>0</v>
      </c>
      <c r="GX51" s="91" t="n">
        <f aca="false">IF(Tasks[[#This Row],[_RemFrom]]=0,0,Tasks[[#This Row],[Finish]])</f>
        <v>0</v>
      </c>
      <c r="GY51" s="90" t="b">
        <f aca="false">IF(Tasks[[#This Row],[Task Name]]="",FALSE(),OR(NOT(BaselineSet),N(Tasks[[#This Row],[Baseline Start]])&gt;0))</f>
        <v>0</v>
      </c>
      <c r="GZ5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1" s="92" t="str">
        <f aca="false">IF(Tasks[[#This Row],[_IsLeaf]]=1,Tasks[[#This Row],[_Row]],"")</f>
        <v/>
      </c>
      <c r="HD51" s="92" t="str">
        <f aca="false">IFERROR(INDEX(Tasks[UID],SMALL(Tasks[_PickKey],Tasks[[#This Row],[_Row]]))&amp;" "&amp;INDEX(Tasks[Task Name],SMALL(Tasks[_PickKey],Tasks[[#This Row],[_Row]])),"")</f>
        <v/>
      </c>
      <c r="HE51" s="43" t="str">
        <f aca="false">IF(Tasks[[#This Row],[Task Name]]="","",IF(Tasks[[#This Row],[_IsSummary]],NETWORKDAYS.INTL(Tasks[[#This Row],[Start]],Tasks[[#This Row],[Finish]],WorkWeek,Holidays),N(Tasks[[#This Row],[_Days]])))</f>
        <v/>
      </c>
      <c r="HF51" s="43" t="n">
        <f aca="false">IF(Tasks[[#This Row],[Expected]]="",0,((Tasks[[#This Row],[Pessimistic]]-Tasks[[#This Row],[Optimistic]])/6)^2)</f>
        <v>0</v>
      </c>
      <c r="HG51" s="43" t="n">
        <f aca="false">IF(Tasks[[#This Row],[Expected]]="",0,Tasks[[#This Row],[Expected]]-N(Tasks[[#This Row],[_Days]]))</f>
        <v>0</v>
      </c>
    </row>
    <row r="52" customFormat="false" ht="15" hidden="false" customHeight="false" outlineLevel="0" collapsed="false">
      <c r="A52" s="21" t="str">
        <f aca="false">IF(Tasks[[#This Row],[Task Name]]="","",COUNTA(Tasks[[#Headers],[Task Name]]:Tasks[[#This Row],[Task Name]])-1)</f>
        <v/>
      </c>
      <c r="B52" s="22" t="n">
        <v>60</v>
      </c>
      <c r="C52" s="22"/>
      <c r="D52" s="23"/>
      <c r="E52" s="22"/>
      <c r="F52" s="23"/>
      <c r="G52" s="22"/>
      <c r="H52" s="22"/>
      <c r="I52" s="23"/>
      <c r="J52" s="22"/>
      <c r="K52" s="22"/>
      <c r="L52" s="23"/>
      <c r="M52" s="22"/>
      <c r="N52" s="22"/>
      <c r="O52" s="23"/>
      <c r="P52" s="22"/>
      <c r="Q52" s="22"/>
      <c r="R52" s="23"/>
      <c r="S52" s="23"/>
      <c r="T52" s="84"/>
      <c r="U52" s="23"/>
      <c r="V52" s="84"/>
      <c r="W52" s="23"/>
      <c r="X52" s="84"/>
      <c r="Y52" s="23"/>
      <c r="Z52" s="84"/>
      <c r="AA52" s="23"/>
      <c r="AB52" s="23"/>
      <c r="AC52" s="7"/>
      <c r="AD52" s="7"/>
      <c r="AE52" s="63" t="str">
        <f aca="false">IF(Tasks[[#This Row],[Task Name]]="","",IF(Tasks[[#This Row],[_IsSummary]],MIN(INDEX(Tasks[_ShownFcstStart],Tasks[[#This Row],[_Row]]+1):INDEX(Tasks[_ShownFcstStart],Tasks[[#This Row],[_Row]]+Tasks[[#This Row],[_Descendants]])),Tasks[[#This Row],[_ShownFcstStart]]))</f>
        <v/>
      </c>
      <c r="AF52" s="63" t="str">
        <f aca="false">IF(Tasks[[#This Row],[Task Name]]="","",IF(Tasks[[#This Row],[_IsSummary]],MAX(INDEX(Tasks[_ShownFcstFinish],Tasks[[#This Row],[_Row]]+1):INDEX(Tasks[_ShownFcstFinish],Tasks[[#This Row],[_Row]]+Tasks[[#This Row],[_Descendants]])),Tasks[[#This Row],[_ShownFcstFinish]]))</f>
        <v/>
      </c>
      <c r="AG52" s="21" t="str">
        <f aca="false">""</f>
        <v/>
      </c>
      <c r="AH52" s="23"/>
      <c r="AI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2" s="7"/>
      <c r="AK52" s="22"/>
      <c r="AL52" s="23"/>
      <c r="AM52" s="7"/>
      <c r="AN52" s="47" t="str">
        <f aca="false">IF(Tasks[[#This Row],[Task Name]]="","",IF(Tasks[[#This Row],[Finish]]&gt;=Tasks[[#This Row],[Planned Finish]],NETWORKDAYS.INTL(Tasks[[#This Row],[Planned Finish]],Tasks[[#This Row],[Finish]],WorkWeek,Holidays)-1,1-NETWORKDAYS.INTL(Tasks[[#This Row],[Finish]],Tasks[[#This Row],[Planned Finish]],WorkWeek,Holidays)))</f>
        <v/>
      </c>
      <c r="AO52" s="21" t="str">
        <f aca="false">IF(Tasks[[#This Row],[Task Name]]="","",IF(Tasks[[#This Row],[Progress]]&gt;=1,"Complete",IF(OR(N(Tasks[[#This Row],[Actual Start]])&gt;0,Tasks[[#This Row],[Progress]]&gt;0),IF(Tasks[[#This Row],[Finish Var]]&gt;0,"Behind","In Progress"),IF(Tasks[[#This Row],[Planned Start]]&lt;StatusDate,"Late Start","Not Started"))))</f>
        <v/>
      </c>
      <c r="AP52" s="21" t="str">
        <f aca="false">IF(Tasks[[#This Row],[Task Name]]="","",IF(IF(Tasks[[#This Row],[_IsSummary]],COUNTIF(INDEX(Tasks[_LeafCritical],Tasks[[#This Row],[_Row]]+1):INDEX(Tasks[_LeafCritical],Tasks[[#This Row],[_Row]]+Tasks[[#This Row],[_Descendants]]),TRUE())&gt;0,Tasks[[#This Row],[_LeafCritical]]),"Yes",""))</f>
        <v/>
      </c>
      <c r="AQ52" s="63" t="str">
        <f aca="false">IF(Tasks[[#This Row],[Task Name]]="","",IF(N(Tasks[[#This Row],[Baseline Start]])&gt;0,Tasks[[#This Row],[Baseline Start]],Tasks[[#This Row],[_CalcStart]]))</f>
        <v/>
      </c>
      <c r="AR52" s="63" t="str">
        <f aca="false">IF(Tasks[[#This Row],[Task Name]]="","",IF(N(Tasks[[#This Row],[Baseline Finish]])&gt;0,Tasks[[#This Row],[Baseline Finish]],Tasks[[#This Row],[_CalcFinish]]))</f>
        <v/>
      </c>
      <c r="AS52" s="47" t="str">
        <f aca="false">IF(Tasks[[#This Row],[Task Name]]="","",IF(Tasks[[#This Row],[Start]]&gt;=Tasks[[#This Row],[Planned Start]],NETWORKDAYS.INTL(Tasks[[#This Row],[Planned Start]],Tasks[[#This Row],[Start]],WorkWeek,Holidays)-1,1-NETWORKDAYS.INTL(Tasks[[#This Row],[Start]],Tasks[[#This Row],[Planned Start]],WorkWeek,Holidays)))</f>
        <v/>
      </c>
      <c r="AT52" s="63" t="str">
        <f aca="false">IF(Tasks[[#This Row],[Task Name]]="","",IF(Tasks[[#This Row],[_IsSummary]],MIN(INDEX(Tasks[_LeafLateStart],Tasks[[#This Row],[_Row]]+1):INDEX(Tasks[_LeafLateStart],Tasks[[#This Row],[_Row]]+Tasks[[#This Row],[_Descendants]])),Tasks[[#This Row],[_LeafLateStart]]))</f>
        <v/>
      </c>
      <c r="AU52" s="63" t="str">
        <f aca="false">IF(Tasks[[#This Row],[Task Name]]="","",IF(Tasks[[#This Row],[_IsSummary]],MAX(INDEX(Tasks[_LeafLateFinish],Tasks[[#This Row],[_Row]]+1):INDEX(Tasks[_LeafLateFinish],Tasks[[#This Row],[_Row]]+Tasks[[#This Row],[_Descendants]])),Tasks[[#This Row],[_LeafLateFinish]]))</f>
        <v/>
      </c>
      <c r="AV52" s="47" t="str">
        <f aca="false">IF(Tasks[[#This Row],[Task Name]]="","",IF(Tasks[[#This Row],[_IsSummary]],MIN(INDEX(Tasks[_LeafTotalSlack],Tasks[[#This Row],[_Row]]+1):INDEX(Tasks[_LeafTotalSlack],Tasks[[#This Row],[_Row]]+Tasks[[#This Row],[_Descendants]])),Tasks[[#This Row],[_LeafTotalSlack]]))</f>
        <v/>
      </c>
      <c r="AW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5"/>
      <c r="BA5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1" t="str">
        <f aca="false">IF(Tasks[[#This Row],[Task Name]]="","",IF(Tasks[[#This Row],[_Level]]&lt;=OutlineShowLevel,"Yes","No"))</f>
        <v/>
      </c>
      <c r="BE52" s="86" t="str">
        <f aca="false">IF(Tasks[[#This Row],[Task Name]]="","",IF(Tasks[[#This Row],[_IsSummary]],SUM(INDEX(Tasks[_LeafTotalWork],Tasks[[#This Row],[_Row]]+1):INDEX(Tasks[_LeafTotalWork],Tasks[[#This Row],[_Row]]+Tasks[[#This Row],[_Descendants]])),Tasks[[#This Row],[_LeafTotalWork]]))</f>
        <v/>
      </c>
      <c r="BF52" s="23"/>
      <c r="BG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2" s="21" t="str">
        <f aca="false">""</f>
        <v/>
      </c>
      <c r="BI52" s="87"/>
      <c r="BJ52" s="22"/>
      <c r="BK52" s="47" t="str">
        <f aca="false">IF(OR(Tasks[[#This Row],[Task Name]]="",Tasks[[#This Row],[Baseline Duration]]=""),"",Tasks[[#This Row],[_SpanDays]]-N(Tasks[[#This Row],[Baseline Duration]]))</f>
        <v/>
      </c>
      <c r="BL52" s="86" t="str">
        <f aca="false">IF(OR(Tasks[[#This Row],[Task Name]]="",Tasks[[#This Row],[Baseline Work]]=""),"",Tasks[[#This Row],[Work]]-N(Tasks[[#This Row],[Baseline Work]]))</f>
        <v/>
      </c>
      <c r="BM52" s="63" t="str">
        <f aca="false">IF(Tasks[[#This Row],[Task Name]]="","",IF(OR(TakeBaseline="Yes",N(Tasks[[#This Row],[Baseline Start]])=0),Tasks[[#This Row],[Start]],Tasks[[#This Row],[Baseline Start]]))</f>
        <v/>
      </c>
      <c r="BN52" s="63" t="str">
        <f aca="false">IF(Tasks[[#This Row],[Task Name]]="","",IF(OR(TakeBaseline="Yes",N(Tasks[[#This Row],[Baseline Finish]])=0),Tasks[[#This Row],[Finish]],Tasks[[#This Row],[Baseline Finish]]))</f>
        <v/>
      </c>
      <c r="BO52" s="21" t="str">
        <f aca="false">IF(Tasks[[#This Row],[Task Name]]="","",IF(OR(TakeBaseline="Yes",N(Tasks[[#This Row],[Baseline Duration]])=0),Tasks[[#This Row],[_SpanDays]],Tasks[[#This Row],[Baseline Duration]]))</f>
        <v/>
      </c>
      <c r="BP52" s="86" t="str">
        <f aca="false">IF(Tasks[[#This Row],[Task Name]]="","",IF(OR(TakeBaseline="Yes",N(Tasks[[#This Row],[Baseline Work]])=0),Tasks[[#This Row],[Work]],Tasks[[#This Row],[Baseline Work]]))</f>
        <v/>
      </c>
      <c r="BQ52" s="7"/>
      <c r="BR52" s="7"/>
      <c r="BS52" s="22"/>
      <c r="BT52" s="88"/>
      <c r="BU52" s="23"/>
      <c r="BV52" s="23"/>
      <c r="BW52" s="23"/>
      <c r="BX52" s="89" t="str">
        <f aca="false">IF(AND(Tasks[[#This Row],[_IsLeaf]]=1,ISNUMBER(Tasks[[#This Row],[Optimistic]]),ISNUMBER(Tasks[[#This Row],[Pessimistic]])),ROUND((Tasks[[#This Row],[Optimistic]]+4*N(Tasks[[#This Row],[_Days]])+Tasks[[#This Row],[Pessimistic]])/6,1),"")</f>
        <v/>
      </c>
      <c r="BY52" s="87"/>
      <c r="BZ52" s="87"/>
      <c r="CA52" s="22"/>
      <c r="CB52" s="43" t="str">
        <f aca="false">IF(Tasks[[#This Row],[Task Name]]="","",MAX(1,N(Tasks[[#This Row],[Level]])))</f>
        <v/>
      </c>
      <c r="CC52" s="43" t="n">
        <f aca="false">ROW()-ROW(Tasks[[#Headers],[ID]])</f>
        <v>47</v>
      </c>
      <c r="CD52" s="43" t="n">
        <f aca="false">IF(OR(Tasks[[#This Row],[Task Name]]="",Tasks[[#This Row],[_Level]]&lt;=1),0,IFERROR(LOOKUP(2,1/(Tasks[[#Headers],[_Level]]:Tasks[[#This Row],[_Level]]=Tasks[[#This Row],[_Level]]-1),ROW(Tasks[[#Headers],[_Level]]:Tasks[[#This Row],[_Level]])),0))</f>
        <v>0</v>
      </c>
      <c r="CE52" s="43" t="n">
        <f aca="false">IFERROR(N(INDEX(Tasks[_Level],Tasks[[#This Row],[_Row]]+1)),0)</f>
        <v>0</v>
      </c>
      <c r="CF52" s="90" t="b">
        <f aca="false">AND(Tasks[[#This Row],[Task Name]]&lt;&gt;"",Tasks[[#This Row],[_NextLevel]]&gt;Tasks[[#This Row],[_Level]])</f>
        <v>0</v>
      </c>
      <c r="CG52" s="43" t="n">
        <f aca="false">IF(Tasks[[#This Row],[_IsSummary]],COUNTIF(Tasks[WBS],Tasks[[#This Row],[WBS]]&amp;".*"),0)</f>
        <v>0</v>
      </c>
      <c r="CH52" s="43" t="n">
        <f aca="false">IF(AND(Tasks[[#This Row],[Task Name]]&lt;&gt;"",NOT(Tasks[[#This Row],[_IsSummary]])),1,0)</f>
        <v>0</v>
      </c>
      <c r="CI52" s="43" t="n">
        <f aca="false">IF(N(Tasks[[#This Row],[_Pred1UID]])=0,0,IFERROR(MATCH(Tasks[[#This Row],[_Pred1UID]],Tasks[UID],0),-1))</f>
        <v>0</v>
      </c>
      <c r="CJ52" s="43" t="n">
        <f aca="false">IF(N(Tasks[[#This Row],[_Pred2UID]])=0,0,IFERROR(MATCH(Tasks[[#This Row],[_Pred2UID]],Tasks[UID],0),-1))</f>
        <v>0</v>
      </c>
      <c r="CK52" s="43" t="n">
        <f aca="false">IF(N(Tasks[[#This Row],[_Pred3UID]])=0,0,IFERROR(MATCH(Tasks[[#This Row],[_Pred3UID]],Tasks[UID],0),-1))</f>
        <v>0</v>
      </c>
      <c r="CL52" s="43" t="n">
        <f aca="false">IF(N(Tasks[[#This Row],[_Pred4UID]])=0,0,IFERROR(MATCH(Tasks[[#This Row],[_Pred4UID]],Tasks[UID],0),-1))</f>
        <v>0</v>
      </c>
      <c r="CM5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2" s="91" t="n">
        <f aca="false">IF(OR(Tasks[[#This Row],[_ConstraintCode]]=2,Tasks[[#This Row],[_ConstraintCode]]=3,Tasks[[#This Row],[_ConstraintCode]]=4,Tasks[[#This Row],[_ConstraintCode]]=6),Tasks[[#This Row],[_ConstraintStart]],0)</f>
        <v>0</v>
      </c>
      <c r="CP52" s="91" t="n">
        <f aca="false">IF(OR(Tasks[[#This Row],[_ConstraintCode]]=2,Tasks[[#This Row],[_ConstraintCode]]=3,Tasks[[#This Row],[_ConstraintCode]]=5,Tasks[[#This Row],[_ConstraintCode]]=7),Tasks[[#This Row],[_ConstraintStart]],2958465)</f>
        <v>2958465</v>
      </c>
      <c r="CQ5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2" s="91" t="str">
        <f aca="false">IF(NOT(Tasks[[#This Row],[_IsLeaf]]=1),"",IF(N(Tasks[[#This Row],[_Days]])&lt;=0,Tasks[[#This Row],[_LeafCalcStart]],WORKDAY.INTL(Tasks[[#This Row],[_LeafCalcStart]],Tasks[[#This Row],[_Days]]-1,WorkWeek,Holidays)))</f>
        <v/>
      </c>
      <c r="CS5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2" s="43" t="str">
        <f aca="false">IF(Tasks[[#This Row],[_Predecessors]]="","",TRIM(MID(SUBSTITUTE(SUBSTITUTE(SUBSTITUTE(UPPER(Tasks[[#This Row],[_Predecessors]]),";",",")," ",""),",",REPT(" ",99)),1,99)))</f>
        <v/>
      </c>
      <c r="CV52" s="43" t="str">
        <f aca="false">IF(Tasks[[#This Row],[_Pred1Text]]="","",IFERROR(VALUE(LEFT(Tasks[[#This Row],[_Pred1Text]],MIN(FIND("F",Tasks[[#This Row],[_Pred1Text]]&amp;"F"),FIND("S",Tasks[[#This Row],[_Pred1Text]]&amp;"S"),FIND("+",Tasks[[#This Row],[_Pred1Text]]&amp;"+"),FIND("-",Tasks[[#This Row],[_Pred1Text]]&amp;"-"))-1)),""))</f>
        <v/>
      </c>
      <c r="CW5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2" s="43" t="str">
        <f aca="false">IF(Tasks[[#This Row],[_Pred1Text]]="","",TRIM(MID(SUBSTITUTE(SUBSTITUTE(SUBSTITUTE(UPPER(Tasks[[#This Row],[_Predecessors]]),";",",")," ",""),",",REPT(" ",99)),100,99)))</f>
        <v/>
      </c>
      <c r="CZ52" s="43" t="str">
        <f aca="false">IF(Tasks[[#This Row],[_Pred2Text]]="","",IFERROR(VALUE(LEFT(Tasks[[#This Row],[_Pred2Text]],MIN(FIND("F",Tasks[[#This Row],[_Pred2Text]]&amp;"F"),FIND("S",Tasks[[#This Row],[_Pred2Text]]&amp;"S"),FIND("+",Tasks[[#This Row],[_Pred2Text]]&amp;"+"),FIND("-",Tasks[[#This Row],[_Pred2Text]]&amp;"-"))-1)),""))</f>
        <v/>
      </c>
      <c r="DA5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2" s="43" t="str">
        <f aca="false">IF(Tasks[[#This Row],[_Pred2Text]]="","",TRIM(MID(SUBSTITUTE(SUBSTITUTE(SUBSTITUTE(UPPER(Tasks[[#This Row],[_Predecessors]]),";",",")," ",""),",",REPT(" ",99)),199,99)))</f>
        <v/>
      </c>
      <c r="DD52" s="43" t="str">
        <f aca="false">IF(Tasks[[#This Row],[_Pred3Text]]="","",IFERROR(VALUE(LEFT(Tasks[[#This Row],[_Pred3Text]],MIN(FIND("F",Tasks[[#This Row],[_Pred3Text]]&amp;"F"),FIND("S",Tasks[[#This Row],[_Pred3Text]]&amp;"S"),FIND("+",Tasks[[#This Row],[_Pred3Text]]&amp;"+"),FIND("-",Tasks[[#This Row],[_Pred3Text]]&amp;"-"))-1)),""))</f>
        <v/>
      </c>
      <c r="DE5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2" s="43" t="str">
        <f aca="false">IF(Tasks[[#This Row],[_Pred3Text]]="","",TRIM(MID(SUBSTITUTE(SUBSTITUTE(SUBSTITUTE(UPPER(Tasks[[#This Row],[_Predecessors]]),";",",")," ",""),",",REPT(" ",99)),298,99)))</f>
        <v/>
      </c>
      <c r="DH52" s="43" t="str">
        <f aca="false">IF(Tasks[[#This Row],[_Pred4Text]]="","",IFERROR(VALUE(LEFT(Tasks[[#This Row],[_Pred4Text]],MIN(FIND("F",Tasks[[#This Row],[_Pred4Text]]&amp;"F"),FIND("S",Tasks[[#This Row],[_Pred4Text]]&amp;"S"),FIND("+",Tasks[[#This Row],[_Pred4Text]]&amp;"+"),FIND("-",Tasks[[#This Row],[_Pred4Text]]&amp;"-"))-1)),""))</f>
        <v/>
      </c>
      <c r="DI5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2" s="43" t="str">
        <f aca="false">IF(OR(Tasks[[#This Row],[Task Name]]="",Tasks[[#This Row],[_Resources]]=""),"",TRIM(MID(SUBSTITUTE(Tasks[[#This Row],[_Resources]],",",REPT(" ",99)),1,99)))</f>
        <v/>
      </c>
      <c r="DL52" s="43" t="str">
        <f aca="false">IF(Tasks[[#This Row],[_Res1Text]]="","",TRIM(MID(SUBSTITUTE(Tasks[[#This Row],[_Resources]],",",REPT(" ",99)),100,99)))</f>
        <v/>
      </c>
      <c r="DM52" s="43" t="str">
        <f aca="false">IF(Tasks[[#This Row],[_Res2Text]]="","",TRIM(MID(SUBSTITUTE(Tasks[[#This Row],[_Resources]],",",REPT(" ",99)),199,99)))</f>
        <v/>
      </c>
      <c r="DN52" s="43" t="str">
        <f aca="false">IF(Tasks[[#This Row],[_Res3Text]]="","",TRIM(MID(SUBSTITUTE(Tasks[[#This Row],[_Resources]],",",REPT(" ",99)),298,99)))</f>
        <v/>
      </c>
      <c r="DO52" s="43" t="n">
        <f aca="false">IF(Tasks[[#This Row],[_Res1Text]]="",0,IFERROR(MATCH(TRIM(LEFT(Tasks[[#This Row],[_Res1Text]],FIND("[",Tasks[[#This Row],[_Res1Text]]&amp;"[")-1)),res_Name,0),IFERROR(MATCH(TRIM(LEFT(Tasks[[#This Row],[_Res1Text]],FIND("[",Tasks[[#This Row],[_Res1Text]]&amp;"[")-1)),res_Initials,0),0)))</f>
        <v>0</v>
      </c>
      <c r="DP52" s="43" t="n">
        <f aca="false">IF(Tasks[[#This Row],[_Res2Text]]="",0,IFERROR(MATCH(TRIM(LEFT(Tasks[[#This Row],[_Res2Text]],FIND("[",Tasks[[#This Row],[_Res2Text]]&amp;"[")-1)),res_Name,0),IFERROR(MATCH(TRIM(LEFT(Tasks[[#This Row],[_Res2Text]],FIND("[",Tasks[[#This Row],[_Res2Text]]&amp;"[")-1)),res_Initials,0),0)))</f>
        <v>0</v>
      </c>
      <c r="DQ52" s="43" t="n">
        <f aca="false">IF(Tasks[[#This Row],[_Res3Text]]="",0,IFERROR(MATCH(TRIM(LEFT(Tasks[[#This Row],[_Res3Text]],FIND("[",Tasks[[#This Row],[_Res3Text]]&amp;"[")-1)),res_Name,0),IFERROR(MATCH(TRIM(LEFT(Tasks[[#This Row],[_Res3Text]],FIND("[",Tasks[[#This Row],[_Res3Text]]&amp;"[")-1)),res_Initials,0),0)))</f>
        <v>0</v>
      </c>
      <c r="DR52" s="43" t="n">
        <f aca="false">IF(Tasks[[#This Row],[_Res4Text]]="",0,IFERROR(MATCH(TRIM(LEFT(Tasks[[#This Row],[_Res4Text]],FIND("[",Tasks[[#This Row],[_Res4Text]]&amp;"[")-1)),res_Name,0),IFERROR(MATCH(TRIM(LEFT(Tasks[[#This Row],[_Res4Text]],FIND("[",Tasks[[#This Row],[_Res4Text]]&amp;"[")-1)),res_Initials,0),0)))</f>
        <v>0</v>
      </c>
      <c r="DS52" s="43" t="str">
        <f aca="false">IF(Tasks[[#This Row],[_Res1Text]]="","",IF(Tasks[[#This Row],[_Res1Row]]&gt;0,INDEX(res_Name,Tasks[[#This Row],[_Res1Row]]),TRIM(LEFT(Tasks[[#This Row],[_Res1Text]],FIND("[",Tasks[[#This Row],[_Res1Text]]&amp;"[")-1))))</f>
        <v/>
      </c>
      <c r="DT5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2" s="43" t="n">
        <f aca="false">IF(NOT(Tasks[[#This Row],[_IsLeaf]]=1),0,(Tasks[[#This Row],[_Resource1]]&lt;&gt;"")+(Tasks[[#This Row],[_Res2]]&lt;&gt;"")+(Tasks[[#This Row],[_Res3]]&lt;&gt;"")+(Tasks[[#This Row],[_Res4]]&lt;&gt;""))</f>
        <v>0</v>
      </c>
      <c r="DV52" s="43" t="str">
        <f aca="false">IF(Tasks[[#This Row],[_Res2Text]]="","",IF(Tasks[[#This Row],[_Res2Row]]&gt;0,INDEX(res_Name,Tasks[[#This Row],[_Res2Row]]),TRIM(LEFT(Tasks[[#This Row],[_Res2Text]],FIND("[",Tasks[[#This Row],[_Res2Text]]&amp;"[")-1))))</f>
        <v/>
      </c>
      <c r="DW5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2" s="43" t="n">
        <f aca="false">IF(OR(NOT(Tasks[[#This Row],[_IsLeaf]]=1),Tasks[[#This Row],[_Res2Row]]=0),0,N(Tasks[[#This Row],[_Days]])*HoursPerDay*IF(Tasks[[#This Row],[_Res2Units]]="",DefaultUnits,Tasks[[#This Row],[_Res2Units]]))</f>
        <v>0</v>
      </c>
      <c r="DY52" s="43" t="n">
        <f aca="false">IF(AND(AND(Tasks[[#This Row],[_IsLeaf]]=1,Tasks[[#This Row],[_LeafTotalWork]]&gt;0),Tasks[[#This Row],[_Res2Work]]&gt;0),Tasks[[#This Row],[_Res2Work]]/(Tasks[[#This Row],[_FinishWorkday]]-Tasks[[#This Row],[_StartWorkday]]+1),0)</f>
        <v>0</v>
      </c>
      <c r="DZ52" s="43" t="n">
        <f aca="false">Tasks[[#This Row],[_Res2WorkPerWD]]*MAX(0,Tasks[[#This Row],[_StartWorkday]]-1)</f>
        <v>0</v>
      </c>
      <c r="EA52" s="43" t="n">
        <f aca="false">Tasks[[#This Row],[_Res2Work]]*Tasks[[#This Row],[_LeafProgress]]</f>
        <v>0</v>
      </c>
      <c r="EB52" s="43" t="str">
        <f aca="false">IF(Tasks[[#This Row],[_Res3Text]]="","",IF(Tasks[[#This Row],[_Res3Row]]&gt;0,INDEX(res_Name,Tasks[[#This Row],[_Res3Row]]),TRIM(LEFT(Tasks[[#This Row],[_Res3Text]],FIND("[",Tasks[[#This Row],[_Res3Text]]&amp;"[")-1))))</f>
        <v/>
      </c>
      <c r="EC5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2" s="43" t="n">
        <f aca="false">IF(OR(NOT(Tasks[[#This Row],[_IsLeaf]]=1),Tasks[[#This Row],[_Res3Row]]=0),0,N(Tasks[[#This Row],[_Days]])*HoursPerDay*IF(Tasks[[#This Row],[_Res3Units]]="",DefaultUnits,Tasks[[#This Row],[_Res3Units]]))</f>
        <v>0</v>
      </c>
      <c r="EE52" s="43" t="n">
        <f aca="false">IF(AND(AND(Tasks[[#This Row],[_IsLeaf]]=1,Tasks[[#This Row],[_LeafTotalWork]]&gt;0),Tasks[[#This Row],[_Res3Work]]&gt;0),Tasks[[#This Row],[_Res3Work]]/(Tasks[[#This Row],[_FinishWorkday]]-Tasks[[#This Row],[_StartWorkday]]+1),0)</f>
        <v>0</v>
      </c>
      <c r="EF52" s="43" t="n">
        <f aca="false">Tasks[[#This Row],[_Res3WorkPerWD]]*MAX(0,Tasks[[#This Row],[_StartWorkday]]-1)</f>
        <v>0</v>
      </c>
      <c r="EG52" s="43" t="n">
        <f aca="false">Tasks[[#This Row],[_Res3Work]]*Tasks[[#This Row],[_LeafProgress]]</f>
        <v>0</v>
      </c>
      <c r="EH52" s="43" t="str">
        <f aca="false">IF(Tasks[[#This Row],[_Res4Text]]="","",IF(Tasks[[#This Row],[_Res4Row]]&gt;0,INDEX(res_Name,Tasks[[#This Row],[_Res4Row]]),TRIM(LEFT(Tasks[[#This Row],[_Res4Text]],FIND("[",Tasks[[#This Row],[_Res4Text]]&amp;"[")-1))))</f>
        <v/>
      </c>
      <c r="EI5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2" s="43" t="n">
        <f aca="false">IF(OR(NOT(Tasks[[#This Row],[_IsLeaf]]=1),Tasks[[#This Row],[_Res4Row]]=0),0,N(Tasks[[#This Row],[_Days]])*HoursPerDay*IF(Tasks[[#This Row],[_Res4Units]]="",DefaultUnits,Tasks[[#This Row],[_Res4Units]]))</f>
        <v>0</v>
      </c>
      <c r="EK52" s="43" t="n">
        <f aca="false">IF(AND(AND(Tasks[[#This Row],[_IsLeaf]]=1,Tasks[[#This Row],[_LeafTotalWork]]&gt;0),Tasks[[#This Row],[_Res4Work]]&gt;0),Tasks[[#This Row],[_Res4Work]]/(Tasks[[#This Row],[_FinishWorkday]]-Tasks[[#This Row],[_StartWorkday]]+1),0)</f>
        <v>0</v>
      </c>
      <c r="EL52" s="43" t="n">
        <f aca="false">Tasks[[#This Row],[_Res4WorkPerWD]]*MAX(0,Tasks[[#This Row],[_StartWorkday]]-1)</f>
        <v>0</v>
      </c>
      <c r="EM52" s="43" t="n">
        <f aca="false">Tasks[[#This Row],[_Res4Work]]*Tasks[[#This Row],[_LeafProgress]]</f>
        <v>0</v>
      </c>
      <c r="EN52" s="43" t="n">
        <f aca="false">IF(ISNUMBER(Tasks[[#This Row],[% Complete]]),Tasks[[#This Row],[% Complete]],IF(Tasks[[#This Row],[Stage]]="",0,IFERROR(INDEX(stg_Pct,MATCH(Tasks[[#This Row],[Stage]],stg_Name,0)),0)))</f>
        <v>0</v>
      </c>
      <c r="EO52" s="43" t="n">
        <f aca="false">IF(NOT(Tasks[[#This Row],[_IsLeaf]]=1),0,IF(N(Tasks[[#This Row],[Actual Finish]])&gt;0,1,MIN(1,Tasks[[#This Row],[_Pct]])))</f>
        <v>0</v>
      </c>
      <c r="EP52" s="43" t="n">
        <f aca="false">IF(OR(NOT(Tasks[[#This Row],[_IsLeaf]]=1),Tasks[[#This Row],[_Res1Row]]=0),0,N(Tasks[[#This Row],[_Days]])*HoursPerDay*IF(Tasks[[#This Row],[_Units1]]="",DefaultUnits,Tasks[[#This Row],[_Units1]]))</f>
        <v>0</v>
      </c>
      <c r="EQ52" s="43" t="n">
        <f aca="false">Tasks[[#This Row],[_LeafWork]]+Tasks[[#This Row],[_Res2Work]]+Tasks[[#This Row],[_Res3Work]]+Tasks[[#This Row],[_Res4Work]]</f>
        <v>0</v>
      </c>
      <c r="ER5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2" s="43" t="n">
        <f aca="false">IF(NOT(Tasks[[#This Row],[_IsLeaf]]=1),0,MAX(_xlfn.MAXIFS(Tasks[_Row],Tasks[_Pred1UID],Tasks[[#This Row],[UID]]),_xlfn.MAXIFS(Tasks[_Row],Tasks[_Pred2UID],Tasks[[#This Row],[UID]]),_xlfn.MAXIFS(Tasks[_Row],Tasks[_Pred3UID],Tasks[[#This Row],[UID]]),_xlfn.MAXIFS(Tasks[_Row],Tasks[_Pred4UID],Tasks[[#This Row],[UID]])))</f>
        <v>0</v>
      </c>
      <c r="FA5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2" s="91" t="str">
        <f aca="false">IF(NOT(Tasks[[#This Row],[_IsLeaf]]=1),"",IF(N(Tasks[[#This Row],[_Days]])&lt;=0,Tasks[[#This Row],[_LeafLateFinish]],WORKDAY.INTL(Tasks[[#This Row],[_LeafLateFinish]],-(Tasks[[#This Row],[_Days]]-1),WorkWeek,Holidays)))</f>
        <v/>
      </c>
      <c r="FD5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2" s="90" t="b">
        <f aca="false">AND(Tasks[[#This Row],[_IsLeaf]]=1,Tasks[[#This Row],[_LeafProgress]]&lt;1,N(Tasks[[#This Row],[_LeafTotalSlack]])&lt;=CriticalSlackDays)</f>
        <v>0</v>
      </c>
      <c r="FF52" s="43" t="n">
        <f aca="false">IF(AND(Tasks[[#This Row],[_IsLeaf]]=1,Tasks[[#This Row],[_ConstraintCode]]=1,Tasks[[#This Row],[Mode]]&lt;&gt;"Manual",N(Tasks[[#This Row],[Actual Start]])=0),MAX(0,N(Tasks[[#This Row],[Free Slack]])),0)</f>
        <v>0</v>
      </c>
      <c r="FG52" s="91" t="str">
        <f aca="false">IF(NOT(Tasks[[#This Row],[_IsLeaf]]=1),"",IF(Tasks[[#This Row],[_AlapShift]]=0,Tasks[[#This Row],[_LeafCalcStart]],WORKDAY.INTL(Tasks[[#This Row],[_LeafCalcStart]],Tasks[[#This Row],[_AlapShift]],WorkWeek,Holidays)))</f>
        <v/>
      </c>
      <c r="FH52" s="91" t="str">
        <f aca="false">IF(NOT(Tasks[[#This Row],[_IsLeaf]]=1),"",IF(Tasks[[#This Row],[_AlapShift]]=0,Tasks[[#This Row],[_LeafCalcFinish]],WORKDAY.INTL(Tasks[[#This Row],[_LeafCalcFinish]],Tasks[[#This Row],[_AlapShift]],WorkWeek,Holidays)))</f>
        <v/>
      </c>
      <c r="FI52" s="91" t="str">
        <f aca="false">IF(NOT(Tasks[[#This Row],[_IsLeaf]]=1),"",IF(Tasks[[#This Row],[_AlapShift]]=0,Tasks[[#This Row],[_LeafFcstStart]],WORKDAY.INTL(Tasks[[#This Row],[_LeafFcstStart]],Tasks[[#This Row],[_AlapShift]],WorkWeek,Holidays)))</f>
        <v/>
      </c>
      <c r="FJ52" s="91" t="str">
        <f aca="false">IF(NOT(Tasks[[#This Row],[_IsLeaf]]=1),"",IF(Tasks[[#This Row],[_AlapShift]]=0,Tasks[[#This Row],[_LeafFcstFinish]],WORKDAY.INTL(Tasks[[#This Row],[_LeafFcstFinish]],Tasks[[#This Row],[_AlapShift]],WorkWeek,Holidays)))</f>
        <v/>
      </c>
      <c r="FK52" s="91" t="str">
        <f aca="false">IF(Tasks[[#This Row],[Task Name]]="","",IF(Tasks[[#This Row],[_IsSummary]],MIN(INDEX(Tasks[_ShownCalcStart],Tasks[[#This Row],[_Row]]+1):INDEX(Tasks[_ShownCalcStart],Tasks[[#This Row],[_Row]]+Tasks[[#This Row],[_Descendants]])),Tasks[[#This Row],[_ShownCalcStart]]))</f>
        <v/>
      </c>
      <c r="FL52" s="91" t="str">
        <f aca="false">IF(Tasks[[#This Row],[Task Name]]="","",IF(Tasks[[#This Row],[_IsSummary]],MAX(INDEX(Tasks[_ShownCalcFinish],Tasks[[#This Row],[_Row]]+1):INDEX(Tasks[_ShownCalcFinish],Tasks[[#This Row],[_Row]]+Tasks[[#This Row],[_Descendants]])),Tasks[[#This Row],[_ShownCalcFinish]]))</f>
        <v/>
      </c>
      <c r="FM5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2" s="43" t="n">
        <f aca="false">IF(AND(Tasks[[#This Row],[_IsLeaf]]=1,Tasks[[#This Row],[_LeafTotalWork]]&gt;0),NETWORKDAYS.INTL(ProjectStart,Tasks[[#This Row],[_ShownFcstStart]],WorkWeek,Holidays),0)</f>
        <v>0</v>
      </c>
      <c r="FZ52" s="43" t="n">
        <f aca="false">IF(AND(Tasks[[#This Row],[_IsLeaf]]=1,Tasks[[#This Row],[_LeafTotalWork]]&gt;0),MAX(Tasks[[#This Row],[_StartWorkday]],NETWORKDAYS.INTL(ProjectStart,Tasks[[#This Row],[_ShownFcstFinish]],WorkWeek,Holidays)),0)</f>
        <v>0</v>
      </c>
      <c r="GA52" s="43" t="n">
        <f aca="false">IF(AND(Tasks[[#This Row],[_IsLeaf]]=1,Tasks[[#This Row],[_LeafTotalWork]]&gt;0),Tasks[[#This Row],[_LeafWork]]/(Tasks[[#This Row],[_FinishWorkday]]-Tasks[[#This Row],[_StartWorkday]]+1),0)</f>
        <v>0</v>
      </c>
      <c r="GB52" s="43" t="n">
        <f aca="false">Tasks[[#This Row],[_WorkPerWorkday]]*(Tasks[[#This Row],[_StartWorkday]]-1)</f>
        <v>-0</v>
      </c>
      <c r="GC52" s="43" t="n">
        <f aca="false">IF(Tasks[[#This Row],[_IsLeaf]]=1,MAX(N(Tasks[[#This Row],[_Days]]),0.1),0)</f>
        <v>0</v>
      </c>
      <c r="GD52" s="43" t="n">
        <f aca="false">Tasks[[#This Row],[_WeightDur]]*Tasks[[#This Row],[_LeafProgress]]</f>
        <v>0</v>
      </c>
      <c r="GE52" s="43" t="n">
        <f aca="false">Tasks[[#This Row],[_WeightDur]]*Tasks[[#This Row],[_PlannedPct]]</f>
        <v>0</v>
      </c>
      <c r="GF5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2" s="43" t="str">
        <f aca="false">IF(AND(Tasks[[#This Row],[_IsLeaf]]=1,N(Tasks[[#This Row],[_Days]])=0,Tasks[[#This Row],[_LeafProgress]]&lt;1),Tasks[[#This Row],[_ShownFcstFinish]]+Tasks[[#This Row],[_Row]]/100000,"")</f>
        <v/>
      </c>
      <c r="GH5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2" s="43" t="str">
        <f aca="false">IF(Tasks[[#This Row],[Task Name]]="","",LEFT(Tasks[[#This Row],[WBS]],FIND(".",Tasks[[#This Row],[WBS]]&amp;".")-1))</f>
        <v/>
      </c>
      <c r="GJ52" s="43" t="str">
        <f aca="false">IF(AND(Tasks[[#This Row],[Task Name]]&lt;&gt;"",Tasks[[#This Row],[_Level]]=1),Tasks[[#This Row],[_Row]],"")</f>
        <v/>
      </c>
      <c r="GK52" s="43" t="str">
        <f aca="false">IF(AND(Tasks[[#This Row],[_IsLeaf]]=1,N(Tasks[[#This Row],[_Days]])=0),Tasks[[#This Row],[Planned Finish]]+Tasks[[#This Row],[_Row]]/100000,"")</f>
        <v/>
      </c>
      <c r="GL52" s="43" t="str">
        <f aca="false">IF(AND(Tasks[[#This Row],[_IsLeaf]]=1,Tasks[[#This Row],[_LeafProgress]]&lt;1,OR(N(Tasks[[#This Row],[Finish Var]])&gt;0,Tasks[[#This Row],[Status]]="Late Start")),MAX(0,Tasks[[#This Row],[Finish Var]])+1-Tasks[[#This Row],[_Row]]/1000000,"")</f>
        <v/>
      </c>
      <c r="GM52" s="43" t="str">
        <f aca="false">IF(AND(Tasks[[#This Row],[_IsLeaf]]=1,N(Tasks[[#This Row],[Actual Start]])=0,Tasks[[#This Row],[_ShownFcstStart]]&gt;=StatusDate,Tasks[[#This Row],[_ShownFcstStart]]&lt;=LookaheadEnd),Tasks[[#This Row],[_ShownFcstStart]]+Tasks[[#This Row],[_Row]]/100000,"")</f>
        <v/>
      </c>
      <c r="GN52" s="43" t="str">
        <f aca="false">IF(AND(Tasks[[#This Row],[_IsLeaf]]=1,Tasks[[#This Row],[_LeafProgress]]&lt;1,Tasks[[#This Row],[_ShownFcstFinish]]&gt;=StatusDate,Tasks[[#This Row],[_ShownFcstFinish]]&lt;=LookaheadEnd),Tasks[[#This Row],[_ShownFcstFinish]]+Tasks[[#This Row],[_Row]]/100000,"")</f>
        <v/>
      </c>
      <c r="GO52" s="43" t="str">
        <f aca="false">IF(Tasks[[#This Row],[_LeafCritical]],Tasks[[#This Row],[_ShownFcstStart]]+Tasks[[#This Row],[_Row]]/100000,"")</f>
        <v/>
      </c>
      <c r="GP52" s="43" t="n">
        <f aca="false">Tasks[[#This Row],[_LeafWork]]*Tasks[[#This Row],[_LeafProgress]]</f>
        <v>0</v>
      </c>
      <c r="GQ52" s="91" t="str">
        <f aca="false">IF(AND(Tasks[[#This Row],[_IsLeaf]]=1,Tasks[[#This Row],[_LeafProgress]]&gt;=1),IF(N(Tasks[[#This Row],[Actual Finish]])&gt;0,Tasks[[#This Row],[Actual Finish]],Tasks[[#This Row],[_ShownFcstFinish]]),"")</f>
        <v/>
      </c>
      <c r="GR52" s="43" t="n">
        <f aca="false">IF(Tasks[[#This Row],[_IsLeaf]]=1,N(Tasks[[#This Row],[Story Points]]),0)</f>
        <v>0</v>
      </c>
      <c r="GS52" s="43" t="str">
        <f aca="false">""</f>
        <v/>
      </c>
      <c r="GT52" s="90" t="b">
        <f aca="false">IF(Tasks[[#This Row],[Task Name]]="",FALSE(),AND(Tasks[[#This Row],[_IsLeaf]]=1,N(Tasks[[#This Row],[_Days]])=0))</f>
        <v>0</v>
      </c>
      <c r="GU52" s="91" t="n">
        <f aca="false">IF(Tasks[[#This Row],[Task Name]]="",0,IF(AND(Tasks[[#This Row],[_IsLeaf]]=1,NOT(Tasks[[#This Row],[_IsMilestone]]),N(Tasks[[#This Row],[Progress]])&gt;0),Tasks[[#This Row],[Start]],0))</f>
        <v>0</v>
      </c>
      <c r="GV52" s="91" t="n">
        <f aca="false">IF(Tasks[[#This Row],[_DoneFrom]]=0,0,IF(Tasks[[#This Row],[Progress]]&gt;=1,Tasks[[#This Row],[Finish]],MAX(Tasks[[#This Row],[_DoneFrom]],Tasks[[#This Row],[Start]]+ROUND((Tasks[[#This Row],[Finish]]-Tasks[[#This Row],[Start]]+1)*Tasks[[#This Row],[Progress]],0)-1)))</f>
        <v>0</v>
      </c>
      <c r="GW52" s="91" t="n">
        <f aca="false">IF(Tasks[[#This Row],[Task Name]]="",0,IF(OR(NOT(Tasks[[#This Row],[_IsLeaf]]=1),Tasks[[#This Row],[_IsMilestone]],N(Tasks[[#This Row],[Progress]])&gt;=1),0,IF(Tasks[[#This Row],[_DoneTo]]&gt;0,Tasks[[#This Row],[_DoneTo]]+1,Tasks[[#This Row],[Start]])))</f>
        <v>0</v>
      </c>
      <c r="GX52" s="91" t="n">
        <f aca="false">IF(Tasks[[#This Row],[_RemFrom]]=0,0,Tasks[[#This Row],[Finish]])</f>
        <v>0</v>
      </c>
      <c r="GY52" s="90" t="b">
        <f aca="false">IF(Tasks[[#This Row],[Task Name]]="",FALSE(),OR(NOT(BaselineSet),N(Tasks[[#This Row],[Baseline Start]])&gt;0))</f>
        <v>0</v>
      </c>
      <c r="GZ5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2" s="92" t="str">
        <f aca="false">IF(Tasks[[#This Row],[_IsLeaf]]=1,Tasks[[#This Row],[_Row]],"")</f>
        <v/>
      </c>
      <c r="HD52" s="92" t="str">
        <f aca="false">IFERROR(INDEX(Tasks[UID],SMALL(Tasks[_PickKey],Tasks[[#This Row],[_Row]]))&amp;" "&amp;INDEX(Tasks[Task Name],SMALL(Tasks[_PickKey],Tasks[[#This Row],[_Row]])),"")</f>
        <v/>
      </c>
      <c r="HE52" s="43" t="str">
        <f aca="false">IF(Tasks[[#This Row],[Task Name]]="","",IF(Tasks[[#This Row],[_IsSummary]],NETWORKDAYS.INTL(Tasks[[#This Row],[Start]],Tasks[[#This Row],[Finish]],WorkWeek,Holidays),N(Tasks[[#This Row],[_Days]])))</f>
        <v/>
      </c>
      <c r="HF52" s="43" t="n">
        <f aca="false">IF(Tasks[[#This Row],[Expected]]="",0,((Tasks[[#This Row],[Pessimistic]]-Tasks[[#This Row],[Optimistic]])/6)^2)</f>
        <v>0</v>
      </c>
      <c r="HG52" s="43" t="n">
        <f aca="false">IF(Tasks[[#This Row],[Expected]]="",0,Tasks[[#This Row],[Expected]]-N(Tasks[[#This Row],[_Days]]))</f>
        <v>0</v>
      </c>
    </row>
    <row r="53" customFormat="false" ht="15" hidden="false" customHeight="false" outlineLevel="0" collapsed="false">
      <c r="A53" s="21" t="str">
        <f aca="false">IF(Tasks[[#This Row],[Task Name]]="","",COUNTA(Tasks[[#Headers],[Task Name]]:Tasks[[#This Row],[Task Name]])-1)</f>
        <v/>
      </c>
      <c r="B53" s="22" t="n">
        <v>61</v>
      </c>
      <c r="C53" s="22"/>
      <c r="D53" s="23"/>
      <c r="E53" s="22"/>
      <c r="F53" s="23"/>
      <c r="G53" s="22"/>
      <c r="H53" s="22"/>
      <c r="I53" s="23"/>
      <c r="J53" s="22"/>
      <c r="K53" s="22"/>
      <c r="L53" s="23"/>
      <c r="M53" s="22"/>
      <c r="N53" s="22"/>
      <c r="O53" s="23"/>
      <c r="P53" s="22"/>
      <c r="Q53" s="22"/>
      <c r="R53" s="23"/>
      <c r="S53" s="23"/>
      <c r="T53" s="84"/>
      <c r="U53" s="23"/>
      <c r="V53" s="84"/>
      <c r="W53" s="23"/>
      <c r="X53" s="84"/>
      <c r="Y53" s="23"/>
      <c r="Z53" s="84"/>
      <c r="AA53" s="23"/>
      <c r="AB53" s="23"/>
      <c r="AC53" s="7"/>
      <c r="AD53" s="7"/>
      <c r="AE53" s="63" t="str">
        <f aca="false">IF(Tasks[[#This Row],[Task Name]]="","",IF(Tasks[[#This Row],[_IsSummary]],MIN(INDEX(Tasks[_ShownFcstStart],Tasks[[#This Row],[_Row]]+1):INDEX(Tasks[_ShownFcstStart],Tasks[[#This Row],[_Row]]+Tasks[[#This Row],[_Descendants]])),Tasks[[#This Row],[_ShownFcstStart]]))</f>
        <v/>
      </c>
      <c r="AF53" s="63" t="str">
        <f aca="false">IF(Tasks[[#This Row],[Task Name]]="","",IF(Tasks[[#This Row],[_IsSummary]],MAX(INDEX(Tasks[_ShownFcstFinish],Tasks[[#This Row],[_Row]]+1):INDEX(Tasks[_ShownFcstFinish],Tasks[[#This Row],[_Row]]+Tasks[[#This Row],[_Descendants]])),Tasks[[#This Row],[_ShownFcstFinish]]))</f>
        <v/>
      </c>
      <c r="AG53" s="21" t="str">
        <f aca="false">""</f>
        <v/>
      </c>
      <c r="AH53" s="23"/>
      <c r="AI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3" s="7"/>
      <c r="AK53" s="22"/>
      <c r="AL53" s="23"/>
      <c r="AM53" s="7"/>
      <c r="AN53" s="47" t="str">
        <f aca="false">IF(Tasks[[#This Row],[Task Name]]="","",IF(Tasks[[#This Row],[Finish]]&gt;=Tasks[[#This Row],[Planned Finish]],NETWORKDAYS.INTL(Tasks[[#This Row],[Planned Finish]],Tasks[[#This Row],[Finish]],WorkWeek,Holidays)-1,1-NETWORKDAYS.INTL(Tasks[[#This Row],[Finish]],Tasks[[#This Row],[Planned Finish]],WorkWeek,Holidays)))</f>
        <v/>
      </c>
      <c r="AO53" s="21" t="str">
        <f aca="false">IF(Tasks[[#This Row],[Task Name]]="","",IF(Tasks[[#This Row],[Progress]]&gt;=1,"Complete",IF(OR(N(Tasks[[#This Row],[Actual Start]])&gt;0,Tasks[[#This Row],[Progress]]&gt;0),IF(Tasks[[#This Row],[Finish Var]]&gt;0,"Behind","In Progress"),IF(Tasks[[#This Row],[Planned Start]]&lt;StatusDate,"Late Start","Not Started"))))</f>
        <v/>
      </c>
      <c r="AP53" s="21" t="str">
        <f aca="false">IF(Tasks[[#This Row],[Task Name]]="","",IF(IF(Tasks[[#This Row],[_IsSummary]],COUNTIF(INDEX(Tasks[_LeafCritical],Tasks[[#This Row],[_Row]]+1):INDEX(Tasks[_LeafCritical],Tasks[[#This Row],[_Row]]+Tasks[[#This Row],[_Descendants]]),TRUE())&gt;0,Tasks[[#This Row],[_LeafCritical]]),"Yes",""))</f>
        <v/>
      </c>
      <c r="AQ53" s="63" t="str">
        <f aca="false">IF(Tasks[[#This Row],[Task Name]]="","",IF(N(Tasks[[#This Row],[Baseline Start]])&gt;0,Tasks[[#This Row],[Baseline Start]],Tasks[[#This Row],[_CalcStart]]))</f>
        <v/>
      </c>
      <c r="AR53" s="63" t="str">
        <f aca="false">IF(Tasks[[#This Row],[Task Name]]="","",IF(N(Tasks[[#This Row],[Baseline Finish]])&gt;0,Tasks[[#This Row],[Baseline Finish]],Tasks[[#This Row],[_CalcFinish]]))</f>
        <v/>
      </c>
      <c r="AS53" s="47" t="str">
        <f aca="false">IF(Tasks[[#This Row],[Task Name]]="","",IF(Tasks[[#This Row],[Start]]&gt;=Tasks[[#This Row],[Planned Start]],NETWORKDAYS.INTL(Tasks[[#This Row],[Planned Start]],Tasks[[#This Row],[Start]],WorkWeek,Holidays)-1,1-NETWORKDAYS.INTL(Tasks[[#This Row],[Start]],Tasks[[#This Row],[Planned Start]],WorkWeek,Holidays)))</f>
        <v/>
      </c>
      <c r="AT53" s="63" t="str">
        <f aca="false">IF(Tasks[[#This Row],[Task Name]]="","",IF(Tasks[[#This Row],[_IsSummary]],MIN(INDEX(Tasks[_LeafLateStart],Tasks[[#This Row],[_Row]]+1):INDEX(Tasks[_LeafLateStart],Tasks[[#This Row],[_Row]]+Tasks[[#This Row],[_Descendants]])),Tasks[[#This Row],[_LeafLateStart]]))</f>
        <v/>
      </c>
      <c r="AU53" s="63" t="str">
        <f aca="false">IF(Tasks[[#This Row],[Task Name]]="","",IF(Tasks[[#This Row],[_IsSummary]],MAX(INDEX(Tasks[_LeafLateFinish],Tasks[[#This Row],[_Row]]+1):INDEX(Tasks[_LeafLateFinish],Tasks[[#This Row],[_Row]]+Tasks[[#This Row],[_Descendants]])),Tasks[[#This Row],[_LeafLateFinish]]))</f>
        <v/>
      </c>
      <c r="AV53" s="47" t="str">
        <f aca="false">IF(Tasks[[#This Row],[Task Name]]="","",IF(Tasks[[#This Row],[_IsSummary]],MIN(INDEX(Tasks[_LeafTotalSlack],Tasks[[#This Row],[_Row]]+1):INDEX(Tasks[_LeafTotalSlack],Tasks[[#This Row],[_Row]]+Tasks[[#This Row],[_Descendants]])),Tasks[[#This Row],[_LeafTotalSlack]]))</f>
        <v/>
      </c>
      <c r="AW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5"/>
      <c r="BA5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1" t="str">
        <f aca="false">IF(Tasks[[#This Row],[Task Name]]="","",IF(Tasks[[#This Row],[_Level]]&lt;=OutlineShowLevel,"Yes","No"))</f>
        <v/>
      </c>
      <c r="BE53" s="86" t="str">
        <f aca="false">IF(Tasks[[#This Row],[Task Name]]="","",IF(Tasks[[#This Row],[_IsSummary]],SUM(INDEX(Tasks[_LeafTotalWork],Tasks[[#This Row],[_Row]]+1):INDEX(Tasks[_LeafTotalWork],Tasks[[#This Row],[_Row]]+Tasks[[#This Row],[_Descendants]])),Tasks[[#This Row],[_LeafTotalWork]]))</f>
        <v/>
      </c>
      <c r="BF53" s="23"/>
      <c r="BG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3" s="21" t="str">
        <f aca="false">""</f>
        <v/>
      </c>
      <c r="BI53" s="87"/>
      <c r="BJ53" s="22"/>
      <c r="BK53" s="47" t="str">
        <f aca="false">IF(OR(Tasks[[#This Row],[Task Name]]="",Tasks[[#This Row],[Baseline Duration]]=""),"",Tasks[[#This Row],[_SpanDays]]-N(Tasks[[#This Row],[Baseline Duration]]))</f>
        <v/>
      </c>
      <c r="BL53" s="86" t="str">
        <f aca="false">IF(OR(Tasks[[#This Row],[Task Name]]="",Tasks[[#This Row],[Baseline Work]]=""),"",Tasks[[#This Row],[Work]]-N(Tasks[[#This Row],[Baseline Work]]))</f>
        <v/>
      </c>
      <c r="BM53" s="63" t="str">
        <f aca="false">IF(Tasks[[#This Row],[Task Name]]="","",IF(OR(TakeBaseline="Yes",N(Tasks[[#This Row],[Baseline Start]])=0),Tasks[[#This Row],[Start]],Tasks[[#This Row],[Baseline Start]]))</f>
        <v/>
      </c>
      <c r="BN53" s="63" t="str">
        <f aca="false">IF(Tasks[[#This Row],[Task Name]]="","",IF(OR(TakeBaseline="Yes",N(Tasks[[#This Row],[Baseline Finish]])=0),Tasks[[#This Row],[Finish]],Tasks[[#This Row],[Baseline Finish]]))</f>
        <v/>
      </c>
      <c r="BO53" s="21" t="str">
        <f aca="false">IF(Tasks[[#This Row],[Task Name]]="","",IF(OR(TakeBaseline="Yes",N(Tasks[[#This Row],[Baseline Duration]])=0),Tasks[[#This Row],[_SpanDays]],Tasks[[#This Row],[Baseline Duration]]))</f>
        <v/>
      </c>
      <c r="BP53" s="86" t="str">
        <f aca="false">IF(Tasks[[#This Row],[Task Name]]="","",IF(OR(TakeBaseline="Yes",N(Tasks[[#This Row],[Baseline Work]])=0),Tasks[[#This Row],[Work]],Tasks[[#This Row],[Baseline Work]]))</f>
        <v/>
      </c>
      <c r="BQ53" s="7"/>
      <c r="BR53" s="7"/>
      <c r="BS53" s="22"/>
      <c r="BT53" s="88"/>
      <c r="BU53" s="23"/>
      <c r="BV53" s="23"/>
      <c r="BW53" s="23"/>
      <c r="BX53" s="89" t="str">
        <f aca="false">IF(AND(Tasks[[#This Row],[_IsLeaf]]=1,ISNUMBER(Tasks[[#This Row],[Optimistic]]),ISNUMBER(Tasks[[#This Row],[Pessimistic]])),ROUND((Tasks[[#This Row],[Optimistic]]+4*N(Tasks[[#This Row],[_Days]])+Tasks[[#This Row],[Pessimistic]])/6,1),"")</f>
        <v/>
      </c>
      <c r="BY53" s="87"/>
      <c r="BZ53" s="87"/>
      <c r="CA53" s="22"/>
      <c r="CB53" s="43" t="str">
        <f aca="false">IF(Tasks[[#This Row],[Task Name]]="","",MAX(1,N(Tasks[[#This Row],[Level]])))</f>
        <v/>
      </c>
      <c r="CC53" s="43" t="n">
        <f aca="false">ROW()-ROW(Tasks[[#Headers],[ID]])</f>
        <v>48</v>
      </c>
      <c r="CD53" s="43" t="n">
        <f aca="false">IF(OR(Tasks[[#This Row],[Task Name]]="",Tasks[[#This Row],[_Level]]&lt;=1),0,IFERROR(LOOKUP(2,1/(Tasks[[#Headers],[_Level]]:Tasks[[#This Row],[_Level]]=Tasks[[#This Row],[_Level]]-1),ROW(Tasks[[#Headers],[_Level]]:Tasks[[#This Row],[_Level]])),0))</f>
        <v>0</v>
      </c>
      <c r="CE53" s="43" t="n">
        <f aca="false">IFERROR(N(INDEX(Tasks[_Level],Tasks[[#This Row],[_Row]]+1)),0)</f>
        <v>0</v>
      </c>
      <c r="CF53" s="90" t="b">
        <f aca="false">AND(Tasks[[#This Row],[Task Name]]&lt;&gt;"",Tasks[[#This Row],[_NextLevel]]&gt;Tasks[[#This Row],[_Level]])</f>
        <v>0</v>
      </c>
      <c r="CG53" s="43" t="n">
        <f aca="false">IF(Tasks[[#This Row],[_IsSummary]],COUNTIF(Tasks[WBS],Tasks[[#This Row],[WBS]]&amp;".*"),0)</f>
        <v>0</v>
      </c>
      <c r="CH53" s="43" t="n">
        <f aca="false">IF(AND(Tasks[[#This Row],[Task Name]]&lt;&gt;"",NOT(Tasks[[#This Row],[_IsSummary]])),1,0)</f>
        <v>0</v>
      </c>
      <c r="CI53" s="43" t="n">
        <f aca="false">IF(N(Tasks[[#This Row],[_Pred1UID]])=0,0,IFERROR(MATCH(Tasks[[#This Row],[_Pred1UID]],Tasks[UID],0),-1))</f>
        <v>0</v>
      </c>
      <c r="CJ53" s="43" t="n">
        <f aca="false">IF(N(Tasks[[#This Row],[_Pred2UID]])=0,0,IFERROR(MATCH(Tasks[[#This Row],[_Pred2UID]],Tasks[UID],0),-1))</f>
        <v>0</v>
      </c>
      <c r="CK53" s="43" t="n">
        <f aca="false">IF(N(Tasks[[#This Row],[_Pred3UID]])=0,0,IFERROR(MATCH(Tasks[[#This Row],[_Pred3UID]],Tasks[UID],0),-1))</f>
        <v>0</v>
      </c>
      <c r="CL53" s="43" t="n">
        <f aca="false">IF(N(Tasks[[#This Row],[_Pred4UID]])=0,0,IFERROR(MATCH(Tasks[[#This Row],[_Pred4UID]],Tasks[UID],0),-1))</f>
        <v>0</v>
      </c>
      <c r="CM5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3" s="91" t="n">
        <f aca="false">IF(OR(Tasks[[#This Row],[_ConstraintCode]]=2,Tasks[[#This Row],[_ConstraintCode]]=3,Tasks[[#This Row],[_ConstraintCode]]=4,Tasks[[#This Row],[_ConstraintCode]]=6),Tasks[[#This Row],[_ConstraintStart]],0)</f>
        <v>0</v>
      </c>
      <c r="CP53" s="91" t="n">
        <f aca="false">IF(OR(Tasks[[#This Row],[_ConstraintCode]]=2,Tasks[[#This Row],[_ConstraintCode]]=3,Tasks[[#This Row],[_ConstraintCode]]=5,Tasks[[#This Row],[_ConstraintCode]]=7),Tasks[[#This Row],[_ConstraintStart]],2958465)</f>
        <v>2958465</v>
      </c>
      <c r="CQ5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3" s="91" t="str">
        <f aca="false">IF(NOT(Tasks[[#This Row],[_IsLeaf]]=1),"",IF(N(Tasks[[#This Row],[_Days]])&lt;=0,Tasks[[#This Row],[_LeafCalcStart]],WORKDAY.INTL(Tasks[[#This Row],[_LeafCalcStart]],Tasks[[#This Row],[_Days]]-1,WorkWeek,Holidays)))</f>
        <v/>
      </c>
      <c r="CS5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3" s="43" t="str">
        <f aca="false">IF(Tasks[[#This Row],[_Predecessors]]="","",TRIM(MID(SUBSTITUTE(SUBSTITUTE(SUBSTITUTE(UPPER(Tasks[[#This Row],[_Predecessors]]),";",",")," ",""),",",REPT(" ",99)),1,99)))</f>
        <v/>
      </c>
      <c r="CV53" s="43" t="str">
        <f aca="false">IF(Tasks[[#This Row],[_Pred1Text]]="","",IFERROR(VALUE(LEFT(Tasks[[#This Row],[_Pred1Text]],MIN(FIND("F",Tasks[[#This Row],[_Pred1Text]]&amp;"F"),FIND("S",Tasks[[#This Row],[_Pred1Text]]&amp;"S"),FIND("+",Tasks[[#This Row],[_Pred1Text]]&amp;"+"),FIND("-",Tasks[[#This Row],[_Pred1Text]]&amp;"-"))-1)),""))</f>
        <v/>
      </c>
      <c r="CW5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3" s="43" t="str">
        <f aca="false">IF(Tasks[[#This Row],[_Pred1Text]]="","",TRIM(MID(SUBSTITUTE(SUBSTITUTE(SUBSTITUTE(UPPER(Tasks[[#This Row],[_Predecessors]]),";",",")," ",""),",",REPT(" ",99)),100,99)))</f>
        <v/>
      </c>
      <c r="CZ53" s="43" t="str">
        <f aca="false">IF(Tasks[[#This Row],[_Pred2Text]]="","",IFERROR(VALUE(LEFT(Tasks[[#This Row],[_Pred2Text]],MIN(FIND("F",Tasks[[#This Row],[_Pred2Text]]&amp;"F"),FIND("S",Tasks[[#This Row],[_Pred2Text]]&amp;"S"),FIND("+",Tasks[[#This Row],[_Pred2Text]]&amp;"+"),FIND("-",Tasks[[#This Row],[_Pred2Text]]&amp;"-"))-1)),""))</f>
        <v/>
      </c>
      <c r="DA5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3" s="43" t="str">
        <f aca="false">IF(Tasks[[#This Row],[_Pred2Text]]="","",TRIM(MID(SUBSTITUTE(SUBSTITUTE(SUBSTITUTE(UPPER(Tasks[[#This Row],[_Predecessors]]),";",",")," ",""),",",REPT(" ",99)),199,99)))</f>
        <v/>
      </c>
      <c r="DD53" s="43" t="str">
        <f aca="false">IF(Tasks[[#This Row],[_Pred3Text]]="","",IFERROR(VALUE(LEFT(Tasks[[#This Row],[_Pred3Text]],MIN(FIND("F",Tasks[[#This Row],[_Pred3Text]]&amp;"F"),FIND("S",Tasks[[#This Row],[_Pred3Text]]&amp;"S"),FIND("+",Tasks[[#This Row],[_Pred3Text]]&amp;"+"),FIND("-",Tasks[[#This Row],[_Pred3Text]]&amp;"-"))-1)),""))</f>
        <v/>
      </c>
      <c r="DE5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3" s="43" t="str">
        <f aca="false">IF(Tasks[[#This Row],[_Pred3Text]]="","",TRIM(MID(SUBSTITUTE(SUBSTITUTE(SUBSTITUTE(UPPER(Tasks[[#This Row],[_Predecessors]]),";",",")," ",""),",",REPT(" ",99)),298,99)))</f>
        <v/>
      </c>
      <c r="DH53" s="43" t="str">
        <f aca="false">IF(Tasks[[#This Row],[_Pred4Text]]="","",IFERROR(VALUE(LEFT(Tasks[[#This Row],[_Pred4Text]],MIN(FIND("F",Tasks[[#This Row],[_Pred4Text]]&amp;"F"),FIND("S",Tasks[[#This Row],[_Pred4Text]]&amp;"S"),FIND("+",Tasks[[#This Row],[_Pred4Text]]&amp;"+"),FIND("-",Tasks[[#This Row],[_Pred4Text]]&amp;"-"))-1)),""))</f>
        <v/>
      </c>
      <c r="DI5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3" s="43" t="str">
        <f aca="false">IF(OR(Tasks[[#This Row],[Task Name]]="",Tasks[[#This Row],[_Resources]]=""),"",TRIM(MID(SUBSTITUTE(Tasks[[#This Row],[_Resources]],",",REPT(" ",99)),1,99)))</f>
        <v/>
      </c>
      <c r="DL53" s="43" t="str">
        <f aca="false">IF(Tasks[[#This Row],[_Res1Text]]="","",TRIM(MID(SUBSTITUTE(Tasks[[#This Row],[_Resources]],",",REPT(" ",99)),100,99)))</f>
        <v/>
      </c>
      <c r="DM53" s="43" t="str">
        <f aca="false">IF(Tasks[[#This Row],[_Res2Text]]="","",TRIM(MID(SUBSTITUTE(Tasks[[#This Row],[_Resources]],",",REPT(" ",99)),199,99)))</f>
        <v/>
      </c>
      <c r="DN53" s="43" t="str">
        <f aca="false">IF(Tasks[[#This Row],[_Res3Text]]="","",TRIM(MID(SUBSTITUTE(Tasks[[#This Row],[_Resources]],",",REPT(" ",99)),298,99)))</f>
        <v/>
      </c>
      <c r="DO53" s="43" t="n">
        <f aca="false">IF(Tasks[[#This Row],[_Res1Text]]="",0,IFERROR(MATCH(TRIM(LEFT(Tasks[[#This Row],[_Res1Text]],FIND("[",Tasks[[#This Row],[_Res1Text]]&amp;"[")-1)),res_Name,0),IFERROR(MATCH(TRIM(LEFT(Tasks[[#This Row],[_Res1Text]],FIND("[",Tasks[[#This Row],[_Res1Text]]&amp;"[")-1)),res_Initials,0),0)))</f>
        <v>0</v>
      </c>
      <c r="DP53" s="43" t="n">
        <f aca="false">IF(Tasks[[#This Row],[_Res2Text]]="",0,IFERROR(MATCH(TRIM(LEFT(Tasks[[#This Row],[_Res2Text]],FIND("[",Tasks[[#This Row],[_Res2Text]]&amp;"[")-1)),res_Name,0),IFERROR(MATCH(TRIM(LEFT(Tasks[[#This Row],[_Res2Text]],FIND("[",Tasks[[#This Row],[_Res2Text]]&amp;"[")-1)),res_Initials,0),0)))</f>
        <v>0</v>
      </c>
      <c r="DQ53" s="43" t="n">
        <f aca="false">IF(Tasks[[#This Row],[_Res3Text]]="",0,IFERROR(MATCH(TRIM(LEFT(Tasks[[#This Row],[_Res3Text]],FIND("[",Tasks[[#This Row],[_Res3Text]]&amp;"[")-1)),res_Name,0),IFERROR(MATCH(TRIM(LEFT(Tasks[[#This Row],[_Res3Text]],FIND("[",Tasks[[#This Row],[_Res3Text]]&amp;"[")-1)),res_Initials,0),0)))</f>
        <v>0</v>
      </c>
      <c r="DR53" s="43" t="n">
        <f aca="false">IF(Tasks[[#This Row],[_Res4Text]]="",0,IFERROR(MATCH(TRIM(LEFT(Tasks[[#This Row],[_Res4Text]],FIND("[",Tasks[[#This Row],[_Res4Text]]&amp;"[")-1)),res_Name,0),IFERROR(MATCH(TRIM(LEFT(Tasks[[#This Row],[_Res4Text]],FIND("[",Tasks[[#This Row],[_Res4Text]]&amp;"[")-1)),res_Initials,0),0)))</f>
        <v>0</v>
      </c>
      <c r="DS53" s="43" t="str">
        <f aca="false">IF(Tasks[[#This Row],[_Res1Text]]="","",IF(Tasks[[#This Row],[_Res1Row]]&gt;0,INDEX(res_Name,Tasks[[#This Row],[_Res1Row]]),TRIM(LEFT(Tasks[[#This Row],[_Res1Text]],FIND("[",Tasks[[#This Row],[_Res1Text]]&amp;"[")-1))))</f>
        <v/>
      </c>
      <c r="DT5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3" s="43" t="n">
        <f aca="false">IF(NOT(Tasks[[#This Row],[_IsLeaf]]=1),0,(Tasks[[#This Row],[_Resource1]]&lt;&gt;"")+(Tasks[[#This Row],[_Res2]]&lt;&gt;"")+(Tasks[[#This Row],[_Res3]]&lt;&gt;"")+(Tasks[[#This Row],[_Res4]]&lt;&gt;""))</f>
        <v>0</v>
      </c>
      <c r="DV53" s="43" t="str">
        <f aca="false">IF(Tasks[[#This Row],[_Res2Text]]="","",IF(Tasks[[#This Row],[_Res2Row]]&gt;0,INDEX(res_Name,Tasks[[#This Row],[_Res2Row]]),TRIM(LEFT(Tasks[[#This Row],[_Res2Text]],FIND("[",Tasks[[#This Row],[_Res2Text]]&amp;"[")-1))))</f>
        <v/>
      </c>
      <c r="DW5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3" s="43" t="n">
        <f aca="false">IF(OR(NOT(Tasks[[#This Row],[_IsLeaf]]=1),Tasks[[#This Row],[_Res2Row]]=0),0,N(Tasks[[#This Row],[_Days]])*HoursPerDay*IF(Tasks[[#This Row],[_Res2Units]]="",DefaultUnits,Tasks[[#This Row],[_Res2Units]]))</f>
        <v>0</v>
      </c>
      <c r="DY53" s="43" t="n">
        <f aca="false">IF(AND(AND(Tasks[[#This Row],[_IsLeaf]]=1,Tasks[[#This Row],[_LeafTotalWork]]&gt;0),Tasks[[#This Row],[_Res2Work]]&gt;0),Tasks[[#This Row],[_Res2Work]]/(Tasks[[#This Row],[_FinishWorkday]]-Tasks[[#This Row],[_StartWorkday]]+1),0)</f>
        <v>0</v>
      </c>
      <c r="DZ53" s="43" t="n">
        <f aca="false">Tasks[[#This Row],[_Res2WorkPerWD]]*MAX(0,Tasks[[#This Row],[_StartWorkday]]-1)</f>
        <v>0</v>
      </c>
      <c r="EA53" s="43" t="n">
        <f aca="false">Tasks[[#This Row],[_Res2Work]]*Tasks[[#This Row],[_LeafProgress]]</f>
        <v>0</v>
      </c>
      <c r="EB53" s="43" t="str">
        <f aca="false">IF(Tasks[[#This Row],[_Res3Text]]="","",IF(Tasks[[#This Row],[_Res3Row]]&gt;0,INDEX(res_Name,Tasks[[#This Row],[_Res3Row]]),TRIM(LEFT(Tasks[[#This Row],[_Res3Text]],FIND("[",Tasks[[#This Row],[_Res3Text]]&amp;"[")-1))))</f>
        <v/>
      </c>
      <c r="EC5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3" s="43" t="n">
        <f aca="false">IF(OR(NOT(Tasks[[#This Row],[_IsLeaf]]=1),Tasks[[#This Row],[_Res3Row]]=0),0,N(Tasks[[#This Row],[_Days]])*HoursPerDay*IF(Tasks[[#This Row],[_Res3Units]]="",DefaultUnits,Tasks[[#This Row],[_Res3Units]]))</f>
        <v>0</v>
      </c>
      <c r="EE53" s="43" t="n">
        <f aca="false">IF(AND(AND(Tasks[[#This Row],[_IsLeaf]]=1,Tasks[[#This Row],[_LeafTotalWork]]&gt;0),Tasks[[#This Row],[_Res3Work]]&gt;0),Tasks[[#This Row],[_Res3Work]]/(Tasks[[#This Row],[_FinishWorkday]]-Tasks[[#This Row],[_StartWorkday]]+1),0)</f>
        <v>0</v>
      </c>
      <c r="EF53" s="43" t="n">
        <f aca="false">Tasks[[#This Row],[_Res3WorkPerWD]]*MAX(0,Tasks[[#This Row],[_StartWorkday]]-1)</f>
        <v>0</v>
      </c>
      <c r="EG53" s="43" t="n">
        <f aca="false">Tasks[[#This Row],[_Res3Work]]*Tasks[[#This Row],[_LeafProgress]]</f>
        <v>0</v>
      </c>
      <c r="EH53" s="43" t="str">
        <f aca="false">IF(Tasks[[#This Row],[_Res4Text]]="","",IF(Tasks[[#This Row],[_Res4Row]]&gt;0,INDEX(res_Name,Tasks[[#This Row],[_Res4Row]]),TRIM(LEFT(Tasks[[#This Row],[_Res4Text]],FIND("[",Tasks[[#This Row],[_Res4Text]]&amp;"[")-1))))</f>
        <v/>
      </c>
      <c r="EI5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3" s="43" t="n">
        <f aca="false">IF(OR(NOT(Tasks[[#This Row],[_IsLeaf]]=1),Tasks[[#This Row],[_Res4Row]]=0),0,N(Tasks[[#This Row],[_Days]])*HoursPerDay*IF(Tasks[[#This Row],[_Res4Units]]="",DefaultUnits,Tasks[[#This Row],[_Res4Units]]))</f>
        <v>0</v>
      </c>
      <c r="EK53" s="43" t="n">
        <f aca="false">IF(AND(AND(Tasks[[#This Row],[_IsLeaf]]=1,Tasks[[#This Row],[_LeafTotalWork]]&gt;0),Tasks[[#This Row],[_Res4Work]]&gt;0),Tasks[[#This Row],[_Res4Work]]/(Tasks[[#This Row],[_FinishWorkday]]-Tasks[[#This Row],[_StartWorkday]]+1),0)</f>
        <v>0</v>
      </c>
      <c r="EL53" s="43" t="n">
        <f aca="false">Tasks[[#This Row],[_Res4WorkPerWD]]*MAX(0,Tasks[[#This Row],[_StartWorkday]]-1)</f>
        <v>0</v>
      </c>
      <c r="EM53" s="43" t="n">
        <f aca="false">Tasks[[#This Row],[_Res4Work]]*Tasks[[#This Row],[_LeafProgress]]</f>
        <v>0</v>
      </c>
      <c r="EN53" s="43" t="n">
        <f aca="false">IF(ISNUMBER(Tasks[[#This Row],[% Complete]]),Tasks[[#This Row],[% Complete]],IF(Tasks[[#This Row],[Stage]]="",0,IFERROR(INDEX(stg_Pct,MATCH(Tasks[[#This Row],[Stage]],stg_Name,0)),0)))</f>
        <v>0</v>
      </c>
      <c r="EO53" s="43" t="n">
        <f aca="false">IF(NOT(Tasks[[#This Row],[_IsLeaf]]=1),0,IF(N(Tasks[[#This Row],[Actual Finish]])&gt;0,1,MIN(1,Tasks[[#This Row],[_Pct]])))</f>
        <v>0</v>
      </c>
      <c r="EP53" s="43" t="n">
        <f aca="false">IF(OR(NOT(Tasks[[#This Row],[_IsLeaf]]=1),Tasks[[#This Row],[_Res1Row]]=0),0,N(Tasks[[#This Row],[_Days]])*HoursPerDay*IF(Tasks[[#This Row],[_Units1]]="",DefaultUnits,Tasks[[#This Row],[_Units1]]))</f>
        <v>0</v>
      </c>
      <c r="EQ53" s="43" t="n">
        <f aca="false">Tasks[[#This Row],[_LeafWork]]+Tasks[[#This Row],[_Res2Work]]+Tasks[[#This Row],[_Res3Work]]+Tasks[[#This Row],[_Res4Work]]</f>
        <v>0</v>
      </c>
      <c r="ER5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3" s="43" t="n">
        <f aca="false">IF(NOT(Tasks[[#This Row],[_IsLeaf]]=1),0,MAX(_xlfn.MAXIFS(Tasks[_Row],Tasks[_Pred1UID],Tasks[[#This Row],[UID]]),_xlfn.MAXIFS(Tasks[_Row],Tasks[_Pred2UID],Tasks[[#This Row],[UID]]),_xlfn.MAXIFS(Tasks[_Row],Tasks[_Pred3UID],Tasks[[#This Row],[UID]]),_xlfn.MAXIFS(Tasks[_Row],Tasks[_Pred4UID],Tasks[[#This Row],[UID]])))</f>
        <v>0</v>
      </c>
      <c r="FA5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3" s="91" t="str">
        <f aca="false">IF(NOT(Tasks[[#This Row],[_IsLeaf]]=1),"",IF(N(Tasks[[#This Row],[_Days]])&lt;=0,Tasks[[#This Row],[_LeafLateFinish]],WORKDAY.INTL(Tasks[[#This Row],[_LeafLateFinish]],-(Tasks[[#This Row],[_Days]]-1),WorkWeek,Holidays)))</f>
        <v/>
      </c>
      <c r="FD5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3" s="90" t="b">
        <f aca="false">AND(Tasks[[#This Row],[_IsLeaf]]=1,Tasks[[#This Row],[_LeafProgress]]&lt;1,N(Tasks[[#This Row],[_LeafTotalSlack]])&lt;=CriticalSlackDays)</f>
        <v>0</v>
      </c>
      <c r="FF53" s="43" t="n">
        <f aca="false">IF(AND(Tasks[[#This Row],[_IsLeaf]]=1,Tasks[[#This Row],[_ConstraintCode]]=1,Tasks[[#This Row],[Mode]]&lt;&gt;"Manual",N(Tasks[[#This Row],[Actual Start]])=0),MAX(0,N(Tasks[[#This Row],[Free Slack]])),0)</f>
        <v>0</v>
      </c>
      <c r="FG53" s="91" t="str">
        <f aca="false">IF(NOT(Tasks[[#This Row],[_IsLeaf]]=1),"",IF(Tasks[[#This Row],[_AlapShift]]=0,Tasks[[#This Row],[_LeafCalcStart]],WORKDAY.INTL(Tasks[[#This Row],[_LeafCalcStart]],Tasks[[#This Row],[_AlapShift]],WorkWeek,Holidays)))</f>
        <v/>
      </c>
      <c r="FH53" s="91" t="str">
        <f aca="false">IF(NOT(Tasks[[#This Row],[_IsLeaf]]=1),"",IF(Tasks[[#This Row],[_AlapShift]]=0,Tasks[[#This Row],[_LeafCalcFinish]],WORKDAY.INTL(Tasks[[#This Row],[_LeafCalcFinish]],Tasks[[#This Row],[_AlapShift]],WorkWeek,Holidays)))</f>
        <v/>
      </c>
      <c r="FI53" s="91" t="str">
        <f aca="false">IF(NOT(Tasks[[#This Row],[_IsLeaf]]=1),"",IF(Tasks[[#This Row],[_AlapShift]]=0,Tasks[[#This Row],[_LeafFcstStart]],WORKDAY.INTL(Tasks[[#This Row],[_LeafFcstStart]],Tasks[[#This Row],[_AlapShift]],WorkWeek,Holidays)))</f>
        <v/>
      </c>
      <c r="FJ53" s="91" t="str">
        <f aca="false">IF(NOT(Tasks[[#This Row],[_IsLeaf]]=1),"",IF(Tasks[[#This Row],[_AlapShift]]=0,Tasks[[#This Row],[_LeafFcstFinish]],WORKDAY.INTL(Tasks[[#This Row],[_LeafFcstFinish]],Tasks[[#This Row],[_AlapShift]],WorkWeek,Holidays)))</f>
        <v/>
      </c>
      <c r="FK53" s="91" t="str">
        <f aca="false">IF(Tasks[[#This Row],[Task Name]]="","",IF(Tasks[[#This Row],[_IsSummary]],MIN(INDEX(Tasks[_ShownCalcStart],Tasks[[#This Row],[_Row]]+1):INDEX(Tasks[_ShownCalcStart],Tasks[[#This Row],[_Row]]+Tasks[[#This Row],[_Descendants]])),Tasks[[#This Row],[_ShownCalcStart]]))</f>
        <v/>
      </c>
      <c r="FL53" s="91" t="str">
        <f aca="false">IF(Tasks[[#This Row],[Task Name]]="","",IF(Tasks[[#This Row],[_IsSummary]],MAX(INDEX(Tasks[_ShownCalcFinish],Tasks[[#This Row],[_Row]]+1):INDEX(Tasks[_ShownCalcFinish],Tasks[[#This Row],[_Row]]+Tasks[[#This Row],[_Descendants]])),Tasks[[#This Row],[_ShownCalcFinish]]))</f>
        <v/>
      </c>
      <c r="FM5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3" s="43" t="n">
        <f aca="false">IF(AND(Tasks[[#This Row],[_IsLeaf]]=1,Tasks[[#This Row],[_LeafTotalWork]]&gt;0),NETWORKDAYS.INTL(ProjectStart,Tasks[[#This Row],[_ShownFcstStart]],WorkWeek,Holidays),0)</f>
        <v>0</v>
      </c>
      <c r="FZ53" s="43" t="n">
        <f aca="false">IF(AND(Tasks[[#This Row],[_IsLeaf]]=1,Tasks[[#This Row],[_LeafTotalWork]]&gt;0),MAX(Tasks[[#This Row],[_StartWorkday]],NETWORKDAYS.INTL(ProjectStart,Tasks[[#This Row],[_ShownFcstFinish]],WorkWeek,Holidays)),0)</f>
        <v>0</v>
      </c>
      <c r="GA53" s="43" t="n">
        <f aca="false">IF(AND(Tasks[[#This Row],[_IsLeaf]]=1,Tasks[[#This Row],[_LeafTotalWork]]&gt;0),Tasks[[#This Row],[_LeafWork]]/(Tasks[[#This Row],[_FinishWorkday]]-Tasks[[#This Row],[_StartWorkday]]+1),0)</f>
        <v>0</v>
      </c>
      <c r="GB53" s="43" t="n">
        <f aca="false">Tasks[[#This Row],[_WorkPerWorkday]]*(Tasks[[#This Row],[_StartWorkday]]-1)</f>
        <v>-0</v>
      </c>
      <c r="GC53" s="43" t="n">
        <f aca="false">IF(Tasks[[#This Row],[_IsLeaf]]=1,MAX(N(Tasks[[#This Row],[_Days]]),0.1),0)</f>
        <v>0</v>
      </c>
      <c r="GD53" s="43" t="n">
        <f aca="false">Tasks[[#This Row],[_WeightDur]]*Tasks[[#This Row],[_LeafProgress]]</f>
        <v>0</v>
      </c>
      <c r="GE53" s="43" t="n">
        <f aca="false">Tasks[[#This Row],[_WeightDur]]*Tasks[[#This Row],[_PlannedPct]]</f>
        <v>0</v>
      </c>
      <c r="GF5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3" s="43" t="str">
        <f aca="false">IF(AND(Tasks[[#This Row],[_IsLeaf]]=1,N(Tasks[[#This Row],[_Days]])=0,Tasks[[#This Row],[_LeafProgress]]&lt;1),Tasks[[#This Row],[_ShownFcstFinish]]+Tasks[[#This Row],[_Row]]/100000,"")</f>
        <v/>
      </c>
      <c r="GH5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3" s="43" t="str">
        <f aca="false">IF(Tasks[[#This Row],[Task Name]]="","",LEFT(Tasks[[#This Row],[WBS]],FIND(".",Tasks[[#This Row],[WBS]]&amp;".")-1))</f>
        <v/>
      </c>
      <c r="GJ53" s="43" t="str">
        <f aca="false">IF(AND(Tasks[[#This Row],[Task Name]]&lt;&gt;"",Tasks[[#This Row],[_Level]]=1),Tasks[[#This Row],[_Row]],"")</f>
        <v/>
      </c>
      <c r="GK53" s="43" t="str">
        <f aca="false">IF(AND(Tasks[[#This Row],[_IsLeaf]]=1,N(Tasks[[#This Row],[_Days]])=0),Tasks[[#This Row],[Planned Finish]]+Tasks[[#This Row],[_Row]]/100000,"")</f>
        <v/>
      </c>
      <c r="GL53" s="43" t="str">
        <f aca="false">IF(AND(Tasks[[#This Row],[_IsLeaf]]=1,Tasks[[#This Row],[_LeafProgress]]&lt;1,OR(N(Tasks[[#This Row],[Finish Var]])&gt;0,Tasks[[#This Row],[Status]]="Late Start")),MAX(0,Tasks[[#This Row],[Finish Var]])+1-Tasks[[#This Row],[_Row]]/1000000,"")</f>
        <v/>
      </c>
      <c r="GM53" s="43" t="str">
        <f aca="false">IF(AND(Tasks[[#This Row],[_IsLeaf]]=1,N(Tasks[[#This Row],[Actual Start]])=0,Tasks[[#This Row],[_ShownFcstStart]]&gt;=StatusDate,Tasks[[#This Row],[_ShownFcstStart]]&lt;=LookaheadEnd),Tasks[[#This Row],[_ShownFcstStart]]+Tasks[[#This Row],[_Row]]/100000,"")</f>
        <v/>
      </c>
      <c r="GN53" s="43" t="str">
        <f aca="false">IF(AND(Tasks[[#This Row],[_IsLeaf]]=1,Tasks[[#This Row],[_LeafProgress]]&lt;1,Tasks[[#This Row],[_ShownFcstFinish]]&gt;=StatusDate,Tasks[[#This Row],[_ShownFcstFinish]]&lt;=LookaheadEnd),Tasks[[#This Row],[_ShownFcstFinish]]+Tasks[[#This Row],[_Row]]/100000,"")</f>
        <v/>
      </c>
      <c r="GO53" s="43" t="str">
        <f aca="false">IF(Tasks[[#This Row],[_LeafCritical]],Tasks[[#This Row],[_ShownFcstStart]]+Tasks[[#This Row],[_Row]]/100000,"")</f>
        <v/>
      </c>
      <c r="GP53" s="43" t="n">
        <f aca="false">Tasks[[#This Row],[_LeafWork]]*Tasks[[#This Row],[_LeafProgress]]</f>
        <v>0</v>
      </c>
      <c r="GQ53" s="91" t="str">
        <f aca="false">IF(AND(Tasks[[#This Row],[_IsLeaf]]=1,Tasks[[#This Row],[_LeafProgress]]&gt;=1),IF(N(Tasks[[#This Row],[Actual Finish]])&gt;0,Tasks[[#This Row],[Actual Finish]],Tasks[[#This Row],[_ShownFcstFinish]]),"")</f>
        <v/>
      </c>
      <c r="GR53" s="43" t="n">
        <f aca="false">IF(Tasks[[#This Row],[_IsLeaf]]=1,N(Tasks[[#This Row],[Story Points]]),0)</f>
        <v>0</v>
      </c>
      <c r="GS53" s="43" t="str">
        <f aca="false">""</f>
        <v/>
      </c>
      <c r="GT53" s="90" t="b">
        <f aca="false">IF(Tasks[[#This Row],[Task Name]]="",FALSE(),AND(Tasks[[#This Row],[_IsLeaf]]=1,N(Tasks[[#This Row],[_Days]])=0))</f>
        <v>0</v>
      </c>
      <c r="GU53" s="91" t="n">
        <f aca="false">IF(Tasks[[#This Row],[Task Name]]="",0,IF(AND(Tasks[[#This Row],[_IsLeaf]]=1,NOT(Tasks[[#This Row],[_IsMilestone]]),N(Tasks[[#This Row],[Progress]])&gt;0),Tasks[[#This Row],[Start]],0))</f>
        <v>0</v>
      </c>
      <c r="GV53" s="91" t="n">
        <f aca="false">IF(Tasks[[#This Row],[_DoneFrom]]=0,0,IF(Tasks[[#This Row],[Progress]]&gt;=1,Tasks[[#This Row],[Finish]],MAX(Tasks[[#This Row],[_DoneFrom]],Tasks[[#This Row],[Start]]+ROUND((Tasks[[#This Row],[Finish]]-Tasks[[#This Row],[Start]]+1)*Tasks[[#This Row],[Progress]],0)-1)))</f>
        <v>0</v>
      </c>
      <c r="GW53" s="91" t="n">
        <f aca="false">IF(Tasks[[#This Row],[Task Name]]="",0,IF(OR(NOT(Tasks[[#This Row],[_IsLeaf]]=1),Tasks[[#This Row],[_IsMilestone]],N(Tasks[[#This Row],[Progress]])&gt;=1),0,IF(Tasks[[#This Row],[_DoneTo]]&gt;0,Tasks[[#This Row],[_DoneTo]]+1,Tasks[[#This Row],[Start]])))</f>
        <v>0</v>
      </c>
      <c r="GX53" s="91" t="n">
        <f aca="false">IF(Tasks[[#This Row],[_RemFrom]]=0,0,Tasks[[#This Row],[Finish]])</f>
        <v>0</v>
      </c>
      <c r="GY53" s="90" t="b">
        <f aca="false">IF(Tasks[[#This Row],[Task Name]]="",FALSE(),OR(NOT(BaselineSet),N(Tasks[[#This Row],[Baseline Start]])&gt;0))</f>
        <v>0</v>
      </c>
      <c r="GZ5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3" s="92" t="str">
        <f aca="false">IF(Tasks[[#This Row],[_IsLeaf]]=1,Tasks[[#This Row],[_Row]],"")</f>
        <v/>
      </c>
      <c r="HD53" s="92" t="str">
        <f aca="false">IFERROR(INDEX(Tasks[UID],SMALL(Tasks[_PickKey],Tasks[[#This Row],[_Row]]))&amp;" "&amp;INDEX(Tasks[Task Name],SMALL(Tasks[_PickKey],Tasks[[#This Row],[_Row]])),"")</f>
        <v/>
      </c>
      <c r="HE53" s="43" t="str">
        <f aca="false">IF(Tasks[[#This Row],[Task Name]]="","",IF(Tasks[[#This Row],[_IsSummary]],NETWORKDAYS.INTL(Tasks[[#This Row],[Start]],Tasks[[#This Row],[Finish]],WorkWeek,Holidays),N(Tasks[[#This Row],[_Days]])))</f>
        <v/>
      </c>
      <c r="HF53" s="43" t="n">
        <f aca="false">IF(Tasks[[#This Row],[Expected]]="",0,((Tasks[[#This Row],[Pessimistic]]-Tasks[[#This Row],[Optimistic]])/6)^2)</f>
        <v>0</v>
      </c>
      <c r="HG53" s="43" t="n">
        <f aca="false">IF(Tasks[[#This Row],[Expected]]="",0,Tasks[[#This Row],[Expected]]-N(Tasks[[#This Row],[_Days]]))</f>
        <v>0</v>
      </c>
    </row>
    <row r="54" customFormat="false" ht="15" hidden="false" customHeight="false" outlineLevel="0" collapsed="false">
      <c r="A54" s="21" t="str">
        <f aca="false">IF(Tasks[[#This Row],[Task Name]]="","",COUNTA(Tasks[[#Headers],[Task Name]]:Tasks[[#This Row],[Task Name]])-1)</f>
        <v/>
      </c>
      <c r="B54" s="22" t="n">
        <v>62</v>
      </c>
      <c r="C54" s="22"/>
      <c r="D54" s="23"/>
      <c r="E54" s="22"/>
      <c r="F54" s="23"/>
      <c r="G54" s="22"/>
      <c r="H54" s="22"/>
      <c r="I54" s="23"/>
      <c r="J54" s="22"/>
      <c r="K54" s="22"/>
      <c r="L54" s="23"/>
      <c r="M54" s="22"/>
      <c r="N54" s="22"/>
      <c r="O54" s="23"/>
      <c r="P54" s="22"/>
      <c r="Q54" s="22"/>
      <c r="R54" s="23"/>
      <c r="S54" s="23"/>
      <c r="T54" s="84"/>
      <c r="U54" s="23"/>
      <c r="V54" s="84"/>
      <c r="W54" s="23"/>
      <c r="X54" s="84"/>
      <c r="Y54" s="23"/>
      <c r="Z54" s="84"/>
      <c r="AA54" s="23"/>
      <c r="AB54" s="23"/>
      <c r="AC54" s="7"/>
      <c r="AD54" s="7"/>
      <c r="AE54" s="63" t="str">
        <f aca="false">IF(Tasks[[#This Row],[Task Name]]="","",IF(Tasks[[#This Row],[_IsSummary]],MIN(INDEX(Tasks[_ShownFcstStart],Tasks[[#This Row],[_Row]]+1):INDEX(Tasks[_ShownFcstStart],Tasks[[#This Row],[_Row]]+Tasks[[#This Row],[_Descendants]])),Tasks[[#This Row],[_ShownFcstStart]]))</f>
        <v/>
      </c>
      <c r="AF54" s="63" t="str">
        <f aca="false">IF(Tasks[[#This Row],[Task Name]]="","",IF(Tasks[[#This Row],[_IsSummary]],MAX(INDEX(Tasks[_ShownFcstFinish],Tasks[[#This Row],[_Row]]+1):INDEX(Tasks[_ShownFcstFinish],Tasks[[#This Row],[_Row]]+Tasks[[#This Row],[_Descendants]])),Tasks[[#This Row],[_ShownFcstFinish]]))</f>
        <v/>
      </c>
      <c r="AG54" s="21" t="str">
        <f aca="false">""</f>
        <v/>
      </c>
      <c r="AH54" s="23"/>
      <c r="AI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4" s="7"/>
      <c r="AK54" s="22"/>
      <c r="AL54" s="23"/>
      <c r="AM54" s="7"/>
      <c r="AN54" s="47" t="str">
        <f aca="false">IF(Tasks[[#This Row],[Task Name]]="","",IF(Tasks[[#This Row],[Finish]]&gt;=Tasks[[#This Row],[Planned Finish]],NETWORKDAYS.INTL(Tasks[[#This Row],[Planned Finish]],Tasks[[#This Row],[Finish]],WorkWeek,Holidays)-1,1-NETWORKDAYS.INTL(Tasks[[#This Row],[Finish]],Tasks[[#This Row],[Planned Finish]],WorkWeek,Holidays)))</f>
        <v/>
      </c>
      <c r="AO54" s="21" t="str">
        <f aca="false">IF(Tasks[[#This Row],[Task Name]]="","",IF(Tasks[[#This Row],[Progress]]&gt;=1,"Complete",IF(OR(N(Tasks[[#This Row],[Actual Start]])&gt;0,Tasks[[#This Row],[Progress]]&gt;0),IF(Tasks[[#This Row],[Finish Var]]&gt;0,"Behind","In Progress"),IF(Tasks[[#This Row],[Planned Start]]&lt;StatusDate,"Late Start","Not Started"))))</f>
        <v/>
      </c>
      <c r="AP54" s="21" t="str">
        <f aca="false">IF(Tasks[[#This Row],[Task Name]]="","",IF(IF(Tasks[[#This Row],[_IsSummary]],COUNTIF(INDEX(Tasks[_LeafCritical],Tasks[[#This Row],[_Row]]+1):INDEX(Tasks[_LeafCritical],Tasks[[#This Row],[_Row]]+Tasks[[#This Row],[_Descendants]]),TRUE())&gt;0,Tasks[[#This Row],[_LeafCritical]]),"Yes",""))</f>
        <v/>
      </c>
      <c r="AQ54" s="63" t="str">
        <f aca="false">IF(Tasks[[#This Row],[Task Name]]="","",IF(N(Tasks[[#This Row],[Baseline Start]])&gt;0,Tasks[[#This Row],[Baseline Start]],Tasks[[#This Row],[_CalcStart]]))</f>
        <v/>
      </c>
      <c r="AR54" s="63" t="str">
        <f aca="false">IF(Tasks[[#This Row],[Task Name]]="","",IF(N(Tasks[[#This Row],[Baseline Finish]])&gt;0,Tasks[[#This Row],[Baseline Finish]],Tasks[[#This Row],[_CalcFinish]]))</f>
        <v/>
      </c>
      <c r="AS54" s="47" t="str">
        <f aca="false">IF(Tasks[[#This Row],[Task Name]]="","",IF(Tasks[[#This Row],[Start]]&gt;=Tasks[[#This Row],[Planned Start]],NETWORKDAYS.INTL(Tasks[[#This Row],[Planned Start]],Tasks[[#This Row],[Start]],WorkWeek,Holidays)-1,1-NETWORKDAYS.INTL(Tasks[[#This Row],[Start]],Tasks[[#This Row],[Planned Start]],WorkWeek,Holidays)))</f>
        <v/>
      </c>
      <c r="AT54" s="63" t="str">
        <f aca="false">IF(Tasks[[#This Row],[Task Name]]="","",IF(Tasks[[#This Row],[_IsSummary]],MIN(INDEX(Tasks[_LeafLateStart],Tasks[[#This Row],[_Row]]+1):INDEX(Tasks[_LeafLateStart],Tasks[[#This Row],[_Row]]+Tasks[[#This Row],[_Descendants]])),Tasks[[#This Row],[_LeafLateStart]]))</f>
        <v/>
      </c>
      <c r="AU54" s="63" t="str">
        <f aca="false">IF(Tasks[[#This Row],[Task Name]]="","",IF(Tasks[[#This Row],[_IsSummary]],MAX(INDEX(Tasks[_LeafLateFinish],Tasks[[#This Row],[_Row]]+1):INDEX(Tasks[_LeafLateFinish],Tasks[[#This Row],[_Row]]+Tasks[[#This Row],[_Descendants]])),Tasks[[#This Row],[_LeafLateFinish]]))</f>
        <v/>
      </c>
      <c r="AV54" s="47" t="str">
        <f aca="false">IF(Tasks[[#This Row],[Task Name]]="","",IF(Tasks[[#This Row],[_IsSummary]],MIN(INDEX(Tasks[_LeafTotalSlack],Tasks[[#This Row],[_Row]]+1):INDEX(Tasks[_LeafTotalSlack],Tasks[[#This Row],[_Row]]+Tasks[[#This Row],[_Descendants]])),Tasks[[#This Row],[_LeafTotalSlack]]))</f>
        <v/>
      </c>
      <c r="AW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5"/>
      <c r="BA5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1" t="str">
        <f aca="false">IF(Tasks[[#This Row],[Task Name]]="","",IF(Tasks[[#This Row],[_Level]]&lt;=OutlineShowLevel,"Yes","No"))</f>
        <v/>
      </c>
      <c r="BE54" s="86" t="str">
        <f aca="false">IF(Tasks[[#This Row],[Task Name]]="","",IF(Tasks[[#This Row],[_IsSummary]],SUM(INDEX(Tasks[_LeafTotalWork],Tasks[[#This Row],[_Row]]+1):INDEX(Tasks[_LeafTotalWork],Tasks[[#This Row],[_Row]]+Tasks[[#This Row],[_Descendants]])),Tasks[[#This Row],[_LeafTotalWork]]))</f>
        <v/>
      </c>
      <c r="BF54" s="23"/>
      <c r="BG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4" s="21" t="str">
        <f aca="false">""</f>
        <v/>
      </c>
      <c r="BI54" s="87"/>
      <c r="BJ54" s="22"/>
      <c r="BK54" s="47" t="str">
        <f aca="false">IF(OR(Tasks[[#This Row],[Task Name]]="",Tasks[[#This Row],[Baseline Duration]]=""),"",Tasks[[#This Row],[_SpanDays]]-N(Tasks[[#This Row],[Baseline Duration]]))</f>
        <v/>
      </c>
      <c r="BL54" s="86" t="str">
        <f aca="false">IF(OR(Tasks[[#This Row],[Task Name]]="",Tasks[[#This Row],[Baseline Work]]=""),"",Tasks[[#This Row],[Work]]-N(Tasks[[#This Row],[Baseline Work]]))</f>
        <v/>
      </c>
      <c r="BM54" s="63" t="str">
        <f aca="false">IF(Tasks[[#This Row],[Task Name]]="","",IF(OR(TakeBaseline="Yes",N(Tasks[[#This Row],[Baseline Start]])=0),Tasks[[#This Row],[Start]],Tasks[[#This Row],[Baseline Start]]))</f>
        <v/>
      </c>
      <c r="BN54" s="63" t="str">
        <f aca="false">IF(Tasks[[#This Row],[Task Name]]="","",IF(OR(TakeBaseline="Yes",N(Tasks[[#This Row],[Baseline Finish]])=0),Tasks[[#This Row],[Finish]],Tasks[[#This Row],[Baseline Finish]]))</f>
        <v/>
      </c>
      <c r="BO54" s="21" t="str">
        <f aca="false">IF(Tasks[[#This Row],[Task Name]]="","",IF(OR(TakeBaseline="Yes",N(Tasks[[#This Row],[Baseline Duration]])=0),Tasks[[#This Row],[_SpanDays]],Tasks[[#This Row],[Baseline Duration]]))</f>
        <v/>
      </c>
      <c r="BP54" s="86" t="str">
        <f aca="false">IF(Tasks[[#This Row],[Task Name]]="","",IF(OR(TakeBaseline="Yes",N(Tasks[[#This Row],[Baseline Work]])=0),Tasks[[#This Row],[Work]],Tasks[[#This Row],[Baseline Work]]))</f>
        <v/>
      </c>
      <c r="BQ54" s="7"/>
      <c r="BR54" s="7"/>
      <c r="BS54" s="22"/>
      <c r="BT54" s="88"/>
      <c r="BU54" s="23"/>
      <c r="BV54" s="23"/>
      <c r="BW54" s="23"/>
      <c r="BX54" s="89" t="str">
        <f aca="false">IF(AND(Tasks[[#This Row],[_IsLeaf]]=1,ISNUMBER(Tasks[[#This Row],[Optimistic]]),ISNUMBER(Tasks[[#This Row],[Pessimistic]])),ROUND((Tasks[[#This Row],[Optimistic]]+4*N(Tasks[[#This Row],[_Days]])+Tasks[[#This Row],[Pessimistic]])/6,1),"")</f>
        <v/>
      </c>
      <c r="BY54" s="87"/>
      <c r="BZ54" s="87"/>
      <c r="CA54" s="22"/>
      <c r="CB54" s="43" t="str">
        <f aca="false">IF(Tasks[[#This Row],[Task Name]]="","",MAX(1,N(Tasks[[#This Row],[Level]])))</f>
        <v/>
      </c>
      <c r="CC54" s="43" t="n">
        <f aca="false">ROW()-ROW(Tasks[[#Headers],[ID]])</f>
        <v>49</v>
      </c>
      <c r="CD54" s="43" t="n">
        <f aca="false">IF(OR(Tasks[[#This Row],[Task Name]]="",Tasks[[#This Row],[_Level]]&lt;=1),0,IFERROR(LOOKUP(2,1/(Tasks[[#Headers],[_Level]]:Tasks[[#This Row],[_Level]]=Tasks[[#This Row],[_Level]]-1),ROW(Tasks[[#Headers],[_Level]]:Tasks[[#This Row],[_Level]])),0))</f>
        <v>0</v>
      </c>
      <c r="CE54" s="43" t="n">
        <f aca="false">IFERROR(N(INDEX(Tasks[_Level],Tasks[[#This Row],[_Row]]+1)),0)</f>
        <v>0</v>
      </c>
      <c r="CF54" s="90" t="b">
        <f aca="false">AND(Tasks[[#This Row],[Task Name]]&lt;&gt;"",Tasks[[#This Row],[_NextLevel]]&gt;Tasks[[#This Row],[_Level]])</f>
        <v>0</v>
      </c>
      <c r="CG54" s="43" t="n">
        <f aca="false">IF(Tasks[[#This Row],[_IsSummary]],COUNTIF(Tasks[WBS],Tasks[[#This Row],[WBS]]&amp;".*"),0)</f>
        <v>0</v>
      </c>
      <c r="CH54" s="43" t="n">
        <f aca="false">IF(AND(Tasks[[#This Row],[Task Name]]&lt;&gt;"",NOT(Tasks[[#This Row],[_IsSummary]])),1,0)</f>
        <v>0</v>
      </c>
      <c r="CI54" s="43" t="n">
        <f aca="false">IF(N(Tasks[[#This Row],[_Pred1UID]])=0,0,IFERROR(MATCH(Tasks[[#This Row],[_Pred1UID]],Tasks[UID],0),-1))</f>
        <v>0</v>
      </c>
      <c r="CJ54" s="43" t="n">
        <f aca="false">IF(N(Tasks[[#This Row],[_Pred2UID]])=0,0,IFERROR(MATCH(Tasks[[#This Row],[_Pred2UID]],Tasks[UID],0),-1))</f>
        <v>0</v>
      </c>
      <c r="CK54" s="43" t="n">
        <f aca="false">IF(N(Tasks[[#This Row],[_Pred3UID]])=0,0,IFERROR(MATCH(Tasks[[#This Row],[_Pred3UID]],Tasks[UID],0),-1))</f>
        <v>0</v>
      </c>
      <c r="CL54" s="43" t="n">
        <f aca="false">IF(N(Tasks[[#This Row],[_Pred4UID]])=0,0,IFERROR(MATCH(Tasks[[#This Row],[_Pred4UID]],Tasks[UID],0),-1))</f>
        <v>0</v>
      </c>
      <c r="CM5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4" s="91" t="n">
        <f aca="false">IF(OR(Tasks[[#This Row],[_ConstraintCode]]=2,Tasks[[#This Row],[_ConstraintCode]]=3,Tasks[[#This Row],[_ConstraintCode]]=4,Tasks[[#This Row],[_ConstraintCode]]=6),Tasks[[#This Row],[_ConstraintStart]],0)</f>
        <v>0</v>
      </c>
      <c r="CP54" s="91" t="n">
        <f aca="false">IF(OR(Tasks[[#This Row],[_ConstraintCode]]=2,Tasks[[#This Row],[_ConstraintCode]]=3,Tasks[[#This Row],[_ConstraintCode]]=5,Tasks[[#This Row],[_ConstraintCode]]=7),Tasks[[#This Row],[_ConstraintStart]],2958465)</f>
        <v>2958465</v>
      </c>
      <c r="CQ5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4" s="91" t="str">
        <f aca="false">IF(NOT(Tasks[[#This Row],[_IsLeaf]]=1),"",IF(N(Tasks[[#This Row],[_Days]])&lt;=0,Tasks[[#This Row],[_LeafCalcStart]],WORKDAY.INTL(Tasks[[#This Row],[_LeafCalcStart]],Tasks[[#This Row],[_Days]]-1,WorkWeek,Holidays)))</f>
        <v/>
      </c>
      <c r="CS5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4" s="43" t="str">
        <f aca="false">IF(Tasks[[#This Row],[_Predecessors]]="","",TRIM(MID(SUBSTITUTE(SUBSTITUTE(SUBSTITUTE(UPPER(Tasks[[#This Row],[_Predecessors]]),";",",")," ",""),",",REPT(" ",99)),1,99)))</f>
        <v/>
      </c>
      <c r="CV54" s="43" t="str">
        <f aca="false">IF(Tasks[[#This Row],[_Pred1Text]]="","",IFERROR(VALUE(LEFT(Tasks[[#This Row],[_Pred1Text]],MIN(FIND("F",Tasks[[#This Row],[_Pred1Text]]&amp;"F"),FIND("S",Tasks[[#This Row],[_Pred1Text]]&amp;"S"),FIND("+",Tasks[[#This Row],[_Pred1Text]]&amp;"+"),FIND("-",Tasks[[#This Row],[_Pred1Text]]&amp;"-"))-1)),""))</f>
        <v/>
      </c>
      <c r="CW5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4" s="43" t="str">
        <f aca="false">IF(Tasks[[#This Row],[_Pred1Text]]="","",TRIM(MID(SUBSTITUTE(SUBSTITUTE(SUBSTITUTE(UPPER(Tasks[[#This Row],[_Predecessors]]),";",",")," ",""),",",REPT(" ",99)),100,99)))</f>
        <v/>
      </c>
      <c r="CZ54" s="43" t="str">
        <f aca="false">IF(Tasks[[#This Row],[_Pred2Text]]="","",IFERROR(VALUE(LEFT(Tasks[[#This Row],[_Pred2Text]],MIN(FIND("F",Tasks[[#This Row],[_Pred2Text]]&amp;"F"),FIND("S",Tasks[[#This Row],[_Pred2Text]]&amp;"S"),FIND("+",Tasks[[#This Row],[_Pred2Text]]&amp;"+"),FIND("-",Tasks[[#This Row],[_Pred2Text]]&amp;"-"))-1)),""))</f>
        <v/>
      </c>
      <c r="DA5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4" s="43" t="str">
        <f aca="false">IF(Tasks[[#This Row],[_Pred2Text]]="","",TRIM(MID(SUBSTITUTE(SUBSTITUTE(SUBSTITUTE(UPPER(Tasks[[#This Row],[_Predecessors]]),";",",")," ",""),",",REPT(" ",99)),199,99)))</f>
        <v/>
      </c>
      <c r="DD54" s="43" t="str">
        <f aca="false">IF(Tasks[[#This Row],[_Pred3Text]]="","",IFERROR(VALUE(LEFT(Tasks[[#This Row],[_Pred3Text]],MIN(FIND("F",Tasks[[#This Row],[_Pred3Text]]&amp;"F"),FIND("S",Tasks[[#This Row],[_Pred3Text]]&amp;"S"),FIND("+",Tasks[[#This Row],[_Pred3Text]]&amp;"+"),FIND("-",Tasks[[#This Row],[_Pred3Text]]&amp;"-"))-1)),""))</f>
        <v/>
      </c>
      <c r="DE5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4" s="43" t="str">
        <f aca="false">IF(Tasks[[#This Row],[_Pred3Text]]="","",TRIM(MID(SUBSTITUTE(SUBSTITUTE(SUBSTITUTE(UPPER(Tasks[[#This Row],[_Predecessors]]),";",",")," ",""),",",REPT(" ",99)),298,99)))</f>
        <v/>
      </c>
      <c r="DH54" s="43" t="str">
        <f aca="false">IF(Tasks[[#This Row],[_Pred4Text]]="","",IFERROR(VALUE(LEFT(Tasks[[#This Row],[_Pred4Text]],MIN(FIND("F",Tasks[[#This Row],[_Pred4Text]]&amp;"F"),FIND("S",Tasks[[#This Row],[_Pred4Text]]&amp;"S"),FIND("+",Tasks[[#This Row],[_Pred4Text]]&amp;"+"),FIND("-",Tasks[[#This Row],[_Pred4Text]]&amp;"-"))-1)),""))</f>
        <v/>
      </c>
      <c r="DI5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4" s="43" t="str">
        <f aca="false">IF(OR(Tasks[[#This Row],[Task Name]]="",Tasks[[#This Row],[_Resources]]=""),"",TRIM(MID(SUBSTITUTE(Tasks[[#This Row],[_Resources]],",",REPT(" ",99)),1,99)))</f>
        <v/>
      </c>
      <c r="DL54" s="43" t="str">
        <f aca="false">IF(Tasks[[#This Row],[_Res1Text]]="","",TRIM(MID(SUBSTITUTE(Tasks[[#This Row],[_Resources]],",",REPT(" ",99)),100,99)))</f>
        <v/>
      </c>
      <c r="DM54" s="43" t="str">
        <f aca="false">IF(Tasks[[#This Row],[_Res2Text]]="","",TRIM(MID(SUBSTITUTE(Tasks[[#This Row],[_Resources]],",",REPT(" ",99)),199,99)))</f>
        <v/>
      </c>
      <c r="DN54" s="43" t="str">
        <f aca="false">IF(Tasks[[#This Row],[_Res3Text]]="","",TRIM(MID(SUBSTITUTE(Tasks[[#This Row],[_Resources]],",",REPT(" ",99)),298,99)))</f>
        <v/>
      </c>
      <c r="DO54" s="43" t="n">
        <f aca="false">IF(Tasks[[#This Row],[_Res1Text]]="",0,IFERROR(MATCH(TRIM(LEFT(Tasks[[#This Row],[_Res1Text]],FIND("[",Tasks[[#This Row],[_Res1Text]]&amp;"[")-1)),res_Name,0),IFERROR(MATCH(TRIM(LEFT(Tasks[[#This Row],[_Res1Text]],FIND("[",Tasks[[#This Row],[_Res1Text]]&amp;"[")-1)),res_Initials,0),0)))</f>
        <v>0</v>
      </c>
      <c r="DP54" s="43" t="n">
        <f aca="false">IF(Tasks[[#This Row],[_Res2Text]]="",0,IFERROR(MATCH(TRIM(LEFT(Tasks[[#This Row],[_Res2Text]],FIND("[",Tasks[[#This Row],[_Res2Text]]&amp;"[")-1)),res_Name,0),IFERROR(MATCH(TRIM(LEFT(Tasks[[#This Row],[_Res2Text]],FIND("[",Tasks[[#This Row],[_Res2Text]]&amp;"[")-1)),res_Initials,0),0)))</f>
        <v>0</v>
      </c>
      <c r="DQ54" s="43" t="n">
        <f aca="false">IF(Tasks[[#This Row],[_Res3Text]]="",0,IFERROR(MATCH(TRIM(LEFT(Tasks[[#This Row],[_Res3Text]],FIND("[",Tasks[[#This Row],[_Res3Text]]&amp;"[")-1)),res_Name,0),IFERROR(MATCH(TRIM(LEFT(Tasks[[#This Row],[_Res3Text]],FIND("[",Tasks[[#This Row],[_Res3Text]]&amp;"[")-1)),res_Initials,0),0)))</f>
        <v>0</v>
      </c>
      <c r="DR54" s="43" t="n">
        <f aca="false">IF(Tasks[[#This Row],[_Res4Text]]="",0,IFERROR(MATCH(TRIM(LEFT(Tasks[[#This Row],[_Res4Text]],FIND("[",Tasks[[#This Row],[_Res4Text]]&amp;"[")-1)),res_Name,0),IFERROR(MATCH(TRIM(LEFT(Tasks[[#This Row],[_Res4Text]],FIND("[",Tasks[[#This Row],[_Res4Text]]&amp;"[")-1)),res_Initials,0),0)))</f>
        <v>0</v>
      </c>
      <c r="DS54" s="43" t="str">
        <f aca="false">IF(Tasks[[#This Row],[_Res1Text]]="","",IF(Tasks[[#This Row],[_Res1Row]]&gt;0,INDEX(res_Name,Tasks[[#This Row],[_Res1Row]]),TRIM(LEFT(Tasks[[#This Row],[_Res1Text]],FIND("[",Tasks[[#This Row],[_Res1Text]]&amp;"[")-1))))</f>
        <v/>
      </c>
      <c r="DT5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4" s="43" t="n">
        <f aca="false">IF(NOT(Tasks[[#This Row],[_IsLeaf]]=1),0,(Tasks[[#This Row],[_Resource1]]&lt;&gt;"")+(Tasks[[#This Row],[_Res2]]&lt;&gt;"")+(Tasks[[#This Row],[_Res3]]&lt;&gt;"")+(Tasks[[#This Row],[_Res4]]&lt;&gt;""))</f>
        <v>0</v>
      </c>
      <c r="DV54" s="43" t="str">
        <f aca="false">IF(Tasks[[#This Row],[_Res2Text]]="","",IF(Tasks[[#This Row],[_Res2Row]]&gt;0,INDEX(res_Name,Tasks[[#This Row],[_Res2Row]]),TRIM(LEFT(Tasks[[#This Row],[_Res2Text]],FIND("[",Tasks[[#This Row],[_Res2Text]]&amp;"[")-1))))</f>
        <v/>
      </c>
      <c r="DW5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4" s="43" t="n">
        <f aca="false">IF(OR(NOT(Tasks[[#This Row],[_IsLeaf]]=1),Tasks[[#This Row],[_Res2Row]]=0),0,N(Tasks[[#This Row],[_Days]])*HoursPerDay*IF(Tasks[[#This Row],[_Res2Units]]="",DefaultUnits,Tasks[[#This Row],[_Res2Units]]))</f>
        <v>0</v>
      </c>
      <c r="DY54" s="43" t="n">
        <f aca="false">IF(AND(AND(Tasks[[#This Row],[_IsLeaf]]=1,Tasks[[#This Row],[_LeafTotalWork]]&gt;0),Tasks[[#This Row],[_Res2Work]]&gt;0),Tasks[[#This Row],[_Res2Work]]/(Tasks[[#This Row],[_FinishWorkday]]-Tasks[[#This Row],[_StartWorkday]]+1),0)</f>
        <v>0</v>
      </c>
      <c r="DZ54" s="43" t="n">
        <f aca="false">Tasks[[#This Row],[_Res2WorkPerWD]]*MAX(0,Tasks[[#This Row],[_StartWorkday]]-1)</f>
        <v>0</v>
      </c>
      <c r="EA54" s="43" t="n">
        <f aca="false">Tasks[[#This Row],[_Res2Work]]*Tasks[[#This Row],[_LeafProgress]]</f>
        <v>0</v>
      </c>
      <c r="EB54" s="43" t="str">
        <f aca="false">IF(Tasks[[#This Row],[_Res3Text]]="","",IF(Tasks[[#This Row],[_Res3Row]]&gt;0,INDEX(res_Name,Tasks[[#This Row],[_Res3Row]]),TRIM(LEFT(Tasks[[#This Row],[_Res3Text]],FIND("[",Tasks[[#This Row],[_Res3Text]]&amp;"[")-1))))</f>
        <v/>
      </c>
      <c r="EC5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4" s="43" t="n">
        <f aca="false">IF(OR(NOT(Tasks[[#This Row],[_IsLeaf]]=1),Tasks[[#This Row],[_Res3Row]]=0),0,N(Tasks[[#This Row],[_Days]])*HoursPerDay*IF(Tasks[[#This Row],[_Res3Units]]="",DefaultUnits,Tasks[[#This Row],[_Res3Units]]))</f>
        <v>0</v>
      </c>
      <c r="EE54" s="43" t="n">
        <f aca="false">IF(AND(AND(Tasks[[#This Row],[_IsLeaf]]=1,Tasks[[#This Row],[_LeafTotalWork]]&gt;0),Tasks[[#This Row],[_Res3Work]]&gt;0),Tasks[[#This Row],[_Res3Work]]/(Tasks[[#This Row],[_FinishWorkday]]-Tasks[[#This Row],[_StartWorkday]]+1),0)</f>
        <v>0</v>
      </c>
      <c r="EF54" s="43" t="n">
        <f aca="false">Tasks[[#This Row],[_Res3WorkPerWD]]*MAX(0,Tasks[[#This Row],[_StartWorkday]]-1)</f>
        <v>0</v>
      </c>
      <c r="EG54" s="43" t="n">
        <f aca="false">Tasks[[#This Row],[_Res3Work]]*Tasks[[#This Row],[_LeafProgress]]</f>
        <v>0</v>
      </c>
      <c r="EH54" s="43" t="str">
        <f aca="false">IF(Tasks[[#This Row],[_Res4Text]]="","",IF(Tasks[[#This Row],[_Res4Row]]&gt;0,INDEX(res_Name,Tasks[[#This Row],[_Res4Row]]),TRIM(LEFT(Tasks[[#This Row],[_Res4Text]],FIND("[",Tasks[[#This Row],[_Res4Text]]&amp;"[")-1))))</f>
        <v/>
      </c>
      <c r="EI5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4" s="43" t="n">
        <f aca="false">IF(OR(NOT(Tasks[[#This Row],[_IsLeaf]]=1),Tasks[[#This Row],[_Res4Row]]=0),0,N(Tasks[[#This Row],[_Days]])*HoursPerDay*IF(Tasks[[#This Row],[_Res4Units]]="",DefaultUnits,Tasks[[#This Row],[_Res4Units]]))</f>
        <v>0</v>
      </c>
      <c r="EK54" s="43" t="n">
        <f aca="false">IF(AND(AND(Tasks[[#This Row],[_IsLeaf]]=1,Tasks[[#This Row],[_LeafTotalWork]]&gt;0),Tasks[[#This Row],[_Res4Work]]&gt;0),Tasks[[#This Row],[_Res4Work]]/(Tasks[[#This Row],[_FinishWorkday]]-Tasks[[#This Row],[_StartWorkday]]+1),0)</f>
        <v>0</v>
      </c>
      <c r="EL54" s="43" t="n">
        <f aca="false">Tasks[[#This Row],[_Res4WorkPerWD]]*MAX(0,Tasks[[#This Row],[_StartWorkday]]-1)</f>
        <v>0</v>
      </c>
      <c r="EM54" s="43" t="n">
        <f aca="false">Tasks[[#This Row],[_Res4Work]]*Tasks[[#This Row],[_LeafProgress]]</f>
        <v>0</v>
      </c>
      <c r="EN54" s="43" t="n">
        <f aca="false">IF(ISNUMBER(Tasks[[#This Row],[% Complete]]),Tasks[[#This Row],[% Complete]],IF(Tasks[[#This Row],[Stage]]="",0,IFERROR(INDEX(stg_Pct,MATCH(Tasks[[#This Row],[Stage]],stg_Name,0)),0)))</f>
        <v>0</v>
      </c>
      <c r="EO54" s="43" t="n">
        <f aca="false">IF(NOT(Tasks[[#This Row],[_IsLeaf]]=1),0,IF(N(Tasks[[#This Row],[Actual Finish]])&gt;0,1,MIN(1,Tasks[[#This Row],[_Pct]])))</f>
        <v>0</v>
      </c>
      <c r="EP54" s="43" t="n">
        <f aca="false">IF(OR(NOT(Tasks[[#This Row],[_IsLeaf]]=1),Tasks[[#This Row],[_Res1Row]]=0),0,N(Tasks[[#This Row],[_Days]])*HoursPerDay*IF(Tasks[[#This Row],[_Units1]]="",DefaultUnits,Tasks[[#This Row],[_Units1]]))</f>
        <v>0</v>
      </c>
      <c r="EQ54" s="43" t="n">
        <f aca="false">Tasks[[#This Row],[_LeafWork]]+Tasks[[#This Row],[_Res2Work]]+Tasks[[#This Row],[_Res3Work]]+Tasks[[#This Row],[_Res4Work]]</f>
        <v>0</v>
      </c>
      <c r="ER5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4" s="43" t="n">
        <f aca="false">IF(NOT(Tasks[[#This Row],[_IsLeaf]]=1),0,MAX(_xlfn.MAXIFS(Tasks[_Row],Tasks[_Pred1UID],Tasks[[#This Row],[UID]]),_xlfn.MAXIFS(Tasks[_Row],Tasks[_Pred2UID],Tasks[[#This Row],[UID]]),_xlfn.MAXIFS(Tasks[_Row],Tasks[_Pred3UID],Tasks[[#This Row],[UID]]),_xlfn.MAXIFS(Tasks[_Row],Tasks[_Pred4UID],Tasks[[#This Row],[UID]])))</f>
        <v>0</v>
      </c>
      <c r="FA5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4" s="91" t="str">
        <f aca="false">IF(NOT(Tasks[[#This Row],[_IsLeaf]]=1),"",IF(N(Tasks[[#This Row],[_Days]])&lt;=0,Tasks[[#This Row],[_LeafLateFinish]],WORKDAY.INTL(Tasks[[#This Row],[_LeafLateFinish]],-(Tasks[[#This Row],[_Days]]-1),WorkWeek,Holidays)))</f>
        <v/>
      </c>
      <c r="FD5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4" s="90" t="b">
        <f aca="false">AND(Tasks[[#This Row],[_IsLeaf]]=1,Tasks[[#This Row],[_LeafProgress]]&lt;1,N(Tasks[[#This Row],[_LeafTotalSlack]])&lt;=CriticalSlackDays)</f>
        <v>0</v>
      </c>
      <c r="FF54" s="43" t="n">
        <f aca="false">IF(AND(Tasks[[#This Row],[_IsLeaf]]=1,Tasks[[#This Row],[_ConstraintCode]]=1,Tasks[[#This Row],[Mode]]&lt;&gt;"Manual",N(Tasks[[#This Row],[Actual Start]])=0),MAX(0,N(Tasks[[#This Row],[Free Slack]])),0)</f>
        <v>0</v>
      </c>
      <c r="FG54" s="91" t="str">
        <f aca="false">IF(NOT(Tasks[[#This Row],[_IsLeaf]]=1),"",IF(Tasks[[#This Row],[_AlapShift]]=0,Tasks[[#This Row],[_LeafCalcStart]],WORKDAY.INTL(Tasks[[#This Row],[_LeafCalcStart]],Tasks[[#This Row],[_AlapShift]],WorkWeek,Holidays)))</f>
        <v/>
      </c>
      <c r="FH54" s="91" t="str">
        <f aca="false">IF(NOT(Tasks[[#This Row],[_IsLeaf]]=1),"",IF(Tasks[[#This Row],[_AlapShift]]=0,Tasks[[#This Row],[_LeafCalcFinish]],WORKDAY.INTL(Tasks[[#This Row],[_LeafCalcFinish]],Tasks[[#This Row],[_AlapShift]],WorkWeek,Holidays)))</f>
        <v/>
      </c>
      <c r="FI54" s="91" t="str">
        <f aca="false">IF(NOT(Tasks[[#This Row],[_IsLeaf]]=1),"",IF(Tasks[[#This Row],[_AlapShift]]=0,Tasks[[#This Row],[_LeafFcstStart]],WORKDAY.INTL(Tasks[[#This Row],[_LeafFcstStart]],Tasks[[#This Row],[_AlapShift]],WorkWeek,Holidays)))</f>
        <v/>
      </c>
      <c r="FJ54" s="91" t="str">
        <f aca="false">IF(NOT(Tasks[[#This Row],[_IsLeaf]]=1),"",IF(Tasks[[#This Row],[_AlapShift]]=0,Tasks[[#This Row],[_LeafFcstFinish]],WORKDAY.INTL(Tasks[[#This Row],[_LeafFcstFinish]],Tasks[[#This Row],[_AlapShift]],WorkWeek,Holidays)))</f>
        <v/>
      </c>
      <c r="FK54" s="91" t="str">
        <f aca="false">IF(Tasks[[#This Row],[Task Name]]="","",IF(Tasks[[#This Row],[_IsSummary]],MIN(INDEX(Tasks[_ShownCalcStart],Tasks[[#This Row],[_Row]]+1):INDEX(Tasks[_ShownCalcStart],Tasks[[#This Row],[_Row]]+Tasks[[#This Row],[_Descendants]])),Tasks[[#This Row],[_ShownCalcStart]]))</f>
        <v/>
      </c>
      <c r="FL54" s="91" t="str">
        <f aca="false">IF(Tasks[[#This Row],[Task Name]]="","",IF(Tasks[[#This Row],[_IsSummary]],MAX(INDEX(Tasks[_ShownCalcFinish],Tasks[[#This Row],[_Row]]+1):INDEX(Tasks[_ShownCalcFinish],Tasks[[#This Row],[_Row]]+Tasks[[#This Row],[_Descendants]])),Tasks[[#This Row],[_ShownCalcFinish]]))</f>
        <v/>
      </c>
      <c r="FM5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4" s="43" t="n">
        <f aca="false">IF(AND(Tasks[[#This Row],[_IsLeaf]]=1,Tasks[[#This Row],[_LeafTotalWork]]&gt;0),NETWORKDAYS.INTL(ProjectStart,Tasks[[#This Row],[_ShownFcstStart]],WorkWeek,Holidays),0)</f>
        <v>0</v>
      </c>
      <c r="FZ54" s="43" t="n">
        <f aca="false">IF(AND(Tasks[[#This Row],[_IsLeaf]]=1,Tasks[[#This Row],[_LeafTotalWork]]&gt;0),MAX(Tasks[[#This Row],[_StartWorkday]],NETWORKDAYS.INTL(ProjectStart,Tasks[[#This Row],[_ShownFcstFinish]],WorkWeek,Holidays)),0)</f>
        <v>0</v>
      </c>
      <c r="GA54" s="43" t="n">
        <f aca="false">IF(AND(Tasks[[#This Row],[_IsLeaf]]=1,Tasks[[#This Row],[_LeafTotalWork]]&gt;0),Tasks[[#This Row],[_LeafWork]]/(Tasks[[#This Row],[_FinishWorkday]]-Tasks[[#This Row],[_StartWorkday]]+1),0)</f>
        <v>0</v>
      </c>
      <c r="GB54" s="43" t="n">
        <f aca="false">Tasks[[#This Row],[_WorkPerWorkday]]*(Tasks[[#This Row],[_StartWorkday]]-1)</f>
        <v>-0</v>
      </c>
      <c r="GC54" s="43" t="n">
        <f aca="false">IF(Tasks[[#This Row],[_IsLeaf]]=1,MAX(N(Tasks[[#This Row],[_Days]]),0.1),0)</f>
        <v>0</v>
      </c>
      <c r="GD54" s="43" t="n">
        <f aca="false">Tasks[[#This Row],[_WeightDur]]*Tasks[[#This Row],[_LeafProgress]]</f>
        <v>0</v>
      </c>
      <c r="GE54" s="43" t="n">
        <f aca="false">Tasks[[#This Row],[_WeightDur]]*Tasks[[#This Row],[_PlannedPct]]</f>
        <v>0</v>
      </c>
      <c r="GF5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4" s="43" t="str">
        <f aca="false">IF(AND(Tasks[[#This Row],[_IsLeaf]]=1,N(Tasks[[#This Row],[_Days]])=0,Tasks[[#This Row],[_LeafProgress]]&lt;1),Tasks[[#This Row],[_ShownFcstFinish]]+Tasks[[#This Row],[_Row]]/100000,"")</f>
        <v/>
      </c>
      <c r="GH5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4" s="43" t="str">
        <f aca="false">IF(Tasks[[#This Row],[Task Name]]="","",LEFT(Tasks[[#This Row],[WBS]],FIND(".",Tasks[[#This Row],[WBS]]&amp;".")-1))</f>
        <v/>
      </c>
      <c r="GJ54" s="43" t="str">
        <f aca="false">IF(AND(Tasks[[#This Row],[Task Name]]&lt;&gt;"",Tasks[[#This Row],[_Level]]=1),Tasks[[#This Row],[_Row]],"")</f>
        <v/>
      </c>
      <c r="GK54" s="43" t="str">
        <f aca="false">IF(AND(Tasks[[#This Row],[_IsLeaf]]=1,N(Tasks[[#This Row],[_Days]])=0),Tasks[[#This Row],[Planned Finish]]+Tasks[[#This Row],[_Row]]/100000,"")</f>
        <v/>
      </c>
      <c r="GL54" s="43" t="str">
        <f aca="false">IF(AND(Tasks[[#This Row],[_IsLeaf]]=1,Tasks[[#This Row],[_LeafProgress]]&lt;1,OR(N(Tasks[[#This Row],[Finish Var]])&gt;0,Tasks[[#This Row],[Status]]="Late Start")),MAX(0,Tasks[[#This Row],[Finish Var]])+1-Tasks[[#This Row],[_Row]]/1000000,"")</f>
        <v/>
      </c>
      <c r="GM54" s="43" t="str">
        <f aca="false">IF(AND(Tasks[[#This Row],[_IsLeaf]]=1,N(Tasks[[#This Row],[Actual Start]])=0,Tasks[[#This Row],[_ShownFcstStart]]&gt;=StatusDate,Tasks[[#This Row],[_ShownFcstStart]]&lt;=LookaheadEnd),Tasks[[#This Row],[_ShownFcstStart]]+Tasks[[#This Row],[_Row]]/100000,"")</f>
        <v/>
      </c>
      <c r="GN54" s="43" t="str">
        <f aca="false">IF(AND(Tasks[[#This Row],[_IsLeaf]]=1,Tasks[[#This Row],[_LeafProgress]]&lt;1,Tasks[[#This Row],[_ShownFcstFinish]]&gt;=StatusDate,Tasks[[#This Row],[_ShownFcstFinish]]&lt;=LookaheadEnd),Tasks[[#This Row],[_ShownFcstFinish]]+Tasks[[#This Row],[_Row]]/100000,"")</f>
        <v/>
      </c>
      <c r="GO54" s="43" t="str">
        <f aca="false">IF(Tasks[[#This Row],[_LeafCritical]],Tasks[[#This Row],[_ShownFcstStart]]+Tasks[[#This Row],[_Row]]/100000,"")</f>
        <v/>
      </c>
      <c r="GP54" s="43" t="n">
        <f aca="false">Tasks[[#This Row],[_LeafWork]]*Tasks[[#This Row],[_LeafProgress]]</f>
        <v>0</v>
      </c>
      <c r="GQ54" s="91" t="str">
        <f aca="false">IF(AND(Tasks[[#This Row],[_IsLeaf]]=1,Tasks[[#This Row],[_LeafProgress]]&gt;=1),IF(N(Tasks[[#This Row],[Actual Finish]])&gt;0,Tasks[[#This Row],[Actual Finish]],Tasks[[#This Row],[_ShownFcstFinish]]),"")</f>
        <v/>
      </c>
      <c r="GR54" s="43" t="n">
        <f aca="false">IF(Tasks[[#This Row],[_IsLeaf]]=1,N(Tasks[[#This Row],[Story Points]]),0)</f>
        <v>0</v>
      </c>
      <c r="GS54" s="43" t="str">
        <f aca="false">""</f>
        <v/>
      </c>
      <c r="GT54" s="90" t="b">
        <f aca="false">IF(Tasks[[#This Row],[Task Name]]="",FALSE(),AND(Tasks[[#This Row],[_IsLeaf]]=1,N(Tasks[[#This Row],[_Days]])=0))</f>
        <v>0</v>
      </c>
      <c r="GU54" s="91" t="n">
        <f aca="false">IF(Tasks[[#This Row],[Task Name]]="",0,IF(AND(Tasks[[#This Row],[_IsLeaf]]=1,NOT(Tasks[[#This Row],[_IsMilestone]]),N(Tasks[[#This Row],[Progress]])&gt;0),Tasks[[#This Row],[Start]],0))</f>
        <v>0</v>
      </c>
      <c r="GV54" s="91" t="n">
        <f aca="false">IF(Tasks[[#This Row],[_DoneFrom]]=0,0,IF(Tasks[[#This Row],[Progress]]&gt;=1,Tasks[[#This Row],[Finish]],MAX(Tasks[[#This Row],[_DoneFrom]],Tasks[[#This Row],[Start]]+ROUND((Tasks[[#This Row],[Finish]]-Tasks[[#This Row],[Start]]+1)*Tasks[[#This Row],[Progress]],0)-1)))</f>
        <v>0</v>
      </c>
      <c r="GW54" s="91" t="n">
        <f aca="false">IF(Tasks[[#This Row],[Task Name]]="",0,IF(OR(NOT(Tasks[[#This Row],[_IsLeaf]]=1),Tasks[[#This Row],[_IsMilestone]],N(Tasks[[#This Row],[Progress]])&gt;=1),0,IF(Tasks[[#This Row],[_DoneTo]]&gt;0,Tasks[[#This Row],[_DoneTo]]+1,Tasks[[#This Row],[Start]])))</f>
        <v>0</v>
      </c>
      <c r="GX54" s="91" t="n">
        <f aca="false">IF(Tasks[[#This Row],[_RemFrom]]=0,0,Tasks[[#This Row],[Finish]])</f>
        <v>0</v>
      </c>
      <c r="GY54" s="90" t="b">
        <f aca="false">IF(Tasks[[#This Row],[Task Name]]="",FALSE(),OR(NOT(BaselineSet),N(Tasks[[#This Row],[Baseline Start]])&gt;0))</f>
        <v>0</v>
      </c>
      <c r="GZ5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4" s="92" t="str">
        <f aca="false">IF(Tasks[[#This Row],[_IsLeaf]]=1,Tasks[[#This Row],[_Row]],"")</f>
        <v/>
      </c>
      <c r="HD54" s="92" t="str">
        <f aca="false">IFERROR(INDEX(Tasks[UID],SMALL(Tasks[_PickKey],Tasks[[#This Row],[_Row]]))&amp;" "&amp;INDEX(Tasks[Task Name],SMALL(Tasks[_PickKey],Tasks[[#This Row],[_Row]])),"")</f>
        <v/>
      </c>
      <c r="HE54" s="43" t="str">
        <f aca="false">IF(Tasks[[#This Row],[Task Name]]="","",IF(Tasks[[#This Row],[_IsSummary]],NETWORKDAYS.INTL(Tasks[[#This Row],[Start]],Tasks[[#This Row],[Finish]],WorkWeek,Holidays),N(Tasks[[#This Row],[_Days]])))</f>
        <v/>
      </c>
      <c r="HF54" s="43" t="n">
        <f aca="false">IF(Tasks[[#This Row],[Expected]]="",0,((Tasks[[#This Row],[Pessimistic]]-Tasks[[#This Row],[Optimistic]])/6)^2)</f>
        <v>0</v>
      </c>
      <c r="HG54" s="43" t="n">
        <f aca="false">IF(Tasks[[#This Row],[Expected]]="",0,Tasks[[#This Row],[Expected]]-N(Tasks[[#This Row],[_Days]]))</f>
        <v>0</v>
      </c>
    </row>
    <row r="55" customFormat="false" ht="15" hidden="false" customHeight="false" outlineLevel="0" collapsed="false">
      <c r="A55" s="21" t="str">
        <f aca="false">IF(Tasks[[#This Row],[Task Name]]="","",COUNTA(Tasks[[#Headers],[Task Name]]:Tasks[[#This Row],[Task Name]])-1)</f>
        <v/>
      </c>
      <c r="B55" s="22" t="n">
        <v>63</v>
      </c>
      <c r="C55" s="22"/>
      <c r="D55" s="23"/>
      <c r="E55" s="22"/>
      <c r="F55" s="23"/>
      <c r="G55" s="22"/>
      <c r="H55" s="22"/>
      <c r="I55" s="23"/>
      <c r="J55" s="22"/>
      <c r="K55" s="22"/>
      <c r="L55" s="23"/>
      <c r="M55" s="22"/>
      <c r="N55" s="22"/>
      <c r="O55" s="23"/>
      <c r="P55" s="22"/>
      <c r="Q55" s="22"/>
      <c r="R55" s="23"/>
      <c r="S55" s="23"/>
      <c r="T55" s="84"/>
      <c r="U55" s="23"/>
      <c r="V55" s="84"/>
      <c r="W55" s="23"/>
      <c r="X55" s="84"/>
      <c r="Y55" s="23"/>
      <c r="Z55" s="84"/>
      <c r="AA55" s="23"/>
      <c r="AB55" s="23"/>
      <c r="AC55" s="7"/>
      <c r="AD55" s="7"/>
      <c r="AE55" s="63" t="str">
        <f aca="false">IF(Tasks[[#This Row],[Task Name]]="","",IF(Tasks[[#This Row],[_IsSummary]],MIN(INDEX(Tasks[_ShownFcstStart],Tasks[[#This Row],[_Row]]+1):INDEX(Tasks[_ShownFcstStart],Tasks[[#This Row],[_Row]]+Tasks[[#This Row],[_Descendants]])),Tasks[[#This Row],[_ShownFcstStart]]))</f>
        <v/>
      </c>
      <c r="AF55" s="63" t="str">
        <f aca="false">IF(Tasks[[#This Row],[Task Name]]="","",IF(Tasks[[#This Row],[_IsSummary]],MAX(INDEX(Tasks[_ShownFcstFinish],Tasks[[#This Row],[_Row]]+1):INDEX(Tasks[_ShownFcstFinish],Tasks[[#This Row],[_Row]]+Tasks[[#This Row],[_Descendants]])),Tasks[[#This Row],[_ShownFcstFinish]]))</f>
        <v/>
      </c>
      <c r="AG55" s="21" t="str">
        <f aca="false">""</f>
        <v/>
      </c>
      <c r="AH55" s="23"/>
      <c r="AI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5" s="7"/>
      <c r="AK55" s="22"/>
      <c r="AL55" s="23"/>
      <c r="AM55" s="7"/>
      <c r="AN55" s="47" t="str">
        <f aca="false">IF(Tasks[[#This Row],[Task Name]]="","",IF(Tasks[[#This Row],[Finish]]&gt;=Tasks[[#This Row],[Planned Finish]],NETWORKDAYS.INTL(Tasks[[#This Row],[Planned Finish]],Tasks[[#This Row],[Finish]],WorkWeek,Holidays)-1,1-NETWORKDAYS.INTL(Tasks[[#This Row],[Finish]],Tasks[[#This Row],[Planned Finish]],WorkWeek,Holidays)))</f>
        <v/>
      </c>
      <c r="AO55" s="21" t="str">
        <f aca="false">IF(Tasks[[#This Row],[Task Name]]="","",IF(Tasks[[#This Row],[Progress]]&gt;=1,"Complete",IF(OR(N(Tasks[[#This Row],[Actual Start]])&gt;0,Tasks[[#This Row],[Progress]]&gt;0),IF(Tasks[[#This Row],[Finish Var]]&gt;0,"Behind","In Progress"),IF(Tasks[[#This Row],[Planned Start]]&lt;StatusDate,"Late Start","Not Started"))))</f>
        <v/>
      </c>
      <c r="AP55" s="21" t="str">
        <f aca="false">IF(Tasks[[#This Row],[Task Name]]="","",IF(IF(Tasks[[#This Row],[_IsSummary]],COUNTIF(INDEX(Tasks[_LeafCritical],Tasks[[#This Row],[_Row]]+1):INDEX(Tasks[_LeafCritical],Tasks[[#This Row],[_Row]]+Tasks[[#This Row],[_Descendants]]),TRUE())&gt;0,Tasks[[#This Row],[_LeafCritical]]),"Yes",""))</f>
        <v/>
      </c>
      <c r="AQ55" s="63" t="str">
        <f aca="false">IF(Tasks[[#This Row],[Task Name]]="","",IF(N(Tasks[[#This Row],[Baseline Start]])&gt;0,Tasks[[#This Row],[Baseline Start]],Tasks[[#This Row],[_CalcStart]]))</f>
        <v/>
      </c>
      <c r="AR55" s="63" t="str">
        <f aca="false">IF(Tasks[[#This Row],[Task Name]]="","",IF(N(Tasks[[#This Row],[Baseline Finish]])&gt;0,Tasks[[#This Row],[Baseline Finish]],Tasks[[#This Row],[_CalcFinish]]))</f>
        <v/>
      </c>
      <c r="AS55" s="47" t="str">
        <f aca="false">IF(Tasks[[#This Row],[Task Name]]="","",IF(Tasks[[#This Row],[Start]]&gt;=Tasks[[#This Row],[Planned Start]],NETWORKDAYS.INTL(Tasks[[#This Row],[Planned Start]],Tasks[[#This Row],[Start]],WorkWeek,Holidays)-1,1-NETWORKDAYS.INTL(Tasks[[#This Row],[Start]],Tasks[[#This Row],[Planned Start]],WorkWeek,Holidays)))</f>
        <v/>
      </c>
      <c r="AT55" s="63" t="str">
        <f aca="false">IF(Tasks[[#This Row],[Task Name]]="","",IF(Tasks[[#This Row],[_IsSummary]],MIN(INDEX(Tasks[_LeafLateStart],Tasks[[#This Row],[_Row]]+1):INDEX(Tasks[_LeafLateStart],Tasks[[#This Row],[_Row]]+Tasks[[#This Row],[_Descendants]])),Tasks[[#This Row],[_LeafLateStart]]))</f>
        <v/>
      </c>
      <c r="AU55" s="63" t="str">
        <f aca="false">IF(Tasks[[#This Row],[Task Name]]="","",IF(Tasks[[#This Row],[_IsSummary]],MAX(INDEX(Tasks[_LeafLateFinish],Tasks[[#This Row],[_Row]]+1):INDEX(Tasks[_LeafLateFinish],Tasks[[#This Row],[_Row]]+Tasks[[#This Row],[_Descendants]])),Tasks[[#This Row],[_LeafLateFinish]]))</f>
        <v/>
      </c>
      <c r="AV55" s="47" t="str">
        <f aca="false">IF(Tasks[[#This Row],[Task Name]]="","",IF(Tasks[[#This Row],[_IsSummary]],MIN(INDEX(Tasks[_LeafTotalSlack],Tasks[[#This Row],[_Row]]+1):INDEX(Tasks[_LeafTotalSlack],Tasks[[#This Row],[_Row]]+Tasks[[#This Row],[_Descendants]])),Tasks[[#This Row],[_LeafTotalSlack]]))</f>
        <v/>
      </c>
      <c r="AW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5"/>
      <c r="BA5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1" t="str">
        <f aca="false">IF(Tasks[[#This Row],[Task Name]]="","",IF(Tasks[[#This Row],[_Level]]&lt;=OutlineShowLevel,"Yes","No"))</f>
        <v/>
      </c>
      <c r="BE55" s="86" t="str">
        <f aca="false">IF(Tasks[[#This Row],[Task Name]]="","",IF(Tasks[[#This Row],[_IsSummary]],SUM(INDEX(Tasks[_LeafTotalWork],Tasks[[#This Row],[_Row]]+1):INDEX(Tasks[_LeafTotalWork],Tasks[[#This Row],[_Row]]+Tasks[[#This Row],[_Descendants]])),Tasks[[#This Row],[_LeafTotalWork]]))</f>
        <v/>
      </c>
      <c r="BF55" s="23"/>
      <c r="BG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5" s="21" t="str">
        <f aca="false">""</f>
        <v/>
      </c>
      <c r="BI55" s="87"/>
      <c r="BJ55" s="22"/>
      <c r="BK55" s="47" t="str">
        <f aca="false">IF(OR(Tasks[[#This Row],[Task Name]]="",Tasks[[#This Row],[Baseline Duration]]=""),"",Tasks[[#This Row],[_SpanDays]]-N(Tasks[[#This Row],[Baseline Duration]]))</f>
        <v/>
      </c>
      <c r="BL55" s="86" t="str">
        <f aca="false">IF(OR(Tasks[[#This Row],[Task Name]]="",Tasks[[#This Row],[Baseline Work]]=""),"",Tasks[[#This Row],[Work]]-N(Tasks[[#This Row],[Baseline Work]]))</f>
        <v/>
      </c>
      <c r="BM55" s="63" t="str">
        <f aca="false">IF(Tasks[[#This Row],[Task Name]]="","",IF(OR(TakeBaseline="Yes",N(Tasks[[#This Row],[Baseline Start]])=0),Tasks[[#This Row],[Start]],Tasks[[#This Row],[Baseline Start]]))</f>
        <v/>
      </c>
      <c r="BN55" s="63" t="str">
        <f aca="false">IF(Tasks[[#This Row],[Task Name]]="","",IF(OR(TakeBaseline="Yes",N(Tasks[[#This Row],[Baseline Finish]])=0),Tasks[[#This Row],[Finish]],Tasks[[#This Row],[Baseline Finish]]))</f>
        <v/>
      </c>
      <c r="BO55" s="21" t="str">
        <f aca="false">IF(Tasks[[#This Row],[Task Name]]="","",IF(OR(TakeBaseline="Yes",N(Tasks[[#This Row],[Baseline Duration]])=0),Tasks[[#This Row],[_SpanDays]],Tasks[[#This Row],[Baseline Duration]]))</f>
        <v/>
      </c>
      <c r="BP55" s="86" t="str">
        <f aca="false">IF(Tasks[[#This Row],[Task Name]]="","",IF(OR(TakeBaseline="Yes",N(Tasks[[#This Row],[Baseline Work]])=0),Tasks[[#This Row],[Work]],Tasks[[#This Row],[Baseline Work]]))</f>
        <v/>
      </c>
      <c r="BQ55" s="7"/>
      <c r="BR55" s="7"/>
      <c r="BS55" s="22"/>
      <c r="BT55" s="88"/>
      <c r="BU55" s="23"/>
      <c r="BV55" s="23"/>
      <c r="BW55" s="23"/>
      <c r="BX55" s="89" t="str">
        <f aca="false">IF(AND(Tasks[[#This Row],[_IsLeaf]]=1,ISNUMBER(Tasks[[#This Row],[Optimistic]]),ISNUMBER(Tasks[[#This Row],[Pessimistic]])),ROUND((Tasks[[#This Row],[Optimistic]]+4*N(Tasks[[#This Row],[_Days]])+Tasks[[#This Row],[Pessimistic]])/6,1),"")</f>
        <v/>
      </c>
      <c r="BY55" s="87"/>
      <c r="BZ55" s="87"/>
      <c r="CA55" s="22"/>
      <c r="CB55" s="43" t="str">
        <f aca="false">IF(Tasks[[#This Row],[Task Name]]="","",MAX(1,N(Tasks[[#This Row],[Level]])))</f>
        <v/>
      </c>
      <c r="CC55" s="43" t="n">
        <f aca="false">ROW()-ROW(Tasks[[#Headers],[ID]])</f>
        <v>50</v>
      </c>
      <c r="CD55" s="43" t="n">
        <f aca="false">IF(OR(Tasks[[#This Row],[Task Name]]="",Tasks[[#This Row],[_Level]]&lt;=1),0,IFERROR(LOOKUP(2,1/(Tasks[[#Headers],[_Level]]:Tasks[[#This Row],[_Level]]=Tasks[[#This Row],[_Level]]-1),ROW(Tasks[[#Headers],[_Level]]:Tasks[[#This Row],[_Level]])),0))</f>
        <v>0</v>
      </c>
      <c r="CE55" s="43" t="n">
        <f aca="false">IFERROR(N(INDEX(Tasks[_Level],Tasks[[#This Row],[_Row]]+1)),0)</f>
        <v>0</v>
      </c>
      <c r="CF55" s="90" t="b">
        <f aca="false">AND(Tasks[[#This Row],[Task Name]]&lt;&gt;"",Tasks[[#This Row],[_NextLevel]]&gt;Tasks[[#This Row],[_Level]])</f>
        <v>0</v>
      </c>
      <c r="CG55" s="43" t="n">
        <f aca="false">IF(Tasks[[#This Row],[_IsSummary]],COUNTIF(Tasks[WBS],Tasks[[#This Row],[WBS]]&amp;".*"),0)</f>
        <v>0</v>
      </c>
      <c r="CH55" s="43" t="n">
        <f aca="false">IF(AND(Tasks[[#This Row],[Task Name]]&lt;&gt;"",NOT(Tasks[[#This Row],[_IsSummary]])),1,0)</f>
        <v>0</v>
      </c>
      <c r="CI55" s="43" t="n">
        <f aca="false">IF(N(Tasks[[#This Row],[_Pred1UID]])=0,0,IFERROR(MATCH(Tasks[[#This Row],[_Pred1UID]],Tasks[UID],0),-1))</f>
        <v>0</v>
      </c>
      <c r="CJ55" s="43" t="n">
        <f aca="false">IF(N(Tasks[[#This Row],[_Pred2UID]])=0,0,IFERROR(MATCH(Tasks[[#This Row],[_Pred2UID]],Tasks[UID],0),-1))</f>
        <v>0</v>
      </c>
      <c r="CK55" s="43" t="n">
        <f aca="false">IF(N(Tasks[[#This Row],[_Pred3UID]])=0,0,IFERROR(MATCH(Tasks[[#This Row],[_Pred3UID]],Tasks[UID],0),-1))</f>
        <v>0</v>
      </c>
      <c r="CL55" s="43" t="n">
        <f aca="false">IF(N(Tasks[[#This Row],[_Pred4UID]])=0,0,IFERROR(MATCH(Tasks[[#This Row],[_Pred4UID]],Tasks[UID],0),-1))</f>
        <v>0</v>
      </c>
      <c r="CM5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5" s="91" t="n">
        <f aca="false">IF(OR(Tasks[[#This Row],[_ConstraintCode]]=2,Tasks[[#This Row],[_ConstraintCode]]=3,Tasks[[#This Row],[_ConstraintCode]]=4,Tasks[[#This Row],[_ConstraintCode]]=6),Tasks[[#This Row],[_ConstraintStart]],0)</f>
        <v>0</v>
      </c>
      <c r="CP55" s="91" t="n">
        <f aca="false">IF(OR(Tasks[[#This Row],[_ConstraintCode]]=2,Tasks[[#This Row],[_ConstraintCode]]=3,Tasks[[#This Row],[_ConstraintCode]]=5,Tasks[[#This Row],[_ConstraintCode]]=7),Tasks[[#This Row],[_ConstraintStart]],2958465)</f>
        <v>2958465</v>
      </c>
      <c r="CQ5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5" s="91" t="str">
        <f aca="false">IF(NOT(Tasks[[#This Row],[_IsLeaf]]=1),"",IF(N(Tasks[[#This Row],[_Days]])&lt;=0,Tasks[[#This Row],[_LeafCalcStart]],WORKDAY.INTL(Tasks[[#This Row],[_LeafCalcStart]],Tasks[[#This Row],[_Days]]-1,WorkWeek,Holidays)))</f>
        <v/>
      </c>
      <c r="CS5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5" s="43" t="str">
        <f aca="false">IF(Tasks[[#This Row],[_Predecessors]]="","",TRIM(MID(SUBSTITUTE(SUBSTITUTE(SUBSTITUTE(UPPER(Tasks[[#This Row],[_Predecessors]]),";",",")," ",""),",",REPT(" ",99)),1,99)))</f>
        <v/>
      </c>
      <c r="CV55" s="43" t="str">
        <f aca="false">IF(Tasks[[#This Row],[_Pred1Text]]="","",IFERROR(VALUE(LEFT(Tasks[[#This Row],[_Pred1Text]],MIN(FIND("F",Tasks[[#This Row],[_Pred1Text]]&amp;"F"),FIND("S",Tasks[[#This Row],[_Pred1Text]]&amp;"S"),FIND("+",Tasks[[#This Row],[_Pred1Text]]&amp;"+"),FIND("-",Tasks[[#This Row],[_Pred1Text]]&amp;"-"))-1)),""))</f>
        <v/>
      </c>
      <c r="CW5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5" s="43" t="str">
        <f aca="false">IF(Tasks[[#This Row],[_Pred1Text]]="","",TRIM(MID(SUBSTITUTE(SUBSTITUTE(SUBSTITUTE(UPPER(Tasks[[#This Row],[_Predecessors]]),";",",")," ",""),",",REPT(" ",99)),100,99)))</f>
        <v/>
      </c>
      <c r="CZ55" s="43" t="str">
        <f aca="false">IF(Tasks[[#This Row],[_Pred2Text]]="","",IFERROR(VALUE(LEFT(Tasks[[#This Row],[_Pred2Text]],MIN(FIND("F",Tasks[[#This Row],[_Pred2Text]]&amp;"F"),FIND("S",Tasks[[#This Row],[_Pred2Text]]&amp;"S"),FIND("+",Tasks[[#This Row],[_Pred2Text]]&amp;"+"),FIND("-",Tasks[[#This Row],[_Pred2Text]]&amp;"-"))-1)),""))</f>
        <v/>
      </c>
      <c r="DA5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5" s="43" t="str">
        <f aca="false">IF(Tasks[[#This Row],[_Pred2Text]]="","",TRIM(MID(SUBSTITUTE(SUBSTITUTE(SUBSTITUTE(UPPER(Tasks[[#This Row],[_Predecessors]]),";",",")," ",""),",",REPT(" ",99)),199,99)))</f>
        <v/>
      </c>
      <c r="DD55" s="43" t="str">
        <f aca="false">IF(Tasks[[#This Row],[_Pred3Text]]="","",IFERROR(VALUE(LEFT(Tasks[[#This Row],[_Pred3Text]],MIN(FIND("F",Tasks[[#This Row],[_Pred3Text]]&amp;"F"),FIND("S",Tasks[[#This Row],[_Pred3Text]]&amp;"S"),FIND("+",Tasks[[#This Row],[_Pred3Text]]&amp;"+"),FIND("-",Tasks[[#This Row],[_Pred3Text]]&amp;"-"))-1)),""))</f>
        <v/>
      </c>
      <c r="DE5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5" s="43" t="str">
        <f aca="false">IF(Tasks[[#This Row],[_Pred3Text]]="","",TRIM(MID(SUBSTITUTE(SUBSTITUTE(SUBSTITUTE(UPPER(Tasks[[#This Row],[_Predecessors]]),";",",")," ",""),",",REPT(" ",99)),298,99)))</f>
        <v/>
      </c>
      <c r="DH55" s="43" t="str">
        <f aca="false">IF(Tasks[[#This Row],[_Pred4Text]]="","",IFERROR(VALUE(LEFT(Tasks[[#This Row],[_Pred4Text]],MIN(FIND("F",Tasks[[#This Row],[_Pred4Text]]&amp;"F"),FIND("S",Tasks[[#This Row],[_Pred4Text]]&amp;"S"),FIND("+",Tasks[[#This Row],[_Pred4Text]]&amp;"+"),FIND("-",Tasks[[#This Row],[_Pred4Text]]&amp;"-"))-1)),""))</f>
        <v/>
      </c>
      <c r="DI5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5" s="43" t="str">
        <f aca="false">IF(OR(Tasks[[#This Row],[Task Name]]="",Tasks[[#This Row],[_Resources]]=""),"",TRIM(MID(SUBSTITUTE(Tasks[[#This Row],[_Resources]],",",REPT(" ",99)),1,99)))</f>
        <v/>
      </c>
      <c r="DL55" s="43" t="str">
        <f aca="false">IF(Tasks[[#This Row],[_Res1Text]]="","",TRIM(MID(SUBSTITUTE(Tasks[[#This Row],[_Resources]],",",REPT(" ",99)),100,99)))</f>
        <v/>
      </c>
      <c r="DM55" s="43" t="str">
        <f aca="false">IF(Tasks[[#This Row],[_Res2Text]]="","",TRIM(MID(SUBSTITUTE(Tasks[[#This Row],[_Resources]],",",REPT(" ",99)),199,99)))</f>
        <v/>
      </c>
      <c r="DN55" s="43" t="str">
        <f aca="false">IF(Tasks[[#This Row],[_Res3Text]]="","",TRIM(MID(SUBSTITUTE(Tasks[[#This Row],[_Resources]],",",REPT(" ",99)),298,99)))</f>
        <v/>
      </c>
      <c r="DO55" s="43" t="n">
        <f aca="false">IF(Tasks[[#This Row],[_Res1Text]]="",0,IFERROR(MATCH(TRIM(LEFT(Tasks[[#This Row],[_Res1Text]],FIND("[",Tasks[[#This Row],[_Res1Text]]&amp;"[")-1)),res_Name,0),IFERROR(MATCH(TRIM(LEFT(Tasks[[#This Row],[_Res1Text]],FIND("[",Tasks[[#This Row],[_Res1Text]]&amp;"[")-1)),res_Initials,0),0)))</f>
        <v>0</v>
      </c>
      <c r="DP55" s="43" t="n">
        <f aca="false">IF(Tasks[[#This Row],[_Res2Text]]="",0,IFERROR(MATCH(TRIM(LEFT(Tasks[[#This Row],[_Res2Text]],FIND("[",Tasks[[#This Row],[_Res2Text]]&amp;"[")-1)),res_Name,0),IFERROR(MATCH(TRIM(LEFT(Tasks[[#This Row],[_Res2Text]],FIND("[",Tasks[[#This Row],[_Res2Text]]&amp;"[")-1)),res_Initials,0),0)))</f>
        <v>0</v>
      </c>
      <c r="DQ55" s="43" t="n">
        <f aca="false">IF(Tasks[[#This Row],[_Res3Text]]="",0,IFERROR(MATCH(TRIM(LEFT(Tasks[[#This Row],[_Res3Text]],FIND("[",Tasks[[#This Row],[_Res3Text]]&amp;"[")-1)),res_Name,0),IFERROR(MATCH(TRIM(LEFT(Tasks[[#This Row],[_Res3Text]],FIND("[",Tasks[[#This Row],[_Res3Text]]&amp;"[")-1)),res_Initials,0),0)))</f>
        <v>0</v>
      </c>
      <c r="DR55" s="43" t="n">
        <f aca="false">IF(Tasks[[#This Row],[_Res4Text]]="",0,IFERROR(MATCH(TRIM(LEFT(Tasks[[#This Row],[_Res4Text]],FIND("[",Tasks[[#This Row],[_Res4Text]]&amp;"[")-1)),res_Name,0),IFERROR(MATCH(TRIM(LEFT(Tasks[[#This Row],[_Res4Text]],FIND("[",Tasks[[#This Row],[_Res4Text]]&amp;"[")-1)),res_Initials,0),0)))</f>
        <v>0</v>
      </c>
      <c r="DS55" s="43" t="str">
        <f aca="false">IF(Tasks[[#This Row],[_Res1Text]]="","",IF(Tasks[[#This Row],[_Res1Row]]&gt;0,INDEX(res_Name,Tasks[[#This Row],[_Res1Row]]),TRIM(LEFT(Tasks[[#This Row],[_Res1Text]],FIND("[",Tasks[[#This Row],[_Res1Text]]&amp;"[")-1))))</f>
        <v/>
      </c>
      <c r="DT5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5" s="43" t="n">
        <f aca="false">IF(NOT(Tasks[[#This Row],[_IsLeaf]]=1),0,(Tasks[[#This Row],[_Resource1]]&lt;&gt;"")+(Tasks[[#This Row],[_Res2]]&lt;&gt;"")+(Tasks[[#This Row],[_Res3]]&lt;&gt;"")+(Tasks[[#This Row],[_Res4]]&lt;&gt;""))</f>
        <v>0</v>
      </c>
      <c r="DV55" s="43" t="str">
        <f aca="false">IF(Tasks[[#This Row],[_Res2Text]]="","",IF(Tasks[[#This Row],[_Res2Row]]&gt;0,INDEX(res_Name,Tasks[[#This Row],[_Res2Row]]),TRIM(LEFT(Tasks[[#This Row],[_Res2Text]],FIND("[",Tasks[[#This Row],[_Res2Text]]&amp;"[")-1))))</f>
        <v/>
      </c>
      <c r="DW5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5" s="43" t="n">
        <f aca="false">IF(OR(NOT(Tasks[[#This Row],[_IsLeaf]]=1),Tasks[[#This Row],[_Res2Row]]=0),0,N(Tasks[[#This Row],[_Days]])*HoursPerDay*IF(Tasks[[#This Row],[_Res2Units]]="",DefaultUnits,Tasks[[#This Row],[_Res2Units]]))</f>
        <v>0</v>
      </c>
      <c r="DY55" s="43" t="n">
        <f aca="false">IF(AND(AND(Tasks[[#This Row],[_IsLeaf]]=1,Tasks[[#This Row],[_LeafTotalWork]]&gt;0),Tasks[[#This Row],[_Res2Work]]&gt;0),Tasks[[#This Row],[_Res2Work]]/(Tasks[[#This Row],[_FinishWorkday]]-Tasks[[#This Row],[_StartWorkday]]+1),0)</f>
        <v>0</v>
      </c>
      <c r="DZ55" s="43" t="n">
        <f aca="false">Tasks[[#This Row],[_Res2WorkPerWD]]*MAX(0,Tasks[[#This Row],[_StartWorkday]]-1)</f>
        <v>0</v>
      </c>
      <c r="EA55" s="43" t="n">
        <f aca="false">Tasks[[#This Row],[_Res2Work]]*Tasks[[#This Row],[_LeafProgress]]</f>
        <v>0</v>
      </c>
      <c r="EB55" s="43" t="str">
        <f aca="false">IF(Tasks[[#This Row],[_Res3Text]]="","",IF(Tasks[[#This Row],[_Res3Row]]&gt;0,INDEX(res_Name,Tasks[[#This Row],[_Res3Row]]),TRIM(LEFT(Tasks[[#This Row],[_Res3Text]],FIND("[",Tasks[[#This Row],[_Res3Text]]&amp;"[")-1))))</f>
        <v/>
      </c>
      <c r="EC5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5" s="43" t="n">
        <f aca="false">IF(OR(NOT(Tasks[[#This Row],[_IsLeaf]]=1),Tasks[[#This Row],[_Res3Row]]=0),0,N(Tasks[[#This Row],[_Days]])*HoursPerDay*IF(Tasks[[#This Row],[_Res3Units]]="",DefaultUnits,Tasks[[#This Row],[_Res3Units]]))</f>
        <v>0</v>
      </c>
      <c r="EE55" s="43" t="n">
        <f aca="false">IF(AND(AND(Tasks[[#This Row],[_IsLeaf]]=1,Tasks[[#This Row],[_LeafTotalWork]]&gt;0),Tasks[[#This Row],[_Res3Work]]&gt;0),Tasks[[#This Row],[_Res3Work]]/(Tasks[[#This Row],[_FinishWorkday]]-Tasks[[#This Row],[_StartWorkday]]+1),0)</f>
        <v>0</v>
      </c>
      <c r="EF55" s="43" t="n">
        <f aca="false">Tasks[[#This Row],[_Res3WorkPerWD]]*MAX(0,Tasks[[#This Row],[_StartWorkday]]-1)</f>
        <v>0</v>
      </c>
      <c r="EG55" s="43" t="n">
        <f aca="false">Tasks[[#This Row],[_Res3Work]]*Tasks[[#This Row],[_LeafProgress]]</f>
        <v>0</v>
      </c>
      <c r="EH55" s="43" t="str">
        <f aca="false">IF(Tasks[[#This Row],[_Res4Text]]="","",IF(Tasks[[#This Row],[_Res4Row]]&gt;0,INDEX(res_Name,Tasks[[#This Row],[_Res4Row]]),TRIM(LEFT(Tasks[[#This Row],[_Res4Text]],FIND("[",Tasks[[#This Row],[_Res4Text]]&amp;"[")-1))))</f>
        <v/>
      </c>
      <c r="EI5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5" s="43" t="n">
        <f aca="false">IF(OR(NOT(Tasks[[#This Row],[_IsLeaf]]=1),Tasks[[#This Row],[_Res4Row]]=0),0,N(Tasks[[#This Row],[_Days]])*HoursPerDay*IF(Tasks[[#This Row],[_Res4Units]]="",DefaultUnits,Tasks[[#This Row],[_Res4Units]]))</f>
        <v>0</v>
      </c>
      <c r="EK55" s="43" t="n">
        <f aca="false">IF(AND(AND(Tasks[[#This Row],[_IsLeaf]]=1,Tasks[[#This Row],[_LeafTotalWork]]&gt;0),Tasks[[#This Row],[_Res4Work]]&gt;0),Tasks[[#This Row],[_Res4Work]]/(Tasks[[#This Row],[_FinishWorkday]]-Tasks[[#This Row],[_StartWorkday]]+1),0)</f>
        <v>0</v>
      </c>
      <c r="EL55" s="43" t="n">
        <f aca="false">Tasks[[#This Row],[_Res4WorkPerWD]]*MAX(0,Tasks[[#This Row],[_StartWorkday]]-1)</f>
        <v>0</v>
      </c>
      <c r="EM55" s="43" t="n">
        <f aca="false">Tasks[[#This Row],[_Res4Work]]*Tasks[[#This Row],[_LeafProgress]]</f>
        <v>0</v>
      </c>
      <c r="EN55" s="43" t="n">
        <f aca="false">IF(ISNUMBER(Tasks[[#This Row],[% Complete]]),Tasks[[#This Row],[% Complete]],IF(Tasks[[#This Row],[Stage]]="",0,IFERROR(INDEX(stg_Pct,MATCH(Tasks[[#This Row],[Stage]],stg_Name,0)),0)))</f>
        <v>0</v>
      </c>
      <c r="EO55" s="43" t="n">
        <f aca="false">IF(NOT(Tasks[[#This Row],[_IsLeaf]]=1),0,IF(N(Tasks[[#This Row],[Actual Finish]])&gt;0,1,MIN(1,Tasks[[#This Row],[_Pct]])))</f>
        <v>0</v>
      </c>
      <c r="EP55" s="43" t="n">
        <f aca="false">IF(OR(NOT(Tasks[[#This Row],[_IsLeaf]]=1),Tasks[[#This Row],[_Res1Row]]=0),0,N(Tasks[[#This Row],[_Days]])*HoursPerDay*IF(Tasks[[#This Row],[_Units1]]="",DefaultUnits,Tasks[[#This Row],[_Units1]]))</f>
        <v>0</v>
      </c>
      <c r="EQ55" s="43" t="n">
        <f aca="false">Tasks[[#This Row],[_LeafWork]]+Tasks[[#This Row],[_Res2Work]]+Tasks[[#This Row],[_Res3Work]]+Tasks[[#This Row],[_Res4Work]]</f>
        <v>0</v>
      </c>
      <c r="ER5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5" s="43" t="n">
        <f aca="false">IF(NOT(Tasks[[#This Row],[_IsLeaf]]=1),0,MAX(_xlfn.MAXIFS(Tasks[_Row],Tasks[_Pred1UID],Tasks[[#This Row],[UID]]),_xlfn.MAXIFS(Tasks[_Row],Tasks[_Pred2UID],Tasks[[#This Row],[UID]]),_xlfn.MAXIFS(Tasks[_Row],Tasks[_Pred3UID],Tasks[[#This Row],[UID]]),_xlfn.MAXIFS(Tasks[_Row],Tasks[_Pred4UID],Tasks[[#This Row],[UID]])))</f>
        <v>0</v>
      </c>
      <c r="FA5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5" s="91" t="str">
        <f aca="false">IF(NOT(Tasks[[#This Row],[_IsLeaf]]=1),"",IF(N(Tasks[[#This Row],[_Days]])&lt;=0,Tasks[[#This Row],[_LeafLateFinish]],WORKDAY.INTL(Tasks[[#This Row],[_LeafLateFinish]],-(Tasks[[#This Row],[_Days]]-1),WorkWeek,Holidays)))</f>
        <v/>
      </c>
      <c r="FD5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5" s="90" t="b">
        <f aca="false">AND(Tasks[[#This Row],[_IsLeaf]]=1,Tasks[[#This Row],[_LeafProgress]]&lt;1,N(Tasks[[#This Row],[_LeafTotalSlack]])&lt;=CriticalSlackDays)</f>
        <v>0</v>
      </c>
      <c r="FF55" s="43" t="n">
        <f aca="false">IF(AND(Tasks[[#This Row],[_IsLeaf]]=1,Tasks[[#This Row],[_ConstraintCode]]=1,Tasks[[#This Row],[Mode]]&lt;&gt;"Manual",N(Tasks[[#This Row],[Actual Start]])=0),MAX(0,N(Tasks[[#This Row],[Free Slack]])),0)</f>
        <v>0</v>
      </c>
      <c r="FG55" s="91" t="str">
        <f aca="false">IF(NOT(Tasks[[#This Row],[_IsLeaf]]=1),"",IF(Tasks[[#This Row],[_AlapShift]]=0,Tasks[[#This Row],[_LeafCalcStart]],WORKDAY.INTL(Tasks[[#This Row],[_LeafCalcStart]],Tasks[[#This Row],[_AlapShift]],WorkWeek,Holidays)))</f>
        <v/>
      </c>
      <c r="FH55" s="91" t="str">
        <f aca="false">IF(NOT(Tasks[[#This Row],[_IsLeaf]]=1),"",IF(Tasks[[#This Row],[_AlapShift]]=0,Tasks[[#This Row],[_LeafCalcFinish]],WORKDAY.INTL(Tasks[[#This Row],[_LeafCalcFinish]],Tasks[[#This Row],[_AlapShift]],WorkWeek,Holidays)))</f>
        <v/>
      </c>
      <c r="FI55" s="91" t="str">
        <f aca="false">IF(NOT(Tasks[[#This Row],[_IsLeaf]]=1),"",IF(Tasks[[#This Row],[_AlapShift]]=0,Tasks[[#This Row],[_LeafFcstStart]],WORKDAY.INTL(Tasks[[#This Row],[_LeafFcstStart]],Tasks[[#This Row],[_AlapShift]],WorkWeek,Holidays)))</f>
        <v/>
      </c>
      <c r="FJ55" s="91" t="str">
        <f aca="false">IF(NOT(Tasks[[#This Row],[_IsLeaf]]=1),"",IF(Tasks[[#This Row],[_AlapShift]]=0,Tasks[[#This Row],[_LeafFcstFinish]],WORKDAY.INTL(Tasks[[#This Row],[_LeafFcstFinish]],Tasks[[#This Row],[_AlapShift]],WorkWeek,Holidays)))</f>
        <v/>
      </c>
      <c r="FK55" s="91" t="str">
        <f aca="false">IF(Tasks[[#This Row],[Task Name]]="","",IF(Tasks[[#This Row],[_IsSummary]],MIN(INDEX(Tasks[_ShownCalcStart],Tasks[[#This Row],[_Row]]+1):INDEX(Tasks[_ShownCalcStart],Tasks[[#This Row],[_Row]]+Tasks[[#This Row],[_Descendants]])),Tasks[[#This Row],[_ShownCalcStart]]))</f>
        <v/>
      </c>
      <c r="FL55" s="91" t="str">
        <f aca="false">IF(Tasks[[#This Row],[Task Name]]="","",IF(Tasks[[#This Row],[_IsSummary]],MAX(INDEX(Tasks[_ShownCalcFinish],Tasks[[#This Row],[_Row]]+1):INDEX(Tasks[_ShownCalcFinish],Tasks[[#This Row],[_Row]]+Tasks[[#This Row],[_Descendants]])),Tasks[[#This Row],[_ShownCalcFinish]]))</f>
        <v/>
      </c>
      <c r="FM5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5" s="43" t="n">
        <f aca="false">IF(AND(Tasks[[#This Row],[_IsLeaf]]=1,Tasks[[#This Row],[_LeafTotalWork]]&gt;0),NETWORKDAYS.INTL(ProjectStart,Tasks[[#This Row],[_ShownFcstStart]],WorkWeek,Holidays),0)</f>
        <v>0</v>
      </c>
      <c r="FZ55" s="43" t="n">
        <f aca="false">IF(AND(Tasks[[#This Row],[_IsLeaf]]=1,Tasks[[#This Row],[_LeafTotalWork]]&gt;0),MAX(Tasks[[#This Row],[_StartWorkday]],NETWORKDAYS.INTL(ProjectStart,Tasks[[#This Row],[_ShownFcstFinish]],WorkWeek,Holidays)),0)</f>
        <v>0</v>
      </c>
      <c r="GA55" s="43" t="n">
        <f aca="false">IF(AND(Tasks[[#This Row],[_IsLeaf]]=1,Tasks[[#This Row],[_LeafTotalWork]]&gt;0),Tasks[[#This Row],[_LeafWork]]/(Tasks[[#This Row],[_FinishWorkday]]-Tasks[[#This Row],[_StartWorkday]]+1),0)</f>
        <v>0</v>
      </c>
      <c r="GB55" s="43" t="n">
        <f aca="false">Tasks[[#This Row],[_WorkPerWorkday]]*(Tasks[[#This Row],[_StartWorkday]]-1)</f>
        <v>-0</v>
      </c>
      <c r="GC55" s="43" t="n">
        <f aca="false">IF(Tasks[[#This Row],[_IsLeaf]]=1,MAX(N(Tasks[[#This Row],[_Days]]),0.1),0)</f>
        <v>0</v>
      </c>
      <c r="GD55" s="43" t="n">
        <f aca="false">Tasks[[#This Row],[_WeightDur]]*Tasks[[#This Row],[_LeafProgress]]</f>
        <v>0</v>
      </c>
      <c r="GE55" s="43" t="n">
        <f aca="false">Tasks[[#This Row],[_WeightDur]]*Tasks[[#This Row],[_PlannedPct]]</f>
        <v>0</v>
      </c>
      <c r="GF5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5" s="43" t="str">
        <f aca="false">IF(AND(Tasks[[#This Row],[_IsLeaf]]=1,N(Tasks[[#This Row],[_Days]])=0,Tasks[[#This Row],[_LeafProgress]]&lt;1),Tasks[[#This Row],[_ShownFcstFinish]]+Tasks[[#This Row],[_Row]]/100000,"")</f>
        <v/>
      </c>
      <c r="GH5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5" s="43" t="str">
        <f aca="false">IF(Tasks[[#This Row],[Task Name]]="","",LEFT(Tasks[[#This Row],[WBS]],FIND(".",Tasks[[#This Row],[WBS]]&amp;".")-1))</f>
        <v/>
      </c>
      <c r="GJ55" s="43" t="str">
        <f aca="false">IF(AND(Tasks[[#This Row],[Task Name]]&lt;&gt;"",Tasks[[#This Row],[_Level]]=1),Tasks[[#This Row],[_Row]],"")</f>
        <v/>
      </c>
      <c r="GK55" s="43" t="str">
        <f aca="false">IF(AND(Tasks[[#This Row],[_IsLeaf]]=1,N(Tasks[[#This Row],[_Days]])=0),Tasks[[#This Row],[Planned Finish]]+Tasks[[#This Row],[_Row]]/100000,"")</f>
        <v/>
      </c>
      <c r="GL55" s="43" t="str">
        <f aca="false">IF(AND(Tasks[[#This Row],[_IsLeaf]]=1,Tasks[[#This Row],[_LeafProgress]]&lt;1,OR(N(Tasks[[#This Row],[Finish Var]])&gt;0,Tasks[[#This Row],[Status]]="Late Start")),MAX(0,Tasks[[#This Row],[Finish Var]])+1-Tasks[[#This Row],[_Row]]/1000000,"")</f>
        <v/>
      </c>
      <c r="GM55" s="43" t="str">
        <f aca="false">IF(AND(Tasks[[#This Row],[_IsLeaf]]=1,N(Tasks[[#This Row],[Actual Start]])=0,Tasks[[#This Row],[_ShownFcstStart]]&gt;=StatusDate,Tasks[[#This Row],[_ShownFcstStart]]&lt;=LookaheadEnd),Tasks[[#This Row],[_ShownFcstStart]]+Tasks[[#This Row],[_Row]]/100000,"")</f>
        <v/>
      </c>
      <c r="GN55" s="43" t="str">
        <f aca="false">IF(AND(Tasks[[#This Row],[_IsLeaf]]=1,Tasks[[#This Row],[_LeafProgress]]&lt;1,Tasks[[#This Row],[_ShownFcstFinish]]&gt;=StatusDate,Tasks[[#This Row],[_ShownFcstFinish]]&lt;=LookaheadEnd),Tasks[[#This Row],[_ShownFcstFinish]]+Tasks[[#This Row],[_Row]]/100000,"")</f>
        <v/>
      </c>
      <c r="GO55" s="43" t="str">
        <f aca="false">IF(Tasks[[#This Row],[_LeafCritical]],Tasks[[#This Row],[_ShownFcstStart]]+Tasks[[#This Row],[_Row]]/100000,"")</f>
        <v/>
      </c>
      <c r="GP55" s="43" t="n">
        <f aca="false">Tasks[[#This Row],[_LeafWork]]*Tasks[[#This Row],[_LeafProgress]]</f>
        <v>0</v>
      </c>
      <c r="GQ55" s="91" t="str">
        <f aca="false">IF(AND(Tasks[[#This Row],[_IsLeaf]]=1,Tasks[[#This Row],[_LeafProgress]]&gt;=1),IF(N(Tasks[[#This Row],[Actual Finish]])&gt;0,Tasks[[#This Row],[Actual Finish]],Tasks[[#This Row],[_ShownFcstFinish]]),"")</f>
        <v/>
      </c>
      <c r="GR55" s="43" t="n">
        <f aca="false">IF(Tasks[[#This Row],[_IsLeaf]]=1,N(Tasks[[#This Row],[Story Points]]),0)</f>
        <v>0</v>
      </c>
      <c r="GS55" s="43" t="str">
        <f aca="false">""</f>
        <v/>
      </c>
      <c r="GT55" s="90" t="b">
        <f aca="false">IF(Tasks[[#This Row],[Task Name]]="",FALSE(),AND(Tasks[[#This Row],[_IsLeaf]]=1,N(Tasks[[#This Row],[_Days]])=0))</f>
        <v>0</v>
      </c>
      <c r="GU55" s="91" t="n">
        <f aca="false">IF(Tasks[[#This Row],[Task Name]]="",0,IF(AND(Tasks[[#This Row],[_IsLeaf]]=1,NOT(Tasks[[#This Row],[_IsMilestone]]),N(Tasks[[#This Row],[Progress]])&gt;0),Tasks[[#This Row],[Start]],0))</f>
        <v>0</v>
      </c>
      <c r="GV55" s="91" t="n">
        <f aca="false">IF(Tasks[[#This Row],[_DoneFrom]]=0,0,IF(Tasks[[#This Row],[Progress]]&gt;=1,Tasks[[#This Row],[Finish]],MAX(Tasks[[#This Row],[_DoneFrom]],Tasks[[#This Row],[Start]]+ROUND((Tasks[[#This Row],[Finish]]-Tasks[[#This Row],[Start]]+1)*Tasks[[#This Row],[Progress]],0)-1)))</f>
        <v>0</v>
      </c>
      <c r="GW55" s="91" t="n">
        <f aca="false">IF(Tasks[[#This Row],[Task Name]]="",0,IF(OR(NOT(Tasks[[#This Row],[_IsLeaf]]=1),Tasks[[#This Row],[_IsMilestone]],N(Tasks[[#This Row],[Progress]])&gt;=1),0,IF(Tasks[[#This Row],[_DoneTo]]&gt;0,Tasks[[#This Row],[_DoneTo]]+1,Tasks[[#This Row],[Start]])))</f>
        <v>0</v>
      </c>
      <c r="GX55" s="91" t="n">
        <f aca="false">IF(Tasks[[#This Row],[_RemFrom]]=0,0,Tasks[[#This Row],[Finish]])</f>
        <v>0</v>
      </c>
      <c r="GY55" s="90" t="b">
        <f aca="false">IF(Tasks[[#This Row],[Task Name]]="",FALSE(),OR(NOT(BaselineSet),N(Tasks[[#This Row],[Baseline Start]])&gt;0))</f>
        <v>0</v>
      </c>
      <c r="GZ5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5" s="92" t="str">
        <f aca="false">IF(Tasks[[#This Row],[_IsLeaf]]=1,Tasks[[#This Row],[_Row]],"")</f>
        <v/>
      </c>
      <c r="HD55" s="92" t="str">
        <f aca="false">IFERROR(INDEX(Tasks[UID],SMALL(Tasks[_PickKey],Tasks[[#This Row],[_Row]]))&amp;" "&amp;INDEX(Tasks[Task Name],SMALL(Tasks[_PickKey],Tasks[[#This Row],[_Row]])),"")</f>
        <v/>
      </c>
      <c r="HE55" s="43" t="str">
        <f aca="false">IF(Tasks[[#This Row],[Task Name]]="","",IF(Tasks[[#This Row],[_IsSummary]],NETWORKDAYS.INTL(Tasks[[#This Row],[Start]],Tasks[[#This Row],[Finish]],WorkWeek,Holidays),N(Tasks[[#This Row],[_Days]])))</f>
        <v/>
      </c>
      <c r="HF55" s="43" t="n">
        <f aca="false">IF(Tasks[[#This Row],[Expected]]="",0,((Tasks[[#This Row],[Pessimistic]]-Tasks[[#This Row],[Optimistic]])/6)^2)</f>
        <v>0</v>
      </c>
      <c r="HG55" s="43" t="n">
        <f aca="false">IF(Tasks[[#This Row],[Expected]]="",0,Tasks[[#This Row],[Expected]]-N(Tasks[[#This Row],[_Days]]))</f>
        <v>0</v>
      </c>
    </row>
    <row r="56" customFormat="false" ht="15" hidden="false" customHeight="false" outlineLevel="0" collapsed="false">
      <c r="A56" s="21" t="str">
        <f aca="false">IF(Tasks[[#This Row],[Task Name]]="","",COUNTA(Tasks[[#Headers],[Task Name]]:Tasks[[#This Row],[Task Name]])-1)</f>
        <v/>
      </c>
      <c r="B56" s="22" t="n">
        <v>64</v>
      </c>
      <c r="C56" s="22"/>
      <c r="D56" s="23"/>
      <c r="E56" s="22"/>
      <c r="F56" s="23"/>
      <c r="G56" s="22"/>
      <c r="H56" s="22"/>
      <c r="I56" s="23"/>
      <c r="J56" s="22"/>
      <c r="K56" s="22"/>
      <c r="L56" s="23"/>
      <c r="M56" s="22"/>
      <c r="N56" s="22"/>
      <c r="O56" s="23"/>
      <c r="P56" s="22"/>
      <c r="Q56" s="22"/>
      <c r="R56" s="23"/>
      <c r="S56" s="23"/>
      <c r="T56" s="84"/>
      <c r="U56" s="23"/>
      <c r="V56" s="84"/>
      <c r="W56" s="23"/>
      <c r="X56" s="84"/>
      <c r="Y56" s="23"/>
      <c r="Z56" s="84"/>
      <c r="AA56" s="23"/>
      <c r="AB56" s="23"/>
      <c r="AC56" s="7"/>
      <c r="AD56" s="7"/>
      <c r="AE56" s="63" t="str">
        <f aca="false">IF(Tasks[[#This Row],[Task Name]]="","",IF(Tasks[[#This Row],[_IsSummary]],MIN(INDEX(Tasks[_ShownFcstStart],Tasks[[#This Row],[_Row]]+1):INDEX(Tasks[_ShownFcstStart],Tasks[[#This Row],[_Row]]+Tasks[[#This Row],[_Descendants]])),Tasks[[#This Row],[_ShownFcstStart]]))</f>
        <v/>
      </c>
      <c r="AF56" s="63" t="str">
        <f aca="false">IF(Tasks[[#This Row],[Task Name]]="","",IF(Tasks[[#This Row],[_IsSummary]],MAX(INDEX(Tasks[_ShownFcstFinish],Tasks[[#This Row],[_Row]]+1):INDEX(Tasks[_ShownFcstFinish],Tasks[[#This Row],[_Row]]+Tasks[[#This Row],[_Descendants]])),Tasks[[#This Row],[_ShownFcstFinish]]))</f>
        <v/>
      </c>
      <c r="AG56" s="21" t="str">
        <f aca="false">""</f>
        <v/>
      </c>
      <c r="AH56" s="23"/>
      <c r="AI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6" s="7"/>
      <c r="AK56" s="22"/>
      <c r="AL56" s="23"/>
      <c r="AM56" s="7"/>
      <c r="AN56" s="47" t="str">
        <f aca="false">IF(Tasks[[#This Row],[Task Name]]="","",IF(Tasks[[#This Row],[Finish]]&gt;=Tasks[[#This Row],[Planned Finish]],NETWORKDAYS.INTL(Tasks[[#This Row],[Planned Finish]],Tasks[[#This Row],[Finish]],WorkWeek,Holidays)-1,1-NETWORKDAYS.INTL(Tasks[[#This Row],[Finish]],Tasks[[#This Row],[Planned Finish]],WorkWeek,Holidays)))</f>
        <v/>
      </c>
      <c r="AO56" s="21" t="str">
        <f aca="false">IF(Tasks[[#This Row],[Task Name]]="","",IF(Tasks[[#This Row],[Progress]]&gt;=1,"Complete",IF(OR(N(Tasks[[#This Row],[Actual Start]])&gt;0,Tasks[[#This Row],[Progress]]&gt;0),IF(Tasks[[#This Row],[Finish Var]]&gt;0,"Behind","In Progress"),IF(Tasks[[#This Row],[Planned Start]]&lt;StatusDate,"Late Start","Not Started"))))</f>
        <v/>
      </c>
      <c r="AP56" s="21" t="str">
        <f aca="false">IF(Tasks[[#This Row],[Task Name]]="","",IF(IF(Tasks[[#This Row],[_IsSummary]],COUNTIF(INDEX(Tasks[_LeafCritical],Tasks[[#This Row],[_Row]]+1):INDEX(Tasks[_LeafCritical],Tasks[[#This Row],[_Row]]+Tasks[[#This Row],[_Descendants]]),TRUE())&gt;0,Tasks[[#This Row],[_LeafCritical]]),"Yes",""))</f>
        <v/>
      </c>
      <c r="AQ56" s="63" t="str">
        <f aca="false">IF(Tasks[[#This Row],[Task Name]]="","",IF(N(Tasks[[#This Row],[Baseline Start]])&gt;0,Tasks[[#This Row],[Baseline Start]],Tasks[[#This Row],[_CalcStart]]))</f>
        <v/>
      </c>
      <c r="AR56" s="63" t="str">
        <f aca="false">IF(Tasks[[#This Row],[Task Name]]="","",IF(N(Tasks[[#This Row],[Baseline Finish]])&gt;0,Tasks[[#This Row],[Baseline Finish]],Tasks[[#This Row],[_CalcFinish]]))</f>
        <v/>
      </c>
      <c r="AS56" s="47" t="str">
        <f aca="false">IF(Tasks[[#This Row],[Task Name]]="","",IF(Tasks[[#This Row],[Start]]&gt;=Tasks[[#This Row],[Planned Start]],NETWORKDAYS.INTL(Tasks[[#This Row],[Planned Start]],Tasks[[#This Row],[Start]],WorkWeek,Holidays)-1,1-NETWORKDAYS.INTL(Tasks[[#This Row],[Start]],Tasks[[#This Row],[Planned Start]],WorkWeek,Holidays)))</f>
        <v/>
      </c>
      <c r="AT56" s="63" t="str">
        <f aca="false">IF(Tasks[[#This Row],[Task Name]]="","",IF(Tasks[[#This Row],[_IsSummary]],MIN(INDEX(Tasks[_LeafLateStart],Tasks[[#This Row],[_Row]]+1):INDEX(Tasks[_LeafLateStart],Tasks[[#This Row],[_Row]]+Tasks[[#This Row],[_Descendants]])),Tasks[[#This Row],[_LeafLateStart]]))</f>
        <v/>
      </c>
      <c r="AU56" s="63" t="str">
        <f aca="false">IF(Tasks[[#This Row],[Task Name]]="","",IF(Tasks[[#This Row],[_IsSummary]],MAX(INDEX(Tasks[_LeafLateFinish],Tasks[[#This Row],[_Row]]+1):INDEX(Tasks[_LeafLateFinish],Tasks[[#This Row],[_Row]]+Tasks[[#This Row],[_Descendants]])),Tasks[[#This Row],[_LeafLateFinish]]))</f>
        <v/>
      </c>
      <c r="AV56" s="47" t="str">
        <f aca="false">IF(Tasks[[#This Row],[Task Name]]="","",IF(Tasks[[#This Row],[_IsSummary]],MIN(INDEX(Tasks[_LeafTotalSlack],Tasks[[#This Row],[_Row]]+1):INDEX(Tasks[_LeafTotalSlack],Tasks[[#This Row],[_Row]]+Tasks[[#This Row],[_Descendants]])),Tasks[[#This Row],[_LeafTotalSlack]]))</f>
        <v/>
      </c>
      <c r="AW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5"/>
      <c r="BA5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1" t="str">
        <f aca="false">IF(Tasks[[#This Row],[Task Name]]="","",IF(Tasks[[#This Row],[_Level]]&lt;=OutlineShowLevel,"Yes","No"))</f>
        <v/>
      </c>
      <c r="BE56" s="86" t="str">
        <f aca="false">IF(Tasks[[#This Row],[Task Name]]="","",IF(Tasks[[#This Row],[_IsSummary]],SUM(INDEX(Tasks[_LeafTotalWork],Tasks[[#This Row],[_Row]]+1):INDEX(Tasks[_LeafTotalWork],Tasks[[#This Row],[_Row]]+Tasks[[#This Row],[_Descendants]])),Tasks[[#This Row],[_LeafTotalWork]]))</f>
        <v/>
      </c>
      <c r="BF56" s="23"/>
      <c r="BG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6" s="21" t="str">
        <f aca="false">""</f>
        <v/>
      </c>
      <c r="BI56" s="87"/>
      <c r="BJ56" s="22"/>
      <c r="BK56" s="47" t="str">
        <f aca="false">IF(OR(Tasks[[#This Row],[Task Name]]="",Tasks[[#This Row],[Baseline Duration]]=""),"",Tasks[[#This Row],[_SpanDays]]-N(Tasks[[#This Row],[Baseline Duration]]))</f>
        <v/>
      </c>
      <c r="BL56" s="86" t="str">
        <f aca="false">IF(OR(Tasks[[#This Row],[Task Name]]="",Tasks[[#This Row],[Baseline Work]]=""),"",Tasks[[#This Row],[Work]]-N(Tasks[[#This Row],[Baseline Work]]))</f>
        <v/>
      </c>
      <c r="BM56" s="63" t="str">
        <f aca="false">IF(Tasks[[#This Row],[Task Name]]="","",IF(OR(TakeBaseline="Yes",N(Tasks[[#This Row],[Baseline Start]])=0),Tasks[[#This Row],[Start]],Tasks[[#This Row],[Baseline Start]]))</f>
        <v/>
      </c>
      <c r="BN56" s="63" t="str">
        <f aca="false">IF(Tasks[[#This Row],[Task Name]]="","",IF(OR(TakeBaseline="Yes",N(Tasks[[#This Row],[Baseline Finish]])=0),Tasks[[#This Row],[Finish]],Tasks[[#This Row],[Baseline Finish]]))</f>
        <v/>
      </c>
      <c r="BO56" s="21" t="str">
        <f aca="false">IF(Tasks[[#This Row],[Task Name]]="","",IF(OR(TakeBaseline="Yes",N(Tasks[[#This Row],[Baseline Duration]])=0),Tasks[[#This Row],[_SpanDays]],Tasks[[#This Row],[Baseline Duration]]))</f>
        <v/>
      </c>
      <c r="BP56" s="86" t="str">
        <f aca="false">IF(Tasks[[#This Row],[Task Name]]="","",IF(OR(TakeBaseline="Yes",N(Tasks[[#This Row],[Baseline Work]])=0),Tasks[[#This Row],[Work]],Tasks[[#This Row],[Baseline Work]]))</f>
        <v/>
      </c>
      <c r="BQ56" s="7"/>
      <c r="BR56" s="7"/>
      <c r="BS56" s="22"/>
      <c r="BT56" s="88"/>
      <c r="BU56" s="23"/>
      <c r="BV56" s="23"/>
      <c r="BW56" s="23"/>
      <c r="BX56" s="89" t="str">
        <f aca="false">IF(AND(Tasks[[#This Row],[_IsLeaf]]=1,ISNUMBER(Tasks[[#This Row],[Optimistic]]),ISNUMBER(Tasks[[#This Row],[Pessimistic]])),ROUND((Tasks[[#This Row],[Optimistic]]+4*N(Tasks[[#This Row],[_Days]])+Tasks[[#This Row],[Pessimistic]])/6,1),"")</f>
        <v/>
      </c>
      <c r="BY56" s="87"/>
      <c r="BZ56" s="87"/>
      <c r="CA56" s="22"/>
      <c r="CB56" s="43" t="str">
        <f aca="false">IF(Tasks[[#This Row],[Task Name]]="","",MAX(1,N(Tasks[[#This Row],[Level]])))</f>
        <v/>
      </c>
      <c r="CC56" s="43" t="n">
        <f aca="false">ROW()-ROW(Tasks[[#Headers],[ID]])</f>
        <v>51</v>
      </c>
      <c r="CD56" s="43" t="n">
        <f aca="false">IF(OR(Tasks[[#This Row],[Task Name]]="",Tasks[[#This Row],[_Level]]&lt;=1),0,IFERROR(LOOKUP(2,1/(Tasks[[#Headers],[_Level]]:Tasks[[#This Row],[_Level]]=Tasks[[#This Row],[_Level]]-1),ROW(Tasks[[#Headers],[_Level]]:Tasks[[#This Row],[_Level]])),0))</f>
        <v>0</v>
      </c>
      <c r="CE56" s="43" t="n">
        <f aca="false">IFERROR(N(INDEX(Tasks[_Level],Tasks[[#This Row],[_Row]]+1)),0)</f>
        <v>0</v>
      </c>
      <c r="CF56" s="90" t="b">
        <f aca="false">AND(Tasks[[#This Row],[Task Name]]&lt;&gt;"",Tasks[[#This Row],[_NextLevel]]&gt;Tasks[[#This Row],[_Level]])</f>
        <v>0</v>
      </c>
      <c r="CG56" s="43" t="n">
        <f aca="false">IF(Tasks[[#This Row],[_IsSummary]],COUNTIF(Tasks[WBS],Tasks[[#This Row],[WBS]]&amp;".*"),0)</f>
        <v>0</v>
      </c>
      <c r="CH56" s="43" t="n">
        <f aca="false">IF(AND(Tasks[[#This Row],[Task Name]]&lt;&gt;"",NOT(Tasks[[#This Row],[_IsSummary]])),1,0)</f>
        <v>0</v>
      </c>
      <c r="CI56" s="43" t="n">
        <f aca="false">IF(N(Tasks[[#This Row],[_Pred1UID]])=0,0,IFERROR(MATCH(Tasks[[#This Row],[_Pred1UID]],Tasks[UID],0),-1))</f>
        <v>0</v>
      </c>
      <c r="CJ56" s="43" t="n">
        <f aca="false">IF(N(Tasks[[#This Row],[_Pred2UID]])=0,0,IFERROR(MATCH(Tasks[[#This Row],[_Pred2UID]],Tasks[UID],0),-1))</f>
        <v>0</v>
      </c>
      <c r="CK56" s="43" t="n">
        <f aca="false">IF(N(Tasks[[#This Row],[_Pred3UID]])=0,0,IFERROR(MATCH(Tasks[[#This Row],[_Pred3UID]],Tasks[UID],0),-1))</f>
        <v>0</v>
      </c>
      <c r="CL56" s="43" t="n">
        <f aca="false">IF(N(Tasks[[#This Row],[_Pred4UID]])=0,0,IFERROR(MATCH(Tasks[[#This Row],[_Pred4UID]],Tasks[UID],0),-1))</f>
        <v>0</v>
      </c>
      <c r="CM5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6" s="91" t="n">
        <f aca="false">IF(OR(Tasks[[#This Row],[_ConstraintCode]]=2,Tasks[[#This Row],[_ConstraintCode]]=3,Tasks[[#This Row],[_ConstraintCode]]=4,Tasks[[#This Row],[_ConstraintCode]]=6),Tasks[[#This Row],[_ConstraintStart]],0)</f>
        <v>0</v>
      </c>
      <c r="CP56" s="91" t="n">
        <f aca="false">IF(OR(Tasks[[#This Row],[_ConstraintCode]]=2,Tasks[[#This Row],[_ConstraintCode]]=3,Tasks[[#This Row],[_ConstraintCode]]=5,Tasks[[#This Row],[_ConstraintCode]]=7),Tasks[[#This Row],[_ConstraintStart]],2958465)</f>
        <v>2958465</v>
      </c>
      <c r="CQ5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6" s="91" t="str">
        <f aca="false">IF(NOT(Tasks[[#This Row],[_IsLeaf]]=1),"",IF(N(Tasks[[#This Row],[_Days]])&lt;=0,Tasks[[#This Row],[_LeafCalcStart]],WORKDAY.INTL(Tasks[[#This Row],[_LeafCalcStart]],Tasks[[#This Row],[_Days]]-1,WorkWeek,Holidays)))</f>
        <v/>
      </c>
      <c r="CS5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6" s="43" t="str">
        <f aca="false">IF(Tasks[[#This Row],[_Predecessors]]="","",TRIM(MID(SUBSTITUTE(SUBSTITUTE(SUBSTITUTE(UPPER(Tasks[[#This Row],[_Predecessors]]),";",",")," ",""),",",REPT(" ",99)),1,99)))</f>
        <v/>
      </c>
      <c r="CV56" s="43" t="str">
        <f aca="false">IF(Tasks[[#This Row],[_Pred1Text]]="","",IFERROR(VALUE(LEFT(Tasks[[#This Row],[_Pred1Text]],MIN(FIND("F",Tasks[[#This Row],[_Pred1Text]]&amp;"F"),FIND("S",Tasks[[#This Row],[_Pred1Text]]&amp;"S"),FIND("+",Tasks[[#This Row],[_Pred1Text]]&amp;"+"),FIND("-",Tasks[[#This Row],[_Pred1Text]]&amp;"-"))-1)),""))</f>
        <v/>
      </c>
      <c r="CW5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6" s="43" t="str">
        <f aca="false">IF(Tasks[[#This Row],[_Pred1Text]]="","",TRIM(MID(SUBSTITUTE(SUBSTITUTE(SUBSTITUTE(UPPER(Tasks[[#This Row],[_Predecessors]]),";",",")," ",""),",",REPT(" ",99)),100,99)))</f>
        <v/>
      </c>
      <c r="CZ56" s="43" t="str">
        <f aca="false">IF(Tasks[[#This Row],[_Pred2Text]]="","",IFERROR(VALUE(LEFT(Tasks[[#This Row],[_Pred2Text]],MIN(FIND("F",Tasks[[#This Row],[_Pred2Text]]&amp;"F"),FIND("S",Tasks[[#This Row],[_Pred2Text]]&amp;"S"),FIND("+",Tasks[[#This Row],[_Pred2Text]]&amp;"+"),FIND("-",Tasks[[#This Row],[_Pred2Text]]&amp;"-"))-1)),""))</f>
        <v/>
      </c>
      <c r="DA5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6" s="43" t="str">
        <f aca="false">IF(Tasks[[#This Row],[_Pred2Text]]="","",TRIM(MID(SUBSTITUTE(SUBSTITUTE(SUBSTITUTE(UPPER(Tasks[[#This Row],[_Predecessors]]),";",",")," ",""),",",REPT(" ",99)),199,99)))</f>
        <v/>
      </c>
      <c r="DD56" s="43" t="str">
        <f aca="false">IF(Tasks[[#This Row],[_Pred3Text]]="","",IFERROR(VALUE(LEFT(Tasks[[#This Row],[_Pred3Text]],MIN(FIND("F",Tasks[[#This Row],[_Pred3Text]]&amp;"F"),FIND("S",Tasks[[#This Row],[_Pred3Text]]&amp;"S"),FIND("+",Tasks[[#This Row],[_Pred3Text]]&amp;"+"),FIND("-",Tasks[[#This Row],[_Pred3Text]]&amp;"-"))-1)),""))</f>
        <v/>
      </c>
      <c r="DE5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6" s="43" t="str">
        <f aca="false">IF(Tasks[[#This Row],[_Pred3Text]]="","",TRIM(MID(SUBSTITUTE(SUBSTITUTE(SUBSTITUTE(UPPER(Tasks[[#This Row],[_Predecessors]]),";",",")," ",""),",",REPT(" ",99)),298,99)))</f>
        <v/>
      </c>
      <c r="DH56" s="43" t="str">
        <f aca="false">IF(Tasks[[#This Row],[_Pred4Text]]="","",IFERROR(VALUE(LEFT(Tasks[[#This Row],[_Pred4Text]],MIN(FIND("F",Tasks[[#This Row],[_Pred4Text]]&amp;"F"),FIND("S",Tasks[[#This Row],[_Pred4Text]]&amp;"S"),FIND("+",Tasks[[#This Row],[_Pred4Text]]&amp;"+"),FIND("-",Tasks[[#This Row],[_Pred4Text]]&amp;"-"))-1)),""))</f>
        <v/>
      </c>
      <c r="DI5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6" s="43" t="str">
        <f aca="false">IF(OR(Tasks[[#This Row],[Task Name]]="",Tasks[[#This Row],[_Resources]]=""),"",TRIM(MID(SUBSTITUTE(Tasks[[#This Row],[_Resources]],",",REPT(" ",99)),1,99)))</f>
        <v/>
      </c>
      <c r="DL56" s="43" t="str">
        <f aca="false">IF(Tasks[[#This Row],[_Res1Text]]="","",TRIM(MID(SUBSTITUTE(Tasks[[#This Row],[_Resources]],",",REPT(" ",99)),100,99)))</f>
        <v/>
      </c>
      <c r="DM56" s="43" t="str">
        <f aca="false">IF(Tasks[[#This Row],[_Res2Text]]="","",TRIM(MID(SUBSTITUTE(Tasks[[#This Row],[_Resources]],",",REPT(" ",99)),199,99)))</f>
        <v/>
      </c>
      <c r="DN56" s="43" t="str">
        <f aca="false">IF(Tasks[[#This Row],[_Res3Text]]="","",TRIM(MID(SUBSTITUTE(Tasks[[#This Row],[_Resources]],",",REPT(" ",99)),298,99)))</f>
        <v/>
      </c>
      <c r="DO56" s="43" t="n">
        <f aca="false">IF(Tasks[[#This Row],[_Res1Text]]="",0,IFERROR(MATCH(TRIM(LEFT(Tasks[[#This Row],[_Res1Text]],FIND("[",Tasks[[#This Row],[_Res1Text]]&amp;"[")-1)),res_Name,0),IFERROR(MATCH(TRIM(LEFT(Tasks[[#This Row],[_Res1Text]],FIND("[",Tasks[[#This Row],[_Res1Text]]&amp;"[")-1)),res_Initials,0),0)))</f>
        <v>0</v>
      </c>
      <c r="DP56" s="43" t="n">
        <f aca="false">IF(Tasks[[#This Row],[_Res2Text]]="",0,IFERROR(MATCH(TRIM(LEFT(Tasks[[#This Row],[_Res2Text]],FIND("[",Tasks[[#This Row],[_Res2Text]]&amp;"[")-1)),res_Name,0),IFERROR(MATCH(TRIM(LEFT(Tasks[[#This Row],[_Res2Text]],FIND("[",Tasks[[#This Row],[_Res2Text]]&amp;"[")-1)),res_Initials,0),0)))</f>
        <v>0</v>
      </c>
      <c r="DQ56" s="43" t="n">
        <f aca="false">IF(Tasks[[#This Row],[_Res3Text]]="",0,IFERROR(MATCH(TRIM(LEFT(Tasks[[#This Row],[_Res3Text]],FIND("[",Tasks[[#This Row],[_Res3Text]]&amp;"[")-1)),res_Name,0),IFERROR(MATCH(TRIM(LEFT(Tasks[[#This Row],[_Res3Text]],FIND("[",Tasks[[#This Row],[_Res3Text]]&amp;"[")-1)),res_Initials,0),0)))</f>
        <v>0</v>
      </c>
      <c r="DR56" s="43" t="n">
        <f aca="false">IF(Tasks[[#This Row],[_Res4Text]]="",0,IFERROR(MATCH(TRIM(LEFT(Tasks[[#This Row],[_Res4Text]],FIND("[",Tasks[[#This Row],[_Res4Text]]&amp;"[")-1)),res_Name,0),IFERROR(MATCH(TRIM(LEFT(Tasks[[#This Row],[_Res4Text]],FIND("[",Tasks[[#This Row],[_Res4Text]]&amp;"[")-1)),res_Initials,0),0)))</f>
        <v>0</v>
      </c>
      <c r="DS56" s="43" t="str">
        <f aca="false">IF(Tasks[[#This Row],[_Res1Text]]="","",IF(Tasks[[#This Row],[_Res1Row]]&gt;0,INDEX(res_Name,Tasks[[#This Row],[_Res1Row]]),TRIM(LEFT(Tasks[[#This Row],[_Res1Text]],FIND("[",Tasks[[#This Row],[_Res1Text]]&amp;"[")-1))))</f>
        <v/>
      </c>
      <c r="DT5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6" s="43" t="n">
        <f aca="false">IF(NOT(Tasks[[#This Row],[_IsLeaf]]=1),0,(Tasks[[#This Row],[_Resource1]]&lt;&gt;"")+(Tasks[[#This Row],[_Res2]]&lt;&gt;"")+(Tasks[[#This Row],[_Res3]]&lt;&gt;"")+(Tasks[[#This Row],[_Res4]]&lt;&gt;""))</f>
        <v>0</v>
      </c>
      <c r="DV56" s="43" t="str">
        <f aca="false">IF(Tasks[[#This Row],[_Res2Text]]="","",IF(Tasks[[#This Row],[_Res2Row]]&gt;0,INDEX(res_Name,Tasks[[#This Row],[_Res2Row]]),TRIM(LEFT(Tasks[[#This Row],[_Res2Text]],FIND("[",Tasks[[#This Row],[_Res2Text]]&amp;"[")-1))))</f>
        <v/>
      </c>
      <c r="DW5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6" s="43" t="n">
        <f aca="false">IF(OR(NOT(Tasks[[#This Row],[_IsLeaf]]=1),Tasks[[#This Row],[_Res2Row]]=0),0,N(Tasks[[#This Row],[_Days]])*HoursPerDay*IF(Tasks[[#This Row],[_Res2Units]]="",DefaultUnits,Tasks[[#This Row],[_Res2Units]]))</f>
        <v>0</v>
      </c>
      <c r="DY56" s="43" t="n">
        <f aca="false">IF(AND(AND(Tasks[[#This Row],[_IsLeaf]]=1,Tasks[[#This Row],[_LeafTotalWork]]&gt;0),Tasks[[#This Row],[_Res2Work]]&gt;0),Tasks[[#This Row],[_Res2Work]]/(Tasks[[#This Row],[_FinishWorkday]]-Tasks[[#This Row],[_StartWorkday]]+1),0)</f>
        <v>0</v>
      </c>
      <c r="DZ56" s="43" t="n">
        <f aca="false">Tasks[[#This Row],[_Res2WorkPerWD]]*MAX(0,Tasks[[#This Row],[_StartWorkday]]-1)</f>
        <v>0</v>
      </c>
      <c r="EA56" s="43" t="n">
        <f aca="false">Tasks[[#This Row],[_Res2Work]]*Tasks[[#This Row],[_LeafProgress]]</f>
        <v>0</v>
      </c>
      <c r="EB56" s="43" t="str">
        <f aca="false">IF(Tasks[[#This Row],[_Res3Text]]="","",IF(Tasks[[#This Row],[_Res3Row]]&gt;0,INDEX(res_Name,Tasks[[#This Row],[_Res3Row]]),TRIM(LEFT(Tasks[[#This Row],[_Res3Text]],FIND("[",Tasks[[#This Row],[_Res3Text]]&amp;"[")-1))))</f>
        <v/>
      </c>
      <c r="EC5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6" s="43" t="n">
        <f aca="false">IF(OR(NOT(Tasks[[#This Row],[_IsLeaf]]=1),Tasks[[#This Row],[_Res3Row]]=0),0,N(Tasks[[#This Row],[_Days]])*HoursPerDay*IF(Tasks[[#This Row],[_Res3Units]]="",DefaultUnits,Tasks[[#This Row],[_Res3Units]]))</f>
        <v>0</v>
      </c>
      <c r="EE56" s="43" t="n">
        <f aca="false">IF(AND(AND(Tasks[[#This Row],[_IsLeaf]]=1,Tasks[[#This Row],[_LeafTotalWork]]&gt;0),Tasks[[#This Row],[_Res3Work]]&gt;0),Tasks[[#This Row],[_Res3Work]]/(Tasks[[#This Row],[_FinishWorkday]]-Tasks[[#This Row],[_StartWorkday]]+1),0)</f>
        <v>0</v>
      </c>
      <c r="EF56" s="43" t="n">
        <f aca="false">Tasks[[#This Row],[_Res3WorkPerWD]]*MAX(0,Tasks[[#This Row],[_StartWorkday]]-1)</f>
        <v>0</v>
      </c>
      <c r="EG56" s="43" t="n">
        <f aca="false">Tasks[[#This Row],[_Res3Work]]*Tasks[[#This Row],[_LeafProgress]]</f>
        <v>0</v>
      </c>
      <c r="EH56" s="43" t="str">
        <f aca="false">IF(Tasks[[#This Row],[_Res4Text]]="","",IF(Tasks[[#This Row],[_Res4Row]]&gt;0,INDEX(res_Name,Tasks[[#This Row],[_Res4Row]]),TRIM(LEFT(Tasks[[#This Row],[_Res4Text]],FIND("[",Tasks[[#This Row],[_Res4Text]]&amp;"[")-1))))</f>
        <v/>
      </c>
      <c r="EI5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6" s="43" t="n">
        <f aca="false">IF(OR(NOT(Tasks[[#This Row],[_IsLeaf]]=1),Tasks[[#This Row],[_Res4Row]]=0),0,N(Tasks[[#This Row],[_Days]])*HoursPerDay*IF(Tasks[[#This Row],[_Res4Units]]="",DefaultUnits,Tasks[[#This Row],[_Res4Units]]))</f>
        <v>0</v>
      </c>
      <c r="EK56" s="43" t="n">
        <f aca="false">IF(AND(AND(Tasks[[#This Row],[_IsLeaf]]=1,Tasks[[#This Row],[_LeafTotalWork]]&gt;0),Tasks[[#This Row],[_Res4Work]]&gt;0),Tasks[[#This Row],[_Res4Work]]/(Tasks[[#This Row],[_FinishWorkday]]-Tasks[[#This Row],[_StartWorkday]]+1),0)</f>
        <v>0</v>
      </c>
      <c r="EL56" s="43" t="n">
        <f aca="false">Tasks[[#This Row],[_Res4WorkPerWD]]*MAX(0,Tasks[[#This Row],[_StartWorkday]]-1)</f>
        <v>0</v>
      </c>
      <c r="EM56" s="43" t="n">
        <f aca="false">Tasks[[#This Row],[_Res4Work]]*Tasks[[#This Row],[_LeafProgress]]</f>
        <v>0</v>
      </c>
      <c r="EN56" s="43" t="n">
        <f aca="false">IF(ISNUMBER(Tasks[[#This Row],[% Complete]]),Tasks[[#This Row],[% Complete]],IF(Tasks[[#This Row],[Stage]]="",0,IFERROR(INDEX(stg_Pct,MATCH(Tasks[[#This Row],[Stage]],stg_Name,0)),0)))</f>
        <v>0</v>
      </c>
      <c r="EO56" s="43" t="n">
        <f aca="false">IF(NOT(Tasks[[#This Row],[_IsLeaf]]=1),0,IF(N(Tasks[[#This Row],[Actual Finish]])&gt;0,1,MIN(1,Tasks[[#This Row],[_Pct]])))</f>
        <v>0</v>
      </c>
      <c r="EP56" s="43" t="n">
        <f aca="false">IF(OR(NOT(Tasks[[#This Row],[_IsLeaf]]=1),Tasks[[#This Row],[_Res1Row]]=0),0,N(Tasks[[#This Row],[_Days]])*HoursPerDay*IF(Tasks[[#This Row],[_Units1]]="",DefaultUnits,Tasks[[#This Row],[_Units1]]))</f>
        <v>0</v>
      </c>
      <c r="EQ56" s="43" t="n">
        <f aca="false">Tasks[[#This Row],[_LeafWork]]+Tasks[[#This Row],[_Res2Work]]+Tasks[[#This Row],[_Res3Work]]+Tasks[[#This Row],[_Res4Work]]</f>
        <v>0</v>
      </c>
      <c r="ER5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6" s="43" t="n">
        <f aca="false">IF(NOT(Tasks[[#This Row],[_IsLeaf]]=1),0,MAX(_xlfn.MAXIFS(Tasks[_Row],Tasks[_Pred1UID],Tasks[[#This Row],[UID]]),_xlfn.MAXIFS(Tasks[_Row],Tasks[_Pred2UID],Tasks[[#This Row],[UID]]),_xlfn.MAXIFS(Tasks[_Row],Tasks[_Pred3UID],Tasks[[#This Row],[UID]]),_xlfn.MAXIFS(Tasks[_Row],Tasks[_Pred4UID],Tasks[[#This Row],[UID]])))</f>
        <v>0</v>
      </c>
      <c r="FA5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6" s="91" t="str">
        <f aca="false">IF(NOT(Tasks[[#This Row],[_IsLeaf]]=1),"",IF(N(Tasks[[#This Row],[_Days]])&lt;=0,Tasks[[#This Row],[_LeafLateFinish]],WORKDAY.INTL(Tasks[[#This Row],[_LeafLateFinish]],-(Tasks[[#This Row],[_Days]]-1),WorkWeek,Holidays)))</f>
        <v/>
      </c>
      <c r="FD5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6" s="90" t="b">
        <f aca="false">AND(Tasks[[#This Row],[_IsLeaf]]=1,Tasks[[#This Row],[_LeafProgress]]&lt;1,N(Tasks[[#This Row],[_LeafTotalSlack]])&lt;=CriticalSlackDays)</f>
        <v>0</v>
      </c>
      <c r="FF56" s="43" t="n">
        <f aca="false">IF(AND(Tasks[[#This Row],[_IsLeaf]]=1,Tasks[[#This Row],[_ConstraintCode]]=1,Tasks[[#This Row],[Mode]]&lt;&gt;"Manual",N(Tasks[[#This Row],[Actual Start]])=0),MAX(0,N(Tasks[[#This Row],[Free Slack]])),0)</f>
        <v>0</v>
      </c>
      <c r="FG56" s="91" t="str">
        <f aca="false">IF(NOT(Tasks[[#This Row],[_IsLeaf]]=1),"",IF(Tasks[[#This Row],[_AlapShift]]=0,Tasks[[#This Row],[_LeafCalcStart]],WORKDAY.INTL(Tasks[[#This Row],[_LeafCalcStart]],Tasks[[#This Row],[_AlapShift]],WorkWeek,Holidays)))</f>
        <v/>
      </c>
      <c r="FH56" s="91" t="str">
        <f aca="false">IF(NOT(Tasks[[#This Row],[_IsLeaf]]=1),"",IF(Tasks[[#This Row],[_AlapShift]]=0,Tasks[[#This Row],[_LeafCalcFinish]],WORKDAY.INTL(Tasks[[#This Row],[_LeafCalcFinish]],Tasks[[#This Row],[_AlapShift]],WorkWeek,Holidays)))</f>
        <v/>
      </c>
      <c r="FI56" s="91" t="str">
        <f aca="false">IF(NOT(Tasks[[#This Row],[_IsLeaf]]=1),"",IF(Tasks[[#This Row],[_AlapShift]]=0,Tasks[[#This Row],[_LeafFcstStart]],WORKDAY.INTL(Tasks[[#This Row],[_LeafFcstStart]],Tasks[[#This Row],[_AlapShift]],WorkWeek,Holidays)))</f>
        <v/>
      </c>
      <c r="FJ56" s="91" t="str">
        <f aca="false">IF(NOT(Tasks[[#This Row],[_IsLeaf]]=1),"",IF(Tasks[[#This Row],[_AlapShift]]=0,Tasks[[#This Row],[_LeafFcstFinish]],WORKDAY.INTL(Tasks[[#This Row],[_LeafFcstFinish]],Tasks[[#This Row],[_AlapShift]],WorkWeek,Holidays)))</f>
        <v/>
      </c>
      <c r="FK56" s="91" t="str">
        <f aca="false">IF(Tasks[[#This Row],[Task Name]]="","",IF(Tasks[[#This Row],[_IsSummary]],MIN(INDEX(Tasks[_ShownCalcStart],Tasks[[#This Row],[_Row]]+1):INDEX(Tasks[_ShownCalcStart],Tasks[[#This Row],[_Row]]+Tasks[[#This Row],[_Descendants]])),Tasks[[#This Row],[_ShownCalcStart]]))</f>
        <v/>
      </c>
      <c r="FL56" s="91" t="str">
        <f aca="false">IF(Tasks[[#This Row],[Task Name]]="","",IF(Tasks[[#This Row],[_IsSummary]],MAX(INDEX(Tasks[_ShownCalcFinish],Tasks[[#This Row],[_Row]]+1):INDEX(Tasks[_ShownCalcFinish],Tasks[[#This Row],[_Row]]+Tasks[[#This Row],[_Descendants]])),Tasks[[#This Row],[_ShownCalcFinish]]))</f>
        <v/>
      </c>
      <c r="FM5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6" s="43" t="n">
        <f aca="false">IF(AND(Tasks[[#This Row],[_IsLeaf]]=1,Tasks[[#This Row],[_LeafTotalWork]]&gt;0),NETWORKDAYS.INTL(ProjectStart,Tasks[[#This Row],[_ShownFcstStart]],WorkWeek,Holidays),0)</f>
        <v>0</v>
      </c>
      <c r="FZ56" s="43" t="n">
        <f aca="false">IF(AND(Tasks[[#This Row],[_IsLeaf]]=1,Tasks[[#This Row],[_LeafTotalWork]]&gt;0),MAX(Tasks[[#This Row],[_StartWorkday]],NETWORKDAYS.INTL(ProjectStart,Tasks[[#This Row],[_ShownFcstFinish]],WorkWeek,Holidays)),0)</f>
        <v>0</v>
      </c>
      <c r="GA56" s="43" t="n">
        <f aca="false">IF(AND(Tasks[[#This Row],[_IsLeaf]]=1,Tasks[[#This Row],[_LeafTotalWork]]&gt;0),Tasks[[#This Row],[_LeafWork]]/(Tasks[[#This Row],[_FinishWorkday]]-Tasks[[#This Row],[_StartWorkday]]+1),0)</f>
        <v>0</v>
      </c>
      <c r="GB56" s="43" t="n">
        <f aca="false">Tasks[[#This Row],[_WorkPerWorkday]]*(Tasks[[#This Row],[_StartWorkday]]-1)</f>
        <v>-0</v>
      </c>
      <c r="GC56" s="43" t="n">
        <f aca="false">IF(Tasks[[#This Row],[_IsLeaf]]=1,MAX(N(Tasks[[#This Row],[_Days]]),0.1),0)</f>
        <v>0</v>
      </c>
      <c r="GD56" s="43" t="n">
        <f aca="false">Tasks[[#This Row],[_WeightDur]]*Tasks[[#This Row],[_LeafProgress]]</f>
        <v>0</v>
      </c>
      <c r="GE56" s="43" t="n">
        <f aca="false">Tasks[[#This Row],[_WeightDur]]*Tasks[[#This Row],[_PlannedPct]]</f>
        <v>0</v>
      </c>
      <c r="GF5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6" s="43" t="str">
        <f aca="false">IF(AND(Tasks[[#This Row],[_IsLeaf]]=1,N(Tasks[[#This Row],[_Days]])=0,Tasks[[#This Row],[_LeafProgress]]&lt;1),Tasks[[#This Row],[_ShownFcstFinish]]+Tasks[[#This Row],[_Row]]/100000,"")</f>
        <v/>
      </c>
      <c r="GH5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6" s="43" t="str">
        <f aca="false">IF(Tasks[[#This Row],[Task Name]]="","",LEFT(Tasks[[#This Row],[WBS]],FIND(".",Tasks[[#This Row],[WBS]]&amp;".")-1))</f>
        <v/>
      </c>
      <c r="GJ56" s="43" t="str">
        <f aca="false">IF(AND(Tasks[[#This Row],[Task Name]]&lt;&gt;"",Tasks[[#This Row],[_Level]]=1),Tasks[[#This Row],[_Row]],"")</f>
        <v/>
      </c>
      <c r="GK56" s="43" t="str">
        <f aca="false">IF(AND(Tasks[[#This Row],[_IsLeaf]]=1,N(Tasks[[#This Row],[_Days]])=0),Tasks[[#This Row],[Planned Finish]]+Tasks[[#This Row],[_Row]]/100000,"")</f>
        <v/>
      </c>
      <c r="GL56" s="43" t="str">
        <f aca="false">IF(AND(Tasks[[#This Row],[_IsLeaf]]=1,Tasks[[#This Row],[_LeafProgress]]&lt;1,OR(N(Tasks[[#This Row],[Finish Var]])&gt;0,Tasks[[#This Row],[Status]]="Late Start")),MAX(0,Tasks[[#This Row],[Finish Var]])+1-Tasks[[#This Row],[_Row]]/1000000,"")</f>
        <v/>
      </c>
      <c r="GM56" s="43" t="str">
        <f aca="false">IF(AND(Tasks[[#This Row],[_IsLeaf]]=1,N(Tasks[[#This Row],[Actual Start]])=0,Tasks[[#This Row],[_ShownFcstStart]]&gt;=StatusDate,Tasks[[#This Row],[_ShownFcstStart]]&lt;=LookaheadEnd),Tasks[[#This Row],[_ShownFcstStart]]+Tasks[[#This Row],[_Row]]/100000,"")</f>
        <v/>
      </c>
      <c r="GN56" s="43" t="str">
        <f aca="false">IF(AND(Tasks[[#This Row],[_IsLeaf]]=1,Tasks[[#This Row],[_LeafProgress]]&lt;1,Tasks[[#This Row],[_ShownFcstFinish]]&gt;=StatusDate,Tasks[[#This Row],[_ShownFcstFinish]]&lt;=LookaheadEnd),Tasks[[#This Row],[_ShownFcstFinish]]+Tasks[[#This Row],[_Row]]/100000,"")</f>
        <v/>
      </c>
      <c r="GO56" s="43" t="str">
        <f aca="false">IF(Tasks[[#This Row],[_LeafCritical]],Tasks[[#This Row],[_ShownFcstStart]]+Tasks[[#This Row],[_Row]]/100000,"")</f>
        <v/>
      </c>
      <c r="GP56" s="43" t="n">
        <f aca="false">Tasks[[#This Row],[_LeafWork]]*Tasks[[#This Row],[_LeafProgress]]</f>
        <v>0</v>
      </c>
      <c r="GQ56" s="91" t="str">
        <f aca="false">IF(AND(Tasks[[#This Row],[_IsLeaf]]=1,Tasks[[#This Row],[_LeafProgress]]&gt;=1),IF(N(Tasks[[#This Row],[Actual Finish]])&gt;0,Tasks[[#This Row],[Actual Finish]],Tasks[[#This Row],[_ShownFcstFinish]]),"")</f>
        <v/>
      </c>
      <c r="GR56" s="43" t="n">
        <f aca="false">IF(Tasks[[#This Row],[_IsLeaf]]=1,N(Tasks[[#This Row],[Story Points]]),0)</f>
        <v>0</v>
      </c>
      <c r="GS56" s="43" t="str">
        <f aca="false">""</f>
        <v/>
      </c>
      <c r="GT56" s="90" t="b">
        <f aca="false">IF(Tasks[[#This Row],[Task Name]]="",FALSE(),AND(Tasks[[#This Row],[_IsLeaf]]=1,N(Tasks[[#This Row],[_Days]])=0))</f>
        <v>0</v>
      </c>
      <c r="GU56" s="91" t="n">
        <f aca="false">IF(Tasks[[#This Row],[Task Name]]="",0,IF(AND(Tasks[[#This Row],[_IsLeaf]]=1,NOT(Tasks[[#This Row],[_IsMilestone]]),N(Tasks[[#This Row],[Progress]])&gt;0),Tasks[[#This Row],[Start]],0))</f>
        <v>0</v>
      </c>
      <c r="GV56" s="91" t="n">
        <f aca="false">IF(Tasks[[#This Row],[_DoneFrom]]=0,0,IF(Tasks[[#This Row],[Progress]]&gt;=1,Tasks[[#This Row],[Finish]],MAX(Tasks[[#This Row],[_DoneFrom]],Tasks[[#This Row],[Start]]+ROUND((Tasks[[#This Row],[Finish]]-Tasks[[#This Row],[Start]]+1)*Tasks[[#This Row],[Progress]],0)-1)))</f>
        <v>0</v>
      </c>
      <c r="GW56" s="91" t="n">
        <f aca="false">IF(Tasks[[#This Row],[Task Name]]="",0,IF(OR(NOT(Tasks[[#This Row],[_IsLeaf]]=1),Tasks[[#This Row],[_IsMilestone]],N(Tasks[[#This Row],[Progress]])&gt;=1),0,IF(Tasks[[#This Row],[_DoneTo]]&gt;0,Tasks[[#This Row],[_DoneTo]]+1,Tasks[[#This Row],[Start]])))</f>
        <v>0</v>
      </c>
      <c r="GX56" s="91" t="n">
        <f aca="false">IF(Tasks[[#This Row],[_RemFrom]]=0,0,Tasks[[#This Row],[Finish]])</f>
        <v>0</v>
      </c>
      <c r="GY56" s="90" t="b">
        <f aca="false">IF(Tasks[[#This Row],[Task Name]]="",FALSE(),OR(NOT(BaselineSet),N(Tasks[[#This Row],[Baseline Start]])&gt;0))</f>
        <v>0</v>
      </c>
      <c r="GZ5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6" s="92" t="str">
        <f aca="false">IF(Tasks[[#This Row],[_IsLeaf]]=1,Tasks[[#This Row],[_Row]],"")</f>
        <v/>
      </c>
      <c r="HD56" s="92" t="str">
        <f aca="false">IFERROR(INDEX(Tasks[UID],SMALL(Tasks[_PickKey],Tasks[[#This Row],[_Row]]))&amp;" "&amp;INDEX(Tasks[Task Name],SMALL(Tasks[_PickKey],Tasks[[#This Row],[_Row]])),"")</f>
        <v/>
      </c>
      <c r="HE56" s="43" t="str">
        <f aca="false">IF(Tasks[[#This Row],[Task Name]]="","",IF(Tasks[[#This Row],[_IsSummary]],NETWORKDAYS.INTL(Tasks[[#This Row],[Start]],Tasks[[#This Row],[Finish]],WorkWeek,Holidays),N(Tasks[[#This Row],[_Days]])))</f>
        <v/>
      </c>
      <c r="HF56" s="43" t="n">
        <f aca="false">IF(Tasks[[#This Row],[Expected]]="",0,((Tasks[[#This Row],[Pessimistic]]-Tasks[[#This Row],[Optimistic]])/6)^2)</f>
        <v>0</v>
      </c>
      <c r="HG56" s="43" t="n">
        <f aca="false">IF(Tasks[[#This Row],[Expected]]="",0,Tasks[[#This Row],[Expected]]-N(Tasks[[#This Row],[_Days]]))</f>
        <v>0</v>
      </c>
    </row>
    <row r="57" customFormat="false" ht="15" hidden="false" customHeight="false" outlineLevel="0" collapsed="false">
      <c r="A57" s="21" t="str">
        <f aca="false">IF(Tasks[[#This Row],[Task Name]]="","",COUNTA(Tasks[[#Headers],[Task Name]]:Tasks[[#This Row],[Task Name]])-1)</f>
        <v/>
      </c>
      <c r="B57" s="22" t="n">
        <v>65</v>
      </c>
      <c r="C57" s="22"/>
      <c r="D57" s="23"/>
      <c r="E57" s="22"/>
      <c r="F57" s="23"/>
      <c r="G57" s="22"/>
      <c r="H57" s="22"/>
      <c r="I57" s="23"/>
      <c r="J57" s="22"/>
      <c r="K57" s="22"/>
      <c r="L57" s="23"/>
      <c r="M57" s="22"/>
      <c r="N57" s="22"/>
      <c r="O57" s="23"/>
      <c r="P57" s="22"/>
      <c r="Q57" s="22"/>
      <c r="R57" s="23"/>
      <c r="S57" s="23"/>
      <c r="T57" s="84"/>
      <c r="U57" s="23"/>
      <c r="V57" s="84"/>
      <c r="W57" s="23"/>
      <c r="X57" s="84"/>
      <c r="Y57" s="23"/>
      <c r="Z57" s="84"/>
      <c r="AA57" s="23"/>
      <c r="AB57" s="23"/>
      <c r="AC57" s="7"/>
      <c r="AD57" s="7"/>
      <c r="AE57" s="63" t="str">
        <f aca="false">IF(Tasks[[#This Row],[Task Name]]="","",IF(Tasks[[#This Row],[_IsSummary]],MIN(INDEX(Tasks[_ShownFcstStart],Tasks[[#This Row],[_Row]]+1):INDEX(Tasks[_ShownFcstStart],Tasks[[#This Row],[_Row]]+Tasks[[#This Row],[_Descendants]])),Tasks[[#This Row],[_ShownFcstStart]]))</f>
        <v/>
      </c>
      <c r="AF57" s="63" t="str">
        <f aca="false">IF(Tasks[[#This Row],[Task Name]]="","",IF(Tasks[[#This Row],[_IsSummary]],MAX(INDEX(Tasks[_ShownFcstFinish],Tasks[[#This Row],[_Row]]+1):INDEX(Tasks[_ShownFcstFinish],Tasks[[#This Row],[_Row]]+Tasks[[#This Row],[_Descendants]])),Tasks[[#This Row],[_ShownFcstFinish]]))</f>
        <v/>
      </c>
      <c r="AG57" s="21" t="str">
        <f aca="false">""</f>
        <v/>
      </c>
      <c r="AH57" s="23"/>
      <c r="AI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7" s="7"/>
      <c r="AK57" s="22"/>
      <c r="AL57" s="23"/>
      <c r="AM57" s="7"/>
      <c r="AN57" s="47" t="str">
        <f aca="false">IF(Tasks[[#This Row],[Task Name]]="","",IF(Tasks[[#This Row],[Finish]]&gt;=Tasks[[#This Row],[Planned Finish]],NETWORKDAYS.INTL(Tasks[[#This Row],[Planned Finish]],Tasks[[#This Row],[Finish]],WorkWeek,Holidays)-1,1-NETWORKDAYS.INTL(Tasks[[#This Row],[Finish]],Tasks[[#This Row],[Planned Finish]],WorkWeek,Holidays)))</f>
        <v/>
      </c>
      <c r="AO57" s="21" t="str">
        <f aca="false">IF(Tasks[[#This Row],[Task Name]]="","",IF(Tasks[[#This Row],[Progress]]&gt;=1,"Complete",IF(OR(N(Tasks[[#This Row],[Actual Start]])&gt;0,Tasks[[#This Row],[Progress]]&gt;0),IF(Tasks[[#This Row],[Finish Var]]&gt;0,"Behind","In Progress"),IF(Tasks[[#This Row],[Planned Start]]&lt;StatusDate,"Late Start","Not Started"))))</f>
        <v/>
      </c>
      <c r="AP57" s="21" t="str">
        <f aca="false">IF(Tasks[[#This Row],[Task Name]]="","",IF(IF(Tasks[[#This Row],[_IsSummary]],COUNTIF(INDEX(Tasks[_LeafCritical],Tasks[[#This Row],[_Row]]+1):INDEX(Tasks[_LeafCritical],Tasks[[#This Row],[_Row]]+Tasks[[#This Row],[_Descendants]]),TRUE())&gt;0,Tasks[[#This Row],[_LeafCritical]]),"Yes",""))</f>
        <v/>
      </c>
      <c r="AQ57" s="63" t="str">
        <f aca="false">IF(Tasks[[#This Row],[Task Name]]="","",IF(N(Tasks[[#This Row],[Baseline Start]])&gt;0,Tasks[[#This Row],[Baseline Start]],Tasks[[#This Row],[_CalcStart]]))</f>
        <v/>
      </c>
      <c r="AR57" s="63" t="str">
        <f aca="false">IF(Tasks[[#This Row],[Task Name]]="","",IF(N(Tasks[[#This Row],[Baseline Finish]])&gt;0,Tasks[[#This Row],[Baseline Finish]],Tasks[[#This Row],[_CalcFinish]]))</f>
        <v/>
      </c>
      <c r="AS57" s="47" t="str">
        <f aca="false">IF(Tasks[[#This Row],[Task Name]]="","",IF(Tasks[[#This Row],[Start]]&gt;=Tasks[[#This Row],[Planned Start]],NETWORKDAYS.INTL(Tasks[[#This Row],[Planned Start]],Tasks[[#This Row],[Start]],WorkWeek,Holidays)-1,1-NETWORKDAYS.INTL(Tasks[[#This Row],[Start]],Tasks[[#This Row],[Planned Start]],WorkWeek,Holidays)))</f>
        <v/>
      </c>
      <c r="AT57" s="63" t="str">
        <f aca="false">IF(Tasks[[#This Row],[Task Name]]="","",IF(Tasks[[#This Row],[_IsSummary]],MIN(INDEX(Tasks[_LeafLateStart],Tasks[[#This Row],[_Row]]+1):INDEX(Tasks[_LeafLateStart],Tasks[[#This Row],[_Row]]+Tasks[[#This Row],[_Descendants]])),Tasks[[#This Row],[_LeafLateStart]]))</f>
        <v/>
      </c>
      <c r="AU57" s="63" t="str">
        <f aca="false">IF(Tasks[[#This Row],[Task Name]]="","",IF(Tasks[[#This Row],[_IsSummary]],MAX(INDEX(Tasks[_LeafLateFinish],Tasks[[#This Row],[_Row]]+1):INDEX(Tasks[_LeafLateFinish],Tasks[[#This Row],[_Row]]+Tasks[[#This Row],[_Descendants]])),Tasks[[#This Row],[_LeafLateFinish]]))</f>
        <v/>
      </c>
      <c r="AV57" s="47" t="str">
        <f aca="false">IF(Tasks[[#This Row],[Task Name]]="","",IF(Tasks[[#This Row],[_IsSummary]],MIN(INDEX(Tasks[_LeafTotalSlack],Tasks[[#This Row],[_Row]]+1):INDEX(Tasks[_LeafTotalSlack],Tasks[[#This Row],[_Row]]+Tasks[[#This Row],[_Descendants]])),Tasks[[#This Row],[_LeafTotalSlack]]))</f>
        <v/>
      </c>
      <c r="AW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5"/>
      <c r="BA5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1" t="str">
        <f aca="false">IF(Tasks[[#This Row],[Task Name]]="","",IF(Tasks[[#This Row],[_Level]]&lt;=OutlineShowLevel,"Yes","No"))</f>
        <v/>
      </c>
      <c r="BE57" s="86" t="str">
        <f aca="false">IF(Tasks[[#This Row],[Task Name]]="","",IF(Tasks[[#This Row],[_IsSummary]],SUM(INDEX(Tasks[_LeafTotalWork],Tasks[[#This Row],[_Row]]+1):INDEX(Tasks[_LeafTotalWork],Tasks[[#This Row],[_Row]]+Tasks[[#This Row],[_Descendants]])),Tasks[[#This Row],[_LeafTotalWork]]))</f>
        <v/>
      </c>
      <c r="BF57" s="23"/>
      <c r="BG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7" s="21" t="str">
        <f aca="false">""</f>
        <v/>
      </c>
      <c r="BI57" s="87"/>
      <c r="BJ57" s="22"/>
      <c r="BK57" s="47" t="str">
        <f aca="false">IF(OR(Tasks[[#This Row],[Task Name]]="",Tasks[[#This Row],[Baseline Duration]]=""),"",Tasks[[#This Row],[_SpanDays]]-N(Tasks[[#This Row],[Baseline Duration]]))</f>
        <v/>
      </c>
      <c r="BL57" s="86" t="str">
        <f aca="false">IF(OR(Tasks[[#This Row],[Task Name]]="",Tasks[[#This Row],[Baseline Work]]=""),"",Tasks[[#This Row],[Work]]-N(Tasks[[#This Row],[Baseline Work]]))</f>
        <v/>
      </c>
      <c r="BM57" s="63" t="str">
        <f aca="false">IF(Tasks[[#This Row],[Task Name]]="","",IF(OR(TakeBaseline="Yes",N(Tasks[[#This Row],[Baseline Start]])=0),Tasks[[#This Row],[Start]],Tasks[[#This Row],[Baseline Start]]))</f>
        <v/>
      </c>
      <c r="BN57" s="63" t="str">
        <f aca="false">IF(Tasks[[#This Row],[Task Name]]="","",IF(OR(TakeBaseline="Yes",N(Tasks[[#This Row],[Baseline Finish]])=0),Tasks[[#This Row],[Finish]],Tasks[[#This Row],[Baseline Finish]]))</f>
        <v/>
      </c>
      <c r="BO57" s="21" t="str">
        <f aca="false">IF(Tasks[[#This Row],[Task Name]]="","",IF(OR(TakeBaseline="Yes",N(Tasks[[#This Row],[Baseline Duration]])=0),Tasks[[#This Row],[_SpanDays]],Tasks[[#This Row],[Baseline Duration]]))</f>
        <v/>
      </c>
      <c r="BP57" s="86" t="str">
        <f aca="false">IF(Tasks[[#This Row],[Task Name]]="","",IF(OR(TakeBaseline="Yes",N(Tasks[[#This Row],[Baseline Work]])=0),Tasks[[#This Row],[Work]],Tasks[[#This Row],[Baseline Work]]))</f>
        <v/>
      </c>
      <c r="BQ57" s="7"/>
      <c r="BR57" s="7"/>
      <c r="BS57" s="22"/>
      <c r="BT57" s="88"/>
      <c r="BU57" s="23"/>
      <c r="BV57" s="23"/>
      <c r="BW57" s="23"/>
      <c r="BX57" s="89" t="str">
        <f aca="false">IF(AND(Tasks[[#This Row],[_IsLeaf]]=1,ISNUMBER(Tasks[[#This Row],[Optimistic]]),ISNUMBER(Tasks[[#This Row],[Pessimistic]])),ROUND((Tasks[[#This Row],[Optimistic]]+4*N(Tasks[[#This Row],[_Days]])+Tasks[[#This Row],[Pessimistic]])/6,1),"")</f>
        <v/>
      </c>
      <c r="BY57" s="87"/>
      <c r="BZ57" s="87"/>
      <c r="CA57" s="22"/>
      <c r="CB57" s="43" t="str">
        <f aca="false">IF(Tasks[[#This Row],[Task Name]]="","",MAX(1,N(Tasks[[#This Row],[Level]])))</f>
        <v/>
      </c>
      <c r="CC57" s="43" t="n">
        <f aca="false">ROW()-ROW(Tasks[[#Headers],[ID]])</f>
        <v>52</v>
      </c>
      <c r="CD57" s="43" t="n">
        <f aca="false">IF(OR(Tasks[[#This Row],[Task Name]]="",Tasks[[#This Row],[_Level]]&lt;=1),0,IFERROR(LOOKUP(2,1/(Tasks[[#Headers],[_Level]]:Tasks[[#This Row],[_Level]]=Tasks[[#This Row],[_Level]]-1),ROW(Tasks[[#Headers],[_Level]]:Tasks[[#This Row],[_Level]])),0))</f>
        <v>0</v>
      </c>
      <c r="CE57" s="43" t="n">
        <f aca="false">IFERROR(N(INDEX(Tasks[_Level],Tasks[[#This Row],[_Row]]+1)),0)</f>
        <v>0</v>
      </c>
      <c r="CF57" s="90" t="b">
        <f aca="false">AND(Tasks[[#This Row],[Task Name]]&lt;&gt;"",Tasks[[#This Row],[_NextLevel]]&gt;Tasks[[#This Row],[_Level]])</f>
        <v>0</v>
      </c>
      <c r="CG57" s="43" t="n">
        <f aca="false">IF(Tasks[[#This Row],[_IsSummary]],COUNTIF(Tasks[WBS],Tasks[[#This Row],[WBS]]&amp;".*"),0)</f>
        <v>0</v>
      </c>
      <c r="CH57" s="43" t="n">
        <f aca="false">IF(AND(Tasks[[#This Row],[Task Name]]&lt;&gt;"",NOT(Tasks[[#This Row],[_IsSummary]])),1,0)</f>
        <v>0</v>
      </c>
      <c r="CI57" s="43" t="n">
        <f aca="false">IF(N(Tasks[[#This Row],[_Pred1UID]])=0,0,IFERROR(MATCH(Tasks[[#This Row],[_Pred1UID]],Tasks[UID],0),-1))</f>
        <v>0</v>
      </c>
      <c r="CJ57" s="43" t="n">
        <f aca="false">IF(N(Tasks[[#This Row],[_Pred2UID]])=0,0,IFERROR(MATCH(Tasks[[#This Row],[_Pred2UID]],Tasks[UID],0),-1))</f>
        <v>0</v>
      </c>
      <c r="CK57" s="43" t="n">
        <f aca="false">IF(N(Tasks[[#This Row],[_Pred3UID]])=0,0,IFERROR(MATCH(Tasks[[#This Row],[_Pred3UID]],Tasks[UID],0),-1))</f>
        <v>0</v>
      </c>
      <c r="CL57" s="43" t="n">
        <f aca="false">IF(N(Tasks[[#This Row],[_Pred4UID]])=0,0,IFERROR(MATCH(Tasks[[#This Row],[_Pred4UID]],Tasks[UID],0),-1))</f>
        <v>0</v>
      </c>
      <c r="CM5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7" s="91" t="n">
        <f aca="false">IF(OR(Tasks[[#This Row],[_ConstraintCode]]=2,Tasks[[#This Row],[_ConstraintCode]]=3,Tasks[[#This Row],[_ConstraintCode]]=4,Tasks[[#This Row],[_ConstraintCode]]=6),Tasks[[#This Row],[_ConstraintStart]],0)</f>
        <v>0</v>
      </c>
      <c r="CP57" s="91" t="n">
        <f aca="false">IF(OR(Tasks[[#This Row],[_ConstraintCode]]=2,Tasks[[#This Row],[_ConstraintCode]]=3,Tasks[[#This Row],[_ConstraintCode]]=5,Tasks[[#This Row],[_ConstraintCode]]=7),Tasks[[#This Row],[_ConstraintStart]],2958465)</f>
        <v>2958465</v>
      </c>
      <c r="CQ5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7" s="91" t="str">
        <f aca="false">IF(NOT(Tasks[[#This Row],[_IsLeaf]]=1),"",IF(N(Tasks[[#This Row],[_Days]])&lt;=0,Tasks[[#This Row],[_LeafCalcStart]],WORKDAY.INTL(Tasks[[#This Row],[_LeafCalcStart]],Tasks[[#This Row],[_Days]]-1,WorkWeek,Holidays)))</f>
        <v/>
      </c>
      <c r="CS5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7" s="43" t="str">
        <f aca="false">IF(Tasks[[#This Row],[_Predecessors]]="","",TRIM(MID(SUBSTITUTE(SUBSTITUTE(SUBSTITUTE(UPPER(Tasks[[#This Row],[_Predecessors]]),";",",")," ",""),",",REPT(" ",99)),1,99)))</f>
        <v/>
      </c>
      <c r="CV57" s="43" t="str">
        <f aca="false">IF(Tasks[[#This Row],[_Pred1Text]]="","",IFERROR(VALUE(LEFT(Tasks[[#This Row],[_Pred1Text]],MIN(FIND("F",Tasks[[#This Row],[_Pred1Text]]&amp;"F"),FIND("S",Tasks[[#This Row],[_Pred1Text]]&amp;"S"),FIND("+",Tasks[[#This Row],[_Pred1Text]]&amp;"+"),FIND("-",Tasks[[#This Row],[_Pred1Text]]&amp;"-"))-1)),""))</f>
        <v/>
      </c>
      <c r="CW5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7" s="43" t="str">
        <f aca="false">IF(Tasks[[#This Row],[_Pred1Text]]="","",TRIM(MID(SUBSTITUTE(SUBSTITUTE(SUBSTITUTE(UPPER(Tasks[[#This Row],[_Predecessors]]),";",",")," ",""),",",REPT(" ",99)),100,99)))</f>
        <v/>
      </c>
      <c r="CZ57" s="43" t="str">
        <f aca="false">IF(Tasks[[#This Row],[_Pred2Text]]="","",IFERROR(VALUE(LEFT(Tasks[[#This Row],[_Pred2Text]],MIN(FIND("F",Tasks[[#This Row],[_Pred2Text]]&amp;"F"),FIND("S",Tasks[[#This Row],[_Pred2Text]]&amp;"S"),FIND("+",Tasks[[#This Row],[_Pred2Text]]&amp;"+"),FIND("-",Tasks[[#This Row],[_Pred2Text]]&amp;"-"))-1)),""))</f>
        <v/>
      </c>
      <c r="DA5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7" s="43" t="str">
        <f aca="false">IF(Tasks[[#This Row],[_Pred2Text]]="","",TRIM(MID(SUBSTITUTE(SUBSTITUTE(SUBSTITUTE(UPPER(Tasks[[#This Row],[_Predecessors]]),";",",")," ",""),",",REPT(" ",99)),199,99)))</f>
        <v/>
      </c>
      <c r="DD57" s="43" t="str">
        <f aca="false">IF(Tasks[[#This Row],[_Pred3Text]]="","",IFERROR(VALUE(LEFT(Tasks[[#This Row],[_Pred3Text]],MIN(FIND("F",Tasks[[#This Row],[_Pred3Text]]&amp;"F"),FIND("S",Tasks[[#This Row],[_Pred3Text]]&amp;"S"),FIND("+",Tasks[[#This Row],[_Pred3Text]]&amp;"+"),FIND("-",Tasks[[#This Row],[_Pred3Text]]&amp;"-"))-1)),""))</f>
        <v/>
      </c>
      <c r="DE5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7" s="43" t="str">
        <f aca="false">IF(Tasks[[#This Row],[_Pred3Text]]="","",TRIM(MID(SUBSTITUTE(SUBSTITUTE(SUBSTITUTE(UPPER(Tasks[[#This Row],[_Predecessors]]),";",",")," ",""),",",REPT(" ",99)),298,99)))</f>
        <v/>
      </c>
      <c r="DH57" s="43" t="str">
        <f aca="false">IF(Tasks[[#This Row],[_Pred4Text]]="","",IFERROR(VALUE(LEFT(Tasks[[#This Row],[_Pred4Text]],MIN(FIND("F",Tasks[[#This Row],[_Pred4Text]]&amp;"F"),FIND("S",Tasks[[#This Row],[_Pred4Text]]&amp;"S"),FIND("+",Tasks[[#This Row],[_Pred4Text]]&amp;"+"),FIND("-",Tasks[[#This Row],[_Pred4Text]]&amp;"-"))-1)),""))</f>
        <v/>
      </c>
      <c r="DI5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7" s="43" t="str">
        <f aca="false">IF(OR(Tasks[[#This Row],[Task Name]]="",Tasks[[#This Row],[_Resources]]=""),"",TRIM(MID(SUBSTITUTE(Tasks[[#This Row],[_Resources]],",",REPT(" ",99)),1,99)))</f>
        <v/>
      </c>
      <c r="DL57" s="43" t="str">
        <f aca="false">IF(Tasks[[#This Row],[_Res1Text]]="","",TRIM(MID(SUBSTITUTE(Tasks[[#This Row],[_Resources]],",",REPT(" ",99)),100,99)))</f>
        <v/>
      </c>
      <c r="DM57" s="43" t="str">
        <f aca="false">IF(Tasks[[#This Row],[_Res2Text]]="","",TRIM(MID(SUBSTITUTE(Tasks[[#This Row],[_Resources]],",",REPT(" ",99)),199,99)))</f>
        <v/>
      </c>
      <c r="DN57" s="43" t="str">
        <f aca="false">IF(Tasks[[#This Row],[_Res3Text]]="","",TRIM(MID(SUBSTITUTE(Tasks[[#This Row],[_Resources]],",",REPT(" ",99)),298,99)))</f>
        <v/>
      </c>
      <c r="DO57" s="43" t="n">
        <f aca="false">IF(Tasks[[#This Row],[_Res1Text]]="",0,IFERROR(MATCH(TRIM(LEFT(Tasks[[#This Row],[_Res1Text]],FIND("[",Tasks[[#This Row],[_Res1Text]]&amp;"[")-1)),res_Name,0),IFERROR(MATCH(TRIM(LEFT(Tasks[[#This Row],[_Res1Text]],FIND("[",Tasks[[#This Row],[_Res1Text]]&amp;"[")-1)),res_Initials,0),0)))</f>
        <v>0</v>
      </c>
      <c r="DP57" s="43" t="n">
        <f aca="false">IF(Tasks[[#This Row],[_Res2Text]]="",0,IFERROR(MATCH(TRIM(LEFT(Tasks[[#This Row],[_Res2Text]],FIND("[",Tasks[[#This Row],[_Res2Text]]&amp;"[")-1)),res_Name,0),IFERROR(MATCH(TRIM(LEFT(Tasks[[#This Row],[_Res2Text]],FIND("[",Tasks[[#This Row],[_Res2Text]]&amp;"[")-1)),res_Initials,0),0)))</f>
        <v>0</v>
      </c>
      <c r="DQ57" s="43" t="n">
        <f aca="false">IF(Tasks[[#This Row],[_Res3Text]]="",0,IFERROR(MATCH(TRIM(LEFT(Tasks[[#This Row],[_Res3Text]],FIND("[",Tasks[[#This Row],[_Res3Text]]&amp;"[")-1)),res_Name,0),IFERROR(MATCH(TRIM(LEFT(Tasks[[#This Row],[_Res3Text]],FIND("[",Tasks[[#This Row],[_Res3Text]]&amp;"[")-1)),res_Initials,0),0)))</f>
        <v>0</v>
      </c>
      <c r="DR57" s="43" t="n">
        <f aca="false">IF(Tasks[[#This Row],[_Res4Text]]="",0,IFERROR(MATCH(TRIM(LEFT(Tasks[[#This Row],[_Res4Text]],FIND("[",Tasks[[#This Row],[_Res4Text]]&amp;"[")-1)),res_Name,0),IFERROR(MATCH(TRIM(LEFT(Tasks[[#This Row],[_Res4Text]],FIND("[",Tasks[[#This Row],[_Res4Text]]&amp;"[")-1)),res_Initials,0),0)))</f>
        <v>0</v>
      </c>
      <c r="DS57" s="43" t="str">
        <f aca="false">IF(Tasks[[#This Row],[_Res1Text]]="","",IF(Tasks[[#This Row],[_Res1Row]]&gt;0,INDEX(res_Name,Tasks[[#This Row],[_Res1Row]]),TRIM(LEFT(Tasks[[#This Row],[_Res1Text]],FIND("[",Tasks[[#This Row],[_Res1Text]]&amp;"[")-1))))</f>
        <v/>
      </c>
      <c r="DT5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7" s="43" t="n">
        <f aca="false">IF(NOT(Tasks[[#This Row],[_IsLeaf]]=1),0,(Tasks[[#This Row],[_Resource1]]&lt;&gt;"")+(Tasks[[#This Row],[_Res2]]&lt;&gt;"")+(Tasks[[#This Row],[_Res3]]&lt;&gt;"")+(Tasks[[#This Row],[_Res4]]&lt;&gt;""))</f>
        <v>0</v>
      </c>
      <c r="DV57" s="43" t="str">
        <f aca="false">IF(Tasks[[#This Row],[_Res2Text]]="","",IF(Tasks[[#This Row],[_Res2Row]]&gt;0,INDEX(res_Name,Tasks[[#This Row],[_Res2Row]]),TRIM(LEFT(Tasks[[#This Row],[_Res2Text]],FIND("[",Tasks[[#This Row],[_Res2Text]]&amp;"[")-1))))</f>
        <v/>
      </c>
      <c r="DW5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7" s="43" t="n">
        <f aca="false">IF(OR(NOT(Tasks[[#This Row],[_IsLeaf]]=1),Tasks[[#This Row],[_Res2Row]]=0),0,N(Tasks[[#This Row],[_Days]])*HoursPerDay*IF(Tasks[[#This Row],[_Res2Units]]="",DefaultUnits,Tasks[[#This Row],[_Res2Units]]))</f>
        <v>0</v>
      </c>
      <c r="DY57" s="43" t="n">
        <f aca="false">IF(AND(AND(Tasks[[#This Row],[_IsLeaf]]=1,Tasks[[#This Row],[_LeafTotalWork]]&gt;0),Tasks[[#This Row],[_Res2Work]]&gt;0),Tasks[[#This Row],[_Res2Work]]/(Tasks[[#This Row],[_FinishWorkday]]-Tasks[[#This Row],[_StartWorkday]]+1),0)</f>
        <v>0</v>
      </c>
      <c r="DZ57" s="43" t="n">
        <f aca="false">Tasks[[#This Row],[_Res2WorkPerWD]]*MAX(0,Tasks[[#This Row],[_StartWorkday]]-1)</f>
        <v>0</v>
      </c>
      <c r="EA57" s="43" t="n">
        <f aca="false">Tasks[[#This Row],[_Res2Work]]*Tasks[[#This Row],[_LeafProgress]]</f>
        <v>0</v>
      </c>
      <c r="EB57" s="43" t="str">
        <f aca="false">IF(Tasks[[#This Row],[_Res3Text]]="","",IF(Tasks[[#This Row],[_Res3Row]]&gt;0,INDEX(res_Name,Tasks[[#This Row],[_Res3Row]]),TRIM(LEFT(Tasks[[#This Row],[_Res3Text]],FIND("[",Tasks[[#This Row],[_Res3Text]]&amp;"[")-1))))</f>
        <v/>
      </c>
      <c r="EC5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7" s="43" t="n">
        <f aca="false">IF(OR(NOT(Tasks[[#This Row],[_IsLeaf]]=1),Tasks[[#This Row],[_Res3Row]]=0),0,N(Tasks[[#This Row],[_Days]])*HoursPerDay*IF(Tasks[[#This Row],[_Res3Units]]="",DefaultUnits,Tasks[[#This Row],[_Res3Units]]))</f>
        <v>0</v>
      </c>
      <c r="EE57" s="43" t="n">
        <f aca="false">IF(AND(AND(Tasks[[#This Row],[_IsLeaf]]=1,Tasks[[#This Row],[_LeafTotalWork]]&gt;0),Tasks[[#This Row],[_Res3Work]]&gt;0),Tasks[[#This Row],[_Res3Work]]/(Tasks[[#This Row],[_FinishWorkday]]-Tasks[[#This Row],[_StartWorkday]]+1),0)</f>
        <v>0</v>
      </c>
      <c r="EF57" s="43" t="n">
        <f aca="false">Tasks[[#This Row],[_Res3WorkPerWD]]*MAX(0,Tasks[[#This Row],[_StartWorkday]]-1)</f>
        <v>0</v>
      </c>
      <c r="EG57" s="43" t="n">
        <f aca="false">Tasks[[#This Row],[_Res3Work]]*Tasks[[#This Row],[_LeafProgress]]</f>
        <v>0</v>
      </c>
      <c r="EH57" s="43" t="str">
        <f aca="false">IF(Tasks[[#This Row],[_Res4Text]]="","",IF(Tasks[[#This Row],[_Res4Row]]&gt;0,INDEX(res_Name,Tasks[[#This Row],[_Res4Row]]),TRIM(LEFT(Tasks[[#This Row],[_Res4Text]],FIND("[",Tasks[[#This Row],[_Res4Text]]&amp;"[")-1))))</f>
        <v/>
      </c>
      <c r="EI5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7" s="43" t="n">
        <f aca="false">IF(OR(NOT(Tasks[[#This Row],[_IsLeaf]]=1),Tasks[[#This Row],[_Res4Row]]=0),0,N(Tasks[[#This Row],[_Days]])*HoursPerDay*IF(Tasks[[#This Row],[_Res4Units]]="",DefaultUnits,Tasks[[#This Row],[_Res4Units]]))</f>
        <v>0</v>
      </c>
      <c r="EK57" s="43" t="n">
        <f aca="false">IF(AND(AND(Tasks[[#This Row],[_IsLeaf]]=1,Tasks[[#This Row],[_LeafTotalWork]]&gt;0),Tasks[[#This Row],[_Res4Work]]&gt;0),Tasks[[#This Row],[_Res4Work]]/(Tasks[[#This Row],[_FinishWorkday]]-Tasks[[#This Row],[_StartWorkday]]+1),0)</f>
        <v>0</v>
      </c>
      <c r="EL57" s="43" t="n">
        <f aca="false">Tasks[[#This Row],[_Res4WorkPerWD]]*MAX(0,Tasks[[#This Row],[_StartWorkday]]-1)</f>
        <v>0</v>
      </c>
      <c r="EM57" s="43" t="n">
        <f aca="false">Tasks[[#This Row],[_Res4Work]]*Tasks[[#This Row],[_LeafProgress]]</f>
        <v>0</v>
      </c>
      <c r="EN57" s="43" t="n">
        <f aca="false">IF(ISNUMBER(Tasks[[#This Row],[% Complete]]),Tasks[[#This Row],[% Complete]],IF(Tasks[[#This Row],[Stage]]="",0,IFERROR(INDEX(stg_Pct,MATCH(Tasks[[#This Row],[Stage]],stg_Name,0)),0)))</f>
        <v>0</v>
      </c>
      <c r="EO57" s="43" t="n">
        <f aca="false">IF(NOT(Tasks[[#This Row],[_IsLeaf]]=1),0,IF(N(Tasks[[#This Row],[Actual Finish]])&gt;0,1,MIN(1,Tasks[[#This Row],[_Pct]])))</f>
        <v>0</v>
      </c>
      <c r="EP57" s="43" t="n">
        <f aca="false">IF(OR(NOT(Tasks[[#This Row],[_IsLeaf]]=1),Tasks[[#This Row],[_Res1Row]]=0),0,N(Tasks[[#This Row],[_Days]])*HoursPerDay*IF(Tasks[[#This Row],[_Units1]]="",DefaultUnits,Tasks[[#This Row],[_Units1]]))</f>
        <v>0</v>
      </c>
      <c r="EQ57" s="43" t="n">
        <f aca="false">Tasks[[#This Row],[_LeafWork]]+Tasks[[#This Row],[_Res2Work]]+Tasks[[#This Row],[_Res3Work]]+Tasks[[#This Row],[_Res4Work]]</f>
        <v>0</v>
      </c>
      <c r="ER5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7" s="43" t="n">
        <f aca="false">IF(NOT(Tasks[[#This Row],[_IsLeaf]]=1),0,MAX(_xlfn.MAXIFS(Tasks[_Row],Tasks[_Pred1UID],Tasks[[#This Row],[UID]]),_xlfn.MAXIFS(Tasks[_Row],Tasks[_Pred2UID],Tasks[[#This Row],[UID]]),_xlfn.MAXIFS(Tasks[_Row],Tasks[_Pred3UID],Tasks[[#This Row],[UID]]),_xlfn.MAXIFS(Tasks[_Row],Tasks[_Pred4UID],Tasks[[#This Row],[UID]])))</f>
        <v>0</v>
      </c>
      <c r="FA5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7" s="91" t="str">
        <f aca="false">IF(NOT(Tasks[[#This Row],[_IsLeaf]]=1),"",IF(N(Tasks[[#This Row],[_Days]])&lt;=0,Tasks[[#This Row],[_LeafLateFinish]],WORKDAY.INTL(Tasks[[#This Row],[_LeafLateFinish]],-(Tasks[[#This Row],[_Days]]-1),WorkWeek,Holidays)))</f>
        <v/>
      </c>
      <c r="FD5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7" s="90" t="b">
        <f aca="false">AND(Tasks[[#This Row],[_IsLeaf]]=1,Tasks[[#This Row],[_LeafProgress]]&lt;1,N(Tasks[[#This Row],[_LeafTotalSlack]])&lt;=CriticalSlackDays)</f>
        <v>0</v>
      </c>
      <c r="FF57" s="43" t="n">
        <f aca="false">IF(AND(Tasks[[#This Row],[_IsLeaf]]=1,Tasks[[#This Row],[_ConstraintCode]]=1,Tasks[[#This Row],[Mode]]&lt;&gt;"Manual",N(Tasks[[#This Row],[Actual Start]])=0),MAX(0,N(Tasks[[#This Row],[Free Slack]])),0)</f>
        <v>0</v>
      </c>
      <c r="FG57" s="91" t="str">
        <f aca="false">IF(NOT(Tasks[[#This Row],[_IsLeaf]]=1),"",IF(Tasks[[#This Row],[_AlapShift]]=0,Tasks[[#This Row],[_LeafCalcStart]],WORKDAY.INTL(Tasks[[#This Row],[_LeafCalcStart]],Tasks[[#This Row],[_AlapShift]],WorkWeek,Holidays)))</f>
        <v/>
      </c>
      <c r="FH57" s="91" t="str">
        <f aca="false">IF(NOT(Tasks[[#This Row],[_IsLeaf]]=1),"",IF(Tasks[[#This Row],[_AlapShift]]=0,Tasks[[#This Row],[_LeafCalcFinish]],WORKDAY.INTL(Tasks[[#This Row],[_LeafCalcFinish]],Tasks[[#This Row],[_AlapShift]],WorkWeek,Holidays)))</f>
        <v/>
      </c>
      <c r="FI57" s="91" t="str">
        <f aca="false">IF(NOT(Tasks[[#This Row],[_IsLeaf]]=1),"",IF(Tasks[[#This Row],[_AlapShift]]=0,Tasks[[#This Row],[_LeafFcstStart]],WORKDAY.INTL(Tasks[[#This Row],[_LeafFcstStart]],Tasks[[#This Row],[_AlapShift]],WorkWeek,Holidays)))</f>
        <v/>
      </c>
      <c r="FJ57" s="91" t="str">
        <f aca="false">IF(NOT(Tasks[[#This Row],[_IsLeaf]]=1),"",IF(Tasks[[#This Row],[_AlapShift]]=0,Tasks[[#This Row],[_LeafFcstFinish]],WORKDAY.INTL(Tasks[[#This Row],[_LeafFcstFinish]],Tasks[[#This Row],[_AlapShift]],WorkWeek,Holidays)))</f>
        <v/>
      </c>
      <c r="FK57" s="91" t="str">
        <f aca="false">IF(Tasks[[#This Row],[Task Name]]="","",IF(Tasks[[#This Row],[_IsSummary]],MIN(INDEX(Tasks[_ShownCalcStart],Tasks[[#This Row],[_Row]]+1):INDEX(Tasks[_ShownCalcStart],Tasks[[#This Row],[_Row]]+Tasks[[#This Row],[_Descendants]])),Tasks[[#This Row],[_ShownCalcStart]]))</f>
        <v/>
      </c>
      <c r="FL57" s="91" t="str">
        <f aca="false">IF(Tasks[[#This Row],[Task Name]]="","",IF(Tasks[[#This Row],[_IsSummary]],MAX(INDEX(Tasks[_ShownCalcFinish],Tasks[[#This Row],[_Row]]+1):INDEX(Tasks[_ShownCalcFinish],Tasks[[#This Row],[_Row]]+Tasks[[#This Row],[_Descendants]])),Tasks[[#This Row],[_ShownCalcFinish]]))</f>
        <v/>
      </c>
      <c r="FM5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7" s="43" t="n">
        <f aca="false">IF(AND(Tasks[[#This Row],[_IsLeaf]]=1,Tasks[[#This Row],[_LeafTotalWork]]&gt;0),NETWORKDAYS.INTL(ProjectStart,Tasks[[#This Row],[_ShownFcstStart]],WorkWeek,Holidays),0)</f>
        <v>0</v>
      </c>
      <c r="FZ57" s="43" t="n">
        <f aca="false">IF(AND(Tasks[[#This Row],[_IsLeaf]]=1,Tasks[[#This Row],[_LeafTotalWork]]&gt;0),MAX(Tasks[[#This Row],[_StartWorkday]],NETWORKDAYS.INTL(ProjectStart,Tasks[[#This Row],[_ShownFcstFinish]],WorkWeek,Holidays)),0)</f>
        <v>0</v>
      </c>
      <c r="GA57" s="43" t="n">
        <f aca="false">IF(AND(Tasks[[#This Row],[_IsLeaf]]=1,Tasks[[#This Row],[_LeafTotalWork]]&gt;0),Tasks[[#This Row],[_LeafWork]]/(Tasks[[#This Row],[_FinishWorkday]]-Tasks[[#This Row],[_StartWorkday]]+1),0)</f>
        <v>0</v>
      </c>
      <c r="GB57" s="43" t="n">
        <f aca="false">Tasks[[#This Row],[_WorkPerWorkday]]*(Tasks[[#This Row],[_StartWorkday]]-1)</f>
        <v>-0</v>
      </c>
      <c r="GC57" s="43" t="n">
        <f aca="false">IF(Tasks[[#This Row],[_IsLeaf]]=1,MAX(N(Tasks[[#This Row],[_Days]]),0.1),0)</f>
        <v>0</v>
      </c>
      <c r="GD57" s="43" t="n">
        <f aca="false">Tasks[[#This Row],[_WeightDur]]*Tasks[[#This Row],[_LeafProgress]]</f>
        <v>0</v>
      </c>
      <c r="GE57" s="43" t="n">
        <f aca="false">Tasks[[#This Row],[_WeightDur]]*Tasks[[#This Row],[_PlannedPct]]</f>
        <v>0</v>
      </c>
      <c r="GF5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7" s="43" t="str">
        <f aca="false">IF(AND(Tasks[[#This Row],[_IsLeaf]]=1,N(Tasks[[#This Row],[_Days]])=0,Tasks[[#This Row],[_LeafProgress]]&lt;1),Tasks[[#This Row],[_ShownFcstFinish]]+Tasks[[#This Row],[_Row]]/100000,"")</f>
        <v/>
      </c>
      <c r="GH5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7" s="43" t="str">
        <f aca="false">IF(Tasks[[#This Row],[Task Name]]="","",LEFT(Tasks[[#This Row],[WBS]],FIND(".",Tasks[[#This Row],[WBS]]&amp;".")-1))</f>
        <v/>
      </c>
      <c r="GJ57" s="43" t="str">
        <f aca="false">IF(AND(Tasks[[#This Row],[Task Name]]&lt;&gt;"",Tasks[[#This Row],[_Level]]=1),Tasks[[#This Row],[_Row]],"")</f>
        <v/>
      </c>
      <c r="GK57" s="43" t="str">
        <f aca="false">IF(AND(Tasks[[#This Row],[_IsLeaf]]=1,N(Tasks[[#This Row],[_Days]])=0),Tasks[[#This Row],[Planned Finish]]+Tasks[[#This Row],[_Row]]/100000,"")</f>
        <v/>
      </c>
      <c r="GL57" s="43" t="str">
        <f aca="false">IF(AND(Tasks[[#This Row],[_IsLeaf]]=1,Tasks[[#This Row],[_LeafProgress]]&lt;1,OR(N(Tasks[[#This Row],[Finish Var]])&gt;0,Tasks[[#This Row],[Status]]="Late Start")),MAX(0,Tasks[[#This Row],[Finish Var]])+1-Tasks[[#This Row],[_Row]]/1000000,"")</f>
        <v/>
      </c>
      <c r="GM57" s="43" t="str">
        <f aca="false">IF(AND(Tasks[[#This Row],[_IsLeaf]]=1,N(Tasks[[#This Row],[Actual Start]])=0,Tasks[[#This Row],[_ShownFcstStart]]&gt;=StatusDate,Tasks[[#This Row],[_ShownFcstStart]]&lt;=LookaheadEnd),Tasks[[#This Row],[_ShownFcstStart]]+Tasks[[#This Row],[_Row]]/100000,"")</f>
        <v/>
      </c>
      <c r="GN57" s="43" t="str">
        <f aca="false">IF(AND(Tasks[[#This Row],[_IsLeaf]]=1,Tasks[[#This Row],[_LeafProgress]]&lt;1,Tasks[[#This Row],[_ShownFcstFinish]]&gt;=StatusDate,Tasks[[#This Row],[_ShownFcstFinish]]&lt;=LookaheadEnd),Tasks[[#This Row],[_ShownFcstFinish]]+Tasks[[#This Row],[_Row]]/100000,"")</f>
        <v/>
      </c>
      <c r="GO57" s="43" t="str">
        <f aca="false">IF(Tasks[[#This Row],[_LeafCritical]],Tasks[[#This Row],[_ShownFcstStart]]+Tasks[[#This Row],[_Row]]/100000,"")</f>
        <v/>
      </c>
      <c r="GP57" s="43" t="n">
        <f aca="false">Tasks[[#This Row],[_LeafWork]]*Tasks[[#This Row],[_LeafProgress]]</f>
        <v>0</v>
      </c>
      <c r="GQ57" s="91" t="str">
        <f aca="false">IF(AND(Tasks[[#This Row],[_IsLeaf]]=1,Tasks[[#This Row],[_LeafProgress]]&gt;=1),IF(N(Tasks[[#This Row],[Actual Finish]])&gt;0,Tasks[[#This Row],[Actual Finish]],Tasks[[#This Row],[_ShownFcstFinish]]),"")</f>
        <v/>
      </c>
      <c r="GR57" s="43" t="n">
        <f aca="false">IF(Tasks[[#This Row],[_IsLeaf]]=1,N(Tasks[[#This Row],[Story Points]]),0)</f>
        <v>0</v>
      </c>
      <c r="GS57" s="43" t="str">
        <f aca="false">""</f>
        <v/>
      </c>
      <c r="GT57" s="90" t="b">
        <f aca="false">IF(Tasks[[#This Row],[Task Name]]="",FALSE(),AND(Tasks[[#This Row],[_IsLeaf]]=1,N(Tasks[[#This Row],[_Days]])=0))</f>
        <v>0</v>
      </c>
      <c r="GU57" s="91" t="n">
        <f aca="false">IF(Tasks[[#This Row],[Task Name]]="",0,IF(AND(Tasks[[#This Row],[_IsLeaf]]=1,NOT(Tasks[[#This Row],[_IsMilestone]]),N(Tasks[[#This Row],[Progress]])&gt;0),Tasks[[#This Row],[Start]],0))</f>
        <v>0</v>
      </c>
      <c r="GV57" s="91" t="n">
        <f aca="false">IF(Tasks[[#This Row],[_DoneFrom]]=0,0,IF(Tasks[[#This Row],[Progress]]&gt;=1,Tasks[[#This Row],[Finish]],MAX(Tasks[[#This Row],[_DoneFrom]],Tasks[[#This Row],[Start]]+ROUND((Tasks[[#This Row],[Finish]]-Tasks[[#This Row],[Start]]+1)*Tasks[[#This Row],[Progress]],0)-1)))</f>
        <v>0</v>
      </c>
      <c r="GW57" s="91" t="n">
        <f aca="false">IF(Tasks[[#This Row],[Task Name]]="",0,IF(OR(NOT(Tasks[[#This Row],[_IsLeaf]]=1),Tasks[[#This Row],[_IsMilestone]],N(Tasks[[#This Row],[Progress]])&gt;=1),0,IF(Tasks[[#This Row],[_DoneTo]]&gt;0,Tasks[[#This Row],[_DoneTo]]+1,Tasks[[#This Row],[Start]])))</f>
        <v>0</v>
      </c>
      <c r="GX57" s="91" t="n">
        <f aca="false">IF(Tasks[[#This Row],[_RemFrom]]=0,0,Tasks[[#This Row],[Finish]])</f>
        <v>0</v>
      </c>
      <c r="GY57" s="90" t="b">
        <f aca="false">IF(Tasks[[#This Row],[Task Name]]="",FALSE(),OR(NOT(BaselineSet),N(Tasks[[#This Row],[Baseline Start]])&gt;0))</f>
        <v>0</v>
      </c>
      <c r="GZ5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7" s="92" t="str">
        <f aca="false">IF(Tasks[[#This Row],[_IsLeaf]]=1,Tasks[[#This Row],[_Row]],"")</f>
        <v/>
      </c>
      <c r="HD57" s="92" t="str">
        <f aca="false">IFERROR(INDEX(Tasks[UID],SMALL(Tasks[_PickKey],Tasks[[#This Row],[_Row]]))&amp;" "&amp;INDEX(Tasks[Task Name],SMALL(Tasks[_PickKey],Tasks[[#This Row],[_Row]])),"")</f>
        <v/>
      </c>
      <c r="HE57" s="43" t="str">
        <f aca="false">IF(Tasks[[#This Row],[Task Name]]="","",IF(Tasks[[#This Row],[_IsSummary]],NETWORKDAYS.INTL(Tasks[[#This Row],[Start]],Tasks[[#This Row],[Finish]],WorkWeek,Holidays),N(Tasks[[#This Row],[_Days]])))</f>
        <v/>
      </c>
      <c r="HF57" s="43" t="n">
        <f aca="false">IF(Tasks[[#This Row],[Expected]]="",0,((Tasks[[#This Row],[Pessimistic]]-Tasks[[#This Row],[Optimistic]])/6)^2)</f>
        <v>0</v>
      </c>
      <c r="HG57" s="43" t="n">
        <f aca="false">IF(Tasks[[#This Row],[Expected]]="",0,Tasks[[#This Row],[Expected]]-N(Tasks[[#This Row],[_Days]]))</f>
        <v>0</v>
      </c>
    </row>
    <row r="58" customFormat="false" ht="15" hidden="false" customHeight="false" outlineLevel="0" collapsed="false">
      <c r="A58" s="21" t="str">
        <f aca="false">IF(Tasks[[#This Row],[Task Name]]="","",COUNTA(Tasks[[#Headers],[Task Name]]:Tasks[[#This Row],[Task Name]])-1)</f>
        <v/>
      </c>
      <c r="B58" s="22" t="n">
        <v>66</v>
      </c>
      <c r="C58" s="22"/>
      <c r="D58" s="23"/>
      <c r="E58" s="22"/>
      <c r="F58" s="23"/>
      <c r="G58" s="22"/>
      <c r="H58" s="22"/>
      <c r="I58" s="23"/>
      <c r="J58" s="22"/>
      <c r="K58" s="22"/>
      <c r="L58" s="23"/>
      <c r="M58" s="22"/>
      <c r="N58" s="22"/>
      <c r="O58" s="23"/>
      <c r="P58" s="22"/>
      <c r="Q58" s="22"/>
      <c r="R58" s="23"/>
      <c r="S58" s="23"/>
      <c r="T58" s="84"/>
      <c r="U58" s="23"/>
      <c r="V58" s="84"/>
      <c r="W58" s="23"/>
      <c r="X58" s="84"/>
      <c r="Y58" s="23"/>
      <c r="Z58" s="84"/>
      <c r="AA58" s="23"/>
      <c r="AB58" s="23"/>
      <c r="AC58" s="7"/>
      <c r="AD58" s="7"/>
      <c r="AE58" s="63" t="str">
        <f aca="false">IF(Tasks[[#This Row],[Task Name]]="","",IF(Tasks[[#This Row],[_IsSummary]],MIN(INDEX(Tasks[_ShownFcstStart],Tasks[[#This Row],[_Row]]+1):INDEX(Tasks[_ShownFcstStart],Tasks[[#This Row],[_Row]]+Tasks[[#This Row],[_Descendants]])),Tasks[[#This Row],[_ShownFcstStart]]))</f>
        <v/>
      </c>
      <c r="AF58" s="63" t="str">
        <f aca="false">IF(Tasks[[#This Row],[Task Name]]="","",IF(Tasks[[#This Row],[_IsSummary]],MAX(INDEX(Tasks[_ShownFcstFinish],Tasks[[#This Row],[_Row]]+1):INDEX(Tasks[_ShownFcstFinish],Tasks[[#This Row],[_Row]]+Tasks[[#This Row],[_Descendants]])),Tasks[[#This Row],[_ShownFcstFinish]]))</f>
        <v/>
      </c>
      <c r="AG58" s="21" t="str">
        <f aca="false">""</f>
        <v/>
      </c>
      <c r="AH58" s="23"/>
      <c r="AI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8" s="7"/>
      <c r="AK58" s="22"/>
      <c r="AL58" s="23"/>
      <c r="AM58" s="7"/>
      <c r="AN58" s="47" t="str">
        <f aca="false">IF(Tasks[[#This Row],[Task Name]]="","",IF(Tasks[[#This Row],[Finish]]&gt;=Tasks[[#This Row],[Planned Finish]],NETWORKDAYS.INTL(Tasks[[#This Row],[Planned Finish]],Tasks[[#This Row],[Finish]],WorkWeek,Holidays)-1,1-NETWORKDAYS.INTL(Tasks[[#This Row],[Finish]],Tasks[[#This Row],[Planned Finish]],WorkWeek,Holidays)))</f>
        <v/>
      </c>
      <c r="AO58" s="21" t="str">
        <f aca="false">IF(Tasks[[#This Row],[Task Name]]="","",IF(Tasks[[#This Row],[Progress]]&gt;=1,"Complete",IF(OR(N(Tasks[[#This Row],[Actual Start]])&gt;0,Tasks[[#This Row],[Progress]]&gt;0),IF(Tasks[[#This Row],[Finish Var]]&gt;0,"Behind","In Progress"),IF(Tasks[[#This Row],[Planned Start]]&lt;StatusDate,"Late Start","Not Started"))))</f>
        <v/>
      </c>
      <c r="AP58" s="21" t="str">
        <f aca="false">IF(Tasks[[#This Row],[Task Name]]="","",IF(IF(Tasks[[#This Row],[_IsSummary]],COUNTIF(INDEX(Tasks[_LeafCritical],Tasks[[#This Row],[_Row]]+1):INDEX(Tasks[_LeafCritical],Tasks[[#This Row],[_Row]]+Tasks[[#This Row],[_Descendants]]),TRUE())&gt;0,Tasks[[#This Row],[_LeafCritical]]),"Yes",""))</f>
        <v/>
      </c>
      <c r="AQ58" s="63" t="str">
        <f aca="false">IF(Tasks[[#This Row],[Task Name]]="","",IF(N(Tasks[[#This Row],[Baseline Start]])&gt;0,Tasks[[#This Row],[Baseline Start]],Tasks[[#This Row],[_CalcStart]]))</f>
        <v/>
      </c>
      <c r="AR58" s="63" t="str">
        <f aca="false">IF(Tasks[[#This Row],[Task Name]]="","",IF(N(Tasks[[#This Row],[Baseline Finish]])&gt;0,Tasks[[#This Row],[Baseline Finish]],Tasks[[#This Row],[_CalcFinish]]))</f>
        <v/>
      </c>
      <c r="AS58" s="47" t="str">
        <f aca="false">IF(Tasks[[#This Row],[Task Name]]="","",IF(Tasks[[#This Row],[Start]]&gt;=Tasks[[#This Row],[Planned Start]],NETWORKDAYS.INTL(Tasks[[#This Row],[Planned Start]],Tasks[[#This Row],[Start]],WorkWeek,Holidays)-1,1-NETWORKDAYS.INTL(Tasks[[#This Row],[Start]],Tasks[[#This Row],[Planned Start]],WorkWeek,Holidays)))</f>
        <v/>
      </c>
      <c r="AT58" s="63" t="str">
        <f aca="false">IF(Tasks[[#This Row],[Task Name]]="","",IF(Tasks[[#This Row],[_IsSummary]],MIN(INDEX(Tasks[_LeafLateStart],Tasks[[#This Row],[_Row]]+1):INDEX(Tasks[_LeafLateStart],Tasks[[#This Row],[_Row]]+Tasks[[#This Row],[_Descendants]])),Tasks[[#This Row],[_LeafLateStart]]))</f>
        <v/>
      </c>
      <c r="AU58" s="63" t="str">
        <f aca="false">IF(Tasks[[#This Row],[Task Name]]="","",IF(Tasks[[#This Row],[_IsSummary]],MAX(INDEX(Tasks[_LeafLateFinish],Tasks[[#This Row],[_Row]]+1):INDEX(Tasks[_LeafLateFinish],Tasks[[#This Row],[_Row]]+Tasks[[#This Row],[_Descendants]])),Tasks[[#This Row],[_LeafLateFinish]]))</f>
        <v/>
      </c>
      <c r="AV58" s="47" t="str">
        <f aca="false">IF(Tasks[[#This Row],[Task Name]]="","",IF(Tasks[[#This Row],[_IsSummary]],MIN(INDEX(Tasks[_LeafTotalSlack],Tasks[[#This Row],[_Row]]+1):INDEX(Tasks[_LeafTotalSlack],Tasks[[#This Row],[_Row]]+Tasks[[#This Row],[_Descendants]])),Tasks[[#This Row],[_LeafTotalSlack]]))</f>
        <v/>
      </c>
      <c r="AW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5"/>
      <c r="BA5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1" t="str">
        <f aca="false">IF(Tasks[[#This Row],[Task Name]]="","",IF(Tasks[[#This Row],[_Level]]&lt;=OutlineShowLevel,"Yes","No"))</f>
        <v/>
      </c>
      <c r="BE58" s="86" t="str">
        <f aca="false">IF(Tasks[[#This Row],[Task Name]]="","",IF(Tasks[[#This Row],[_IsSummary]],SUM(INDEX(Tasks[_LeafTotalWork],Tasks[[#This Row],[_Row]]+1):INDEX(Tasks[_LeafTotalWork],Tasks[[#This Row],[_Row]]+Tasks[[#This Row],[_Descendants]])),Tasks[[#This Row],[_LeafTotalWork]]))</f>
        <v/>
      </c>
      <c r="BF58" s="23"/>
      <c r="BG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8" s="21" t="str">
        <f aca="false">""</f>
        <v/>
      </c>
      <c r="BI58" s="87"/>
      <c r="BJ58" s="22"/>
      <c r="BK58" s="47" t="str">
        <f aca="false">IF(OR(Tasks[[#This Row],[Task Name]]="",Tasks[[#This Row],[Baseline Duration]]=""),"",Tasks[[#This Row],[_SpanDays]]-N(Tasks[[#This Row],[Baseline Duration]]))</f>
        <v/>
      </c>
      <c r="BL58" s="86" t="str">
        <f aca="false">IF(OR(Tasks[[#This Row],[Task Name]]="",Tasks[[#This Row],[Baseline Work]]=""),"",Tasks[[#This Row],[Work]]-N(Tasks[[#This Row],[Baseline Work]]))</f>
        <v/>
      </c>
      <c r="BM58" s="63" t="str">
        <f aca="false">IF(Tasks[[#This Row],[Task Name]]="","",IF(OR(TakeBaseline="Yes",N(Tasks[[#This Row],[Baseline Start]])=0),Tasks[[#This Row],[Start]],Tasks[[#This Row],[Baseline Start]]))</f>
        <v/>
      </c>
      <c r="BN58" s="63" t="str">
        <f aca="false">IF(Tasks[[#This Row],[Task Name]]="","",IF(OR(TakeBaseline="Yes",N(Tasks[[#This Row],[Baseline Finish]])=0),Tasks[[#This Row],[Finish]],Tasks[[#This Row],[Baseline Finish]]))</f>
        <v/>
      </c>
      <c r="BO58" s="21" t="str">
        <f aca="false">IF(Tasks[[#This Row],[Task Name]]="","",IF(OR(TakeBaseline="Yes",N(Tasks[[#This Row],[Baseline Duration]])=0),Tasks[[#This Row],[_SpanDays]],Tasks[[#This Row],[Baseline Duration]]))</f>
        <v/>
      </c>
      <c r="BP58" s="86" t="str">
        <f aca="false">IF(Tasks[[#This Row],[Task Name]]="","",IF(OR(TakeBaseline="Yes",N(Tasks[[#This Row],[Baseline Work]])=0),Tasks[[#This Row],[Work]],Tasks[[#This Row],[Baseline Work]]))</f>
        <v/>
      </c>
      <c r="BQ58" s="7"/>
      <c r="BR58" s="7"/>
      <c r="BS58" s="22"/>
      <c r="BT58" s="88"/>
      <c r="BU58" s="23"/>
      <c r="BV58" s="23"/>
      <c r="BW58" s="23"/>
      <c r="BX58" s="89" t="str">
        <f aca="false">IF(AND(Tasks[[#This Row],[_IsLeaf]]=1,ISNUMBER(Tasks[[#This Row],[Optimistic]]),ISNUMBER(Tasks[[#This Row],[Pessimistic]])),ROUND((Tasks[[#This Row],[Optimistic]]+4*N(Tasks[[#This Row],[_Days]])+Tasks[[#This Row],[Pessimistic]])/6,1),"")</f>
        <v/>
      </c>
      <c r="BY58" s="87"/>
      <c r="BZ58" s="87"/>
      <c r="CA58" s="22"/>
      <c r="CB58" s="43" t="str">
        <f aca="false">IF(Tasks[[#This Row],[Task Name]]="","",MAX(1,N(Tasks[[#This Row],[Level]])))</f>
        <v/>
      </c>
      <c r="CC58" s="43" t="n">
        <f aca="false">ROW()-ROW(Tasks[[#Headers],[ID]])</f>
        <v>53</v>
      </c>
      <c r="CD58" s="43" t="n">
        <f aca="false">IF(OR(Tasks[[#This Row],[Task Name]]="",Tasks[[#This Row],[_Level]]&lt;=1),0,IFERROR(LOOKUP(2,1/(Tasks[[#Headers],[_Level]]:Tasks[[#This Row],[_Level]]=Tasks[[#This Row],[_Level]]-1),ROW(Tasks[[#Headers],[_Level]]:Tasks[[#This Row],[_Level]])),0))</f>
        <v>0</v>
      </c>
      <c r="CE58" s="43" t="n">
        <f aca="false">IFERROR(N(INDEX(Tasks[_Level],Tasks[[#This Row],[_Row]]+1)),0)</f>
        <v>0</v>
      </c>
      <c r="CF58" s="90" t="b">
        <f aca="false">AND(Tasks[[#This Row],[Task Name]]&lt;&gt;"",Tasks[[#This Row],[_NextLevel]]&gt;Tasks[[#This Row],[_Level]])</f>
        <v>0</v>
      </c>
      <c r="CG58" s="43" t="n">
        <f aca="false">IF(Tasks[[#This Row],[_IsSummary]],COUNTIF(Tasks[WBS],Tasks[[#This Row],[WBS]]&amp;".*"),0)</f>
        <v>0</v>
      </c>
      <c r="CH58" s="43" t="n">
        <f aca="false">IF(AND(Tasks[[#This Row],[Task Name]]&lt;&gt;"",NOT(Tasks[[#This Row],[_IsSummary]])),1,0)</f>
        <v>0</v>
      </c>
      <c r="CI58" s="43" t="n">
        <f aca="false">IF(N(Tasks[[#This Row],[_Pred1UID]])=0,0,IFERROR(MATCH(Tasks[[#This Row],[_Pred1UID]],Tasks[UID],0),-1))</f>
        <v>0</v>
      </c>
      <c r="CJ58" s="43" t="n">
        <f aca="false">IF(N(Tasks[[#This Row],[_Pred2UID]])=0,0,IFERROR(MATCH(Tasks[[#This Row],[_Pred2UID]],Tasks[UID],0),-1))</f>
        <v>0</v>
      </c>
      <c r="CK58" s="43" t="n">
        <f aca="false">IF(N(Tasks[[#This Row],[_Pred3UID]])=0,0,IFERROR(MATCH(Tasks[[#This Row],[_Pred3UID]],Tasks[UID],0),-1))</f>
        <v>0</v>
      </c>
      <c r="CL58" s="43" t="n">
        <f aca="false">IF(N(Tasks[[#This Row],[_Pred4UID]])=0,0,IFERROR(MATCH(Tasks[[#This Row],[_Pred4UID]],Tasks[UID],0),-1))</f>
        <v>0</v>
      </c>
      <c r="CM5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8" s="91" t="n">
        <f aca="false">IF(OR(Tasks[[#This Row],[_ConstraintCode]]=2,Tasks[[#This Row],[_ConstraintCode]]=3,Tasks[[#This Row],[_ConstraintCode]]=4,Tasks[[#This Row],[_ConstraintCode]]=6),Tasks[[#This Row],[_ConstraintStart]],0)</f>
        <v>0</v>
      </c>
      <c r="CP58" s="91" t="n">
        <f aca="false">IF(OR(Tasks[[#This Row],[_ConstraintCode]]=2,Tasks[[#This Row],[_ConstraintCode]]=3,Tasks[[#This Row],[_ConstraintCode]]=5,Tasks[[#This Row],[_ConstraintCode]]=7),Tasks[[#This Row],[_ConstraintStart]],2958465)</f>
        <v>2958465</v>
      </c>
      <c r="CQ5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8" s="91" t="str">
        <f aca="false">IF(NOT(Tasks[[#This Row],[_IsLeaf]]=1),"",IF(N(Tasks[[#This Row],[_Days]])&lt;=0,Tasks[[#This Row],[_LeafCalcStart]],WORKDAY.INTL(Tasks[[#This Row],[_LeafCalcStart]],Tasks[[#This Row],[_Days]]-1,WorkWeek,Holidays)))</f>
        <v/>
      </c>
      <c r="CS5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8" s="43" t="str">
        <f aca="false">IF(Tasks[[#This Row],[_Predecessors]]="","",TRIM(MID(SUBSTITUTE(SUBSTITUTE(SUBSTITUTE(UPPER(Tasks[[#This Row],[_Predecessors]]),";",",")," ",""),",",REPT(" ",99)),1,99)))</f>
        <v/>
      </c>
      <c r="CV58" s="43" t="str">
        <f aca="false">IF(Tasks[[#This Row],[_Pred1Text]]="","",IFERROR(VALUE(LEFT(Tasks[[#This Row],[_Pred1Text]],MIN(FIND("F",Tasks[[#This Row],[_Pred1Text]]&amp;"F"),FIND("S",Tasks[[#This Row],[_Pred1Text]]&amp;"S"),FIND("+",Tasks[[#This Row],[_Pred1Text]]&amp;"+"),FIND("-",Tasks[[#This Row],[_Pred1Text]]&amp;"-"))-1)),""))</f>
        <v/>
      </c>
      <c r="CW5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8" s="43" t="str">
        <f aca="false">IF(Tasks[[#This Row],[_Pred1Text]]="","",TRIM(MID(SUBSTITUTE(SUBSTITUTE(SUBSTITUTE(UPPER(Tasks[[#This Row],[_Predecessors]]),";",",")," ",""),",",REPT(" ",99)),100,99)))</f>
        <v/>
      </c>
      <c r="CZ58" s="43" t="str">
        <f aca="false">IF(Tasks[[#This Row],[_Pred2Text]]="","",IFERROR(VALUE(LEFT(Tasks[[#This Row],[_Pred2Text]],MIN(FIND("F",Tasks[[#This Row],[_Pred2Text]]&amp;"F"),FIND("S",Tasks[[#This Row],[_Pred2Text]]&amp;"S"),FIND("+",Tasks[[#This Row],[_Pred2Text]]&amp;"+"),FIND("-",Tasks[[#This Row],[_Pred2Text]]&amp;"-"))-1)),""))</f>
        <v/>
      </c>
      <c r="DA5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8" s="43" t="str">
        <f aca="false">IF(Tasks[[#This Row],[_Pred2Text]]="","",TRIM(MID(SUBSTITUTE(SUBSTITUTE(SUBSTITUTE(UPPER(Tasks[[#This Row],[_Predecessors]]),";",",")," ",""),",",REPT(" ",99)),199,99)))</f>
        <v/>
      </c>
      <c r="DD58" s="43" t="str">
        <f aca="false">IF(Tasks[[#This Row],[_Pred3Text]]="","",IFERROR(VALUE(LEFT(Tasks[[#This Row],[_Pred3Text]],MIN(FIND("F",Tasks[[#This Row],[_Pred3Text]]&amp;"F"),FIND("S",Tasks[[#This Row],[_Pred3Text]]&amp;"S"),FIND("+",Tasks[[#This Row],[_Pred3Text]]&amp;"+"),FIND("-",Tasks[[#This Row],[_Pred3Text]]&amp;"-"))-1)),""))</f>
        <v/>
      </c>
      <c r="DE5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8" s="43" t="str">
        <f aca="false">IF(Tasks[[#This Row],[_Pred3Text]]="","",TRIM(MID(SUBSTITUTE(SUBSTITUTE(SUBSTITUTE(UPPER(Tasks[[#This Row],[_Predecessors]]),";",",")," ",""),",",REPT(" ",99)),298,99)))</f>
        <v/>
      </c>
      <c r="DH58" s="43" t="str">
        <f aca="false">IF(Tasks[[#This Row],[_Pred4Text]]="","",IFERROR(VALUE(LEFT(Tasks[[#This Row],[_Pred4Text]],MIN(FIND("F",Tasks[[#This Row],[_Pred4Text]]&amp;"F"),FIND("S",Tasks[[#This Row],[_Pred4Text]]&amp;"S"),FIND("+",Tasks[[#This Row],[_Pred4Text]]&amp;"+"),FIND("-",Tasks[[#This Row],[_Pred4Text]]&amp;"-"))-1)),""))</f>
        <v/>
      </c>
      <c r="DI5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8" s="43" t="str">
        <f aca="false">IF(OR(Tasks[[#This Row],[Task Name]]="",Tasks[[#This Row],[_Resources]]=""),"",TRIM(MID(SUBSTITUTE(Tasks[[#This Row],[_Resources]],",",REPT(" ",99)),1,99)))</f>
        <v/>
      </c>
      <c r="DL58" s="43" t="str">
        <f aca="false">IF(Tasks[[#This Row],[_Res1Text]]="","",TRIM(MID(SUBSTITUTE(Tasks[[#This Row],[_Resources]],",",REPT(" ",99)),100,99)))</f>
        <v/>
      </c>
      <c r="DM58" s="43" t="str">
        <f aca="false">IF(Tasks[[#This Row],[_Res2Text]]="","",TRIM(MID(SUBSTITUTE(Tasks[[#This Row],[_Resources]],",",REPT(" ",99)),199,99)))</f>
        <v/>
      </c>
      <c r="DN58" s="43" t="str">
        <f aca="false">IF(Tasks[[#This Row],[_Res3Text]]="","",TRIM(MID(SUBSTITUTE(Tasks[[#This Row],[_Resources]],",",REPT(" ",99)),298,99)))</f>
        <v/>
      </c>
      <c r="DO58" s="43" t="n">
        <f aca="false">IF(Tasks[[#This Row],[_Res1Text]]="",0,IFERROR(MATCH(TRIM(LEFT(Tasks[[#This Row],[_Res1Text]],FIND("[",Tasks[[#This Row],[_Res1Text]]&amp;"[")-1)),res_Name,0),IFERROR(MATCH(TRIM(LEFT(Tasks[[#This Row],[_Res1Text]],FIND("[",Tasks[[#This Row],[_Res1Text]]&amp;"[")-1)),res_Initials,0),0)))</f>
        <v>0</v>
      </c>
      <c r="DP58" s="43" t="n">
        <f aca="false">IF(Tasks[[#This Row],[_Res2Text]]="",0,IFERROR(MATCH(TRIM(LEFT(Tasks[[#This Row],[_Res2Text]],FIND("[",Tasks[[#This Row],[_Res2Text]]&amp;"[")-1)),res_Name,0),IFERROR(MATCH(TRIM(LEFT(Tasks[[#This Row],[_Res2Text]],FIND("[",Tasks[[#This Row],[_Res2Text]]&amp;"[")-1)),res_Initials,0),0)))</f>
        <v>0</v>
      </c>
      <c r="DQ58" s="43" t="n">
        <f aca="false">IF(Tasks[[#This Row],[_Res3Text]]="",0,IFERROR(MATCH(TRIM(LEFT(Tasks[[#This Row],[_Res3Text]],FIND("[",Tasks[[#This Row],[_Res3Text]]&amp;"[")-1)),res_Name,0),IFERROR(MATCH(TRIM(LEFT(Tasks[[#This Row],[_Res3Text]],FIND("[",Tasks[[#This Row],[_Res3Text]]&amp;"[")-1)),res_Initials,0),0)))</f>
        <v>0</v>
      </c>
      <c r="DR58" s="43" t="n">
        <f aca="false">IF(Tasks[[#This Row],[_Res4Text]]="",0,IFERROR(MATCH(TRIM(LEFT(Tasks[[#This Row],[_Res4Text]],FIND("[",Tasks[[#This Row],[_Res4Text]]&amp;"[")-1)),res_Name,0),IFERROR(MATCH(TRIM(LEFT(Tasks[[#This Row],[_Res4Text]],FIND("[",Tasks[[#This Row],[_Res4Text]]&amp;"[")-1)),res_Initials,0),0)))</f>
        <v>0</v>
      </c>
      <c r="DS58" s="43" t="str">
        <f aca="false">IF(Tasks[[#This Row],[_Res1Text]]="","",IF(Tasks[[#This Row],[_Res1Row]]&gt;0,INDEX(res_Name,Tasks[[#This Row],[_Res1Row]]),TRIM(LEFT(Tasks[[#This Row],[_Res1Text]],FIND("[",Tasks[[#This Row],[_Res1Text]]&amp;"[")-1))))</f>
        <v/>
      </c>
      <c r="DT5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8" s="43" t="n">
        <f aca="false">IF(NOT(Tasks[[#This Row],[_IsLeaf]]=1),0,(Tasks[[#This Row],[_Resource1]]&lt;&gt;"")+(Tasks[[#This Row],[_Res2]]&lt;&gt;"")+(Tasks[[#This Row],[_Res3]]&lt;&gt;"")+(Tasks[[#This Row],[_Res4]]&lt;&gt;""))</f>
        <v>0</v>
      </c>
      <c r="DV58" s="43" t="str">
        <f aca="false">IF(Tasks[[#This Row],[_Res2Text]]="","",IF(Tasks[[#This Row],[_Res2Row]]&gt;0,INDEX(res_Name,Tasks[[#This Row],[_Res2Row]]),TRIM(LEFT(Tasks[[#This Row],[_Res2Text]],FIND("[",Tasks[[#This Row],[_Res2Text]]&amp;"[")-1))))</f>
        <v/>
      </c>
      <c r="DW5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8" s="43" t="n">
        <f aca="false">IF(OR(NOT(Tasks[[#This Row],[_IsLeaf]]=1),Tasks[[#This Row],[_Res2Row]]=0),0,N(Tasks[[#This Row],[_Days]])*HoursPerDay*IF(Tasks[[#This Row],[_Res2Units]]="",DefaultUnits,Tasks[[#This Row],[_Res2Units]]))</f>
        <v>0</v>
      </c>
      <c r="DY58" s="43" t="n">
        <f aca="false">IF(AND(AND(Tasks[[#This Row],[_IsLeaf]]=1,Tasks[[#This Row],[_LeafTotalWork]]&gt;0),Tasks[[#This Row],[_Res2Work]]&gt;0),Tasks[[#This Row],[_Res2Work]]/(Tasks[[#This Row],[_FinishWorkday]]-Tasks[[#This Row],[_StartWorkday]]+1),0)</f>
        <v>0</v>
      </c>
      <c r="DZ58" s="43" t="n">
        <f aca="false">Tasks[[#This Row],[_Res2WorkPerWD]]*MAX(0,Tasks[[#This Row],[_StartWorkday]]-1)</f>
        <v>0</v>
      </c>
      <c r="EA58" s="43" t="n">
        <f aca="false">Tasks[[#This Row],[_Res2Work]]*Tasks[[#This Row],[_LeafProgress]]</f>
        <v>0</v>
      </c>
      <c r="EB58" s="43" t="str">
        <f aca="false">IF(Tasks[[#This Row],[_Res3Text]]="","",IF(Tasks[[#This Row],[_Res3Row]]&gt;0,INDEX(res_Name,Tasks[[#This Row],[_Res3Row]]),TRIM(LEFT(Tasks[[#This Row],[_Res3Text]],FIND("[",Tasks[[#This Row],[_Res3Text]]&amp;"[")-1))))</f>
        <v/>
      </c>
      <c r="EC5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8" s="43" t="n">
        <f aca="false">IF(OR(NOT(Tasks[[#This Row],[_IsLeaf]]=1),Tasks[[#This Row],[_Res3Row]]=0),0,N(Tasks[[#This Row],[_Days]])*HoursPerDay*IF(Tasks[[#This Row],[_Res3Units]]="",DefaultUnits,Tasks[[#This Row],[_Res3Units]]))</f>
        <v>0</v>
      </c>
      <c r="EE58" s="43" t="n">
        <f aca="false">IF(AND(AND(Tasks[[#This Row],[_IsLeaf]]=1,Tasks[[#This Row],[_LeafTotalWork]]&gt;0),Tasks[[#This Row],[_Res3Work]]&gt;0),Tasks[[#This Row],[_Res3Work]]/(Tasks[[#This Row],[_FinishWorkday]]-Tasks[[#This Row],[_StartWorkday]]+1),0)</f>
        <v>0</v>
      </c>
      <c r="EF58" s="43" t="n">
        <f aca="false">Tasks[[#This Row],[_Res3WorkPerWD]]*MAX(0,Tasks[[#This Row],[_StartWorkday]]-1)</f>
        <v>0</v>
      </c>
      <c r="EG58" s="43" t="n">
        <f aca="false">Tasks[[#This Row],[_Res3Work]]*Tasks[[#This Row],[_LeafProgress]]</f>
        <v>0</v>
      </c>
      <c r="EH58" s="43" t="str">
        <f aca="false">IF(Tasks[[#This Row],[_Res4Text]]="","",IF(Tasks[[#This Row],[_Res4Row]]&gt;0,INDEX(res_Name,Tasks[[#This Row],[_Res4Row]]),TRIM(LEFT(Tasks[[#This Row],[_Res4Text]],FIND("[",Tasks[[#This Row],[_Res4Text]]&amp;"[")-1))))</f>
        <v/>
      </c>
      <c r="EI5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8" s="43" t="n">
        <f aca="false">IF(OR(NOT(Tasks[[#This Row],[_IsLeaf]]=1),Tasks[[#This Row],[_Res4Row]]=0),0,N(Tasks[[#This Row],[_Days]])*HoursPerDay*IF(Tasks[[#This Row],[_Res4Units]]="",DefaultUnits,Tasks[[#This Row],[_Res4Units]]))</f>
        <v>0</v>
      </c>
      <c r="EK58" s="43" t="n">
        <f aca="false">IF(AND(AND(Tasks[[#This Row],[_IsLeaf]]=1,Tasks[[#This Row],[_LeafTotalWork]]&gt;0),Tasks[[#This Row],[_Res4Work]]&gt;0),Tasks[[#This Row],[_Res4Work]]/(Tasks[[#This Row],[_FinishWorkday]]-Tasks[[#This Row],[_StartWorkday]]+1),0)</f>
        <v>0</v>
      </c>
      <c r="EL58" s="43" t="n">
        <f aca="false">Tasks[[#This Row],[_Res4WorkPerWD]]*MAX(0,Tasks[[#This Row],[_StartWorkday]]-1)</f>
        <v>0</v>
      </c>
      <c r="EM58" s="43" t="n">
        <f aca="false">Tasks[[#This Row],[_Res4Work]]*Tasks[[#This Row],[_LeafProgress]]</f>
        <v>0</v>
      </c>
      <c r="EN58" s="43" t="n">
        <f aca="false">IF(ISNUMBER(Tasks[[#This Row],[% Complete]]),Tasks[[#This Row],[% Complete]],IF(Tasks[[#This Row],[Stage]]="",0,IFERROR(INDEX(stg_Pct,MATCH(Tasks[[#This Row],[Stage]],stg_Name,0)),0)))</f>
        <v>0</v>
      </c>
      <c r="EO58" s="43" t="n">
        <f aca="false">IF(NOT(Tasks[[#This Row],[_IsLeaf]]=1),0,IF(N(Tasks[[#This Row],[Actual Finish]])&gt;0,1,MIN(1,Tasks[[#This Row],[_Pct]])))</f>
        <v>0</v>
      </c>
      <c r="EP58" s="43" t="n">
        <f aca="false">IF(OR(NOT(Tasks[[#This Row],[_IsLeaf]]=1),Tasks[[#This Row],[_Res1Row]]=0),0,N(Tasks[[#This Row],[_Days]])*HoursPerDay*IF(Tasks[[#This Row],[_Units1]]="",DefaultUnits,Tasks[[#This Row],[_Units1]]))</f>
        <v>0</v>
      </c>
      <c r="EQ58" s="43" t="n">
        <f aca="false">Tasks[[#This Row],[_LeafWork]]+Tasks[[#This Row],[_Res2Work]]+Tasks[[#This Row],[_Res3Work]]+Tasks[[#This Row],[_Res4Work]]</f>
        <v>0</v>
      </c>
      <c r="ER5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8" s="43" t="n">
        <f aca="false">IF(NOT(Tasks[[#This Row],[_IsLeaf]]=1),0,MAX(_xlfn.MAXIFS(Tasks[_Row],Tasks[_Pred1UID],Tasks[[#This Row],[UID]]),_xlfn.MAXIFS(Tasks[_Row],Tasks[_Pred2UID],Tasks[[#This Row],[UID]]),_xlfn.MAXIFS(Tasks[_Row],Tasks[_Pred3UID],Tasks[[#This Row],[UID]]),_xlfn.MAXIFS(Tasks[_Row],Tasks[_Pred4UID],Tasks[[#This Row],[UID]])))</f>
        <v>0</v>
      </c>
      <c r="FA5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8" s="91" t="str">
        <f aca="false">IF(NOT(Tasks[[#This Row],[_IsLeaf]]=1),"",IF(N(Tasks[[#This Row],[_Days]])&lt;=0,Tasks[[#This Row],[_LeafLateFinish]],WORKDAY.INTL(Tasks[[#This Row],[_LeafLateFinish]],-(Tasks[[#This Row],[_Days]]-1),WorkWeek,Holidays)))</f>
        <v/>
      </c>
      <c r="FD5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8" s="90" t="b">
        <f aca="false">AND(Tasks[[#This Row],[_IsLeaf]]=1,Tasks[[#This Row],[_LeafProgress]]&lt;1,N(Tasks[[#This Row],[_LeafTotalSlack]])&lt;=CriticalSlackDays)</f>
        <v>0</v>
      </c>
      <c r="FF58" s="43" t="n">
        <f aca="false">IF(AND(Tasks[[#This Row],[_IsLeaf]]=1,Tasks[[#This Row],[_ConstraintCode]]=1,Tasks[[#This Row],[Mode]]&lt;&gt;"Manual",N(Tasks[[#This Row],[Actual Start]])=0),MAX(0,N(Tasks[[#This Row],[Free Slack]])),0)</f>
        <v>0</v>
      </c>
      <c r="FG58" s="91" t="str">
        <f aca="false">IF(NOT(Tasks[[#This Row],[_IsLeaf]]=1),"",IF(Tasks[[#This Row],[_AlapShift]]=0,Tasks[[#This Row],[_LeafCalcStart]],WORKDAY.INTL(Tasks[[#This Row],[_LeafCalcStart]],Tasks[[#This Row],[_AlapShift]],WorkWeek,Holidays)))</f>
        <v/>
      </c>
      <c r="FH58" s="91" t="str">
        <f aca="false">IF(NOT(Tasks[[#This Row],[_IsLeaf]]=1),"",IF(Tasks[[#This Row],[_AlapShift]]=0,Tasks[[#This Row],[_LeafCalcFinish]],WORKDAY.INTL(Tasks[[#This Row],[_LeafCalcFinish]],Tasks[[#This Row],[_AlapShift]],WorkWeek,Holidays)))</f>
        <v/>
      </c>
      <c r="FI58" s="91" t="str">
        <f aca="false">IF(NOT(Tasks[[#This Row],[_IsLeaf]]=1),"",IF(Tasks[[#This Row],[_AlapShift]]=0,Tasks[[#This Row],[_LeafFcstStart]],WORKDAY.INTL(Tasks[[#This Row],[_LeafFcstStart]],Tasks[[#This Row],[_AlapShift]],WorkWeek,Holidays)))</f>
        <v/>
      </c>
      <c r="FJ58" s="91" t="str">
        <f aca="false">IF(NOT(Tasks[[#This Row],[_IsLeaf]]=1),"",IF(Tasks[[#This Row],[_AlapShift]]=0,Tasks[[#This Row],[_LeafFcstFinish]],WORKDAY.INTL(Tasks[[#This Row],[_LeafFcstFinish]],Tasks[[#This Row],[_AlapShift]],WorkWeek,Holidays)))</f>
        <v/>
      </c>
      <c r="FK58" s="91" t="str">
        <f aca="false">IF(Tasks[[#This Row],[Task Name]]="","",IF(Tasks[[#This Row],[_IsSummary]],MIN(INDEX(Tasks[_ShownCalcStart],Tasks[[#This Row],[_Row]]+1):INDEX(Tasks[_ShownCalcStart],Tasks[[#This Row],[_Row]]+Tasks[[#This Row],[_Descendants]])),Tasks[[#This Row],[_ShownCalcStart]]))</f>
        <v/>
      </c>
      <c r="FL58" s="91" t="str">
        <f aca="false">IF(Tasks[[#This Row],[Task Name]]="","",IF(Tasks[[#This Row],[_IsSummary]],MAX(INDEX(Tasks[_ShownCalcFinish],Tasks[[#This Row],[_Row]]+1):INDEX(Tasks[_ShownCalcFinish],Tasks[[#This Row],[_Row]]+Tasks[[#This Row],[_Descendants]])),Tasks[[#This Row],[_ShownCalcFinish]]))</f>
        <v/>
      </c>
      <c r="FM5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8" s="43" t="n">
        <f aca="false">IF(AND(Tasks[[#This Row],[_IsLeaf]]=1,Tasks[[#This Row],[_LeafTotalWork]]&gt;0),NETWORKDAYS.INTL(ProjectStart,Tasks[[#This Row],[_ShownFcstStart]],WorkWeek,Holidays),0)</f>
        <v>0</v>
      </c>
      <c r="FZ58" s="43" t="n">
        <f aca="false">IF(AND(Tasks[[#This Row],[_IsLeaf]]=1,Tasks[[#This Row],[_LeafTotalWork]]&gt;0),MAX(Tasks[[#This Row],[_StartWorkday]],NETWORKDAYS.INTL(ProjectStart,Tasks[[#This Row],[_ShownFcstFinish]],WorkWeek,Holidays)),0)</f>
        <v>0</v>
      </c>
      <c r="GA58" s="43" t="n">
        <f aca="false">IF(AND(Tasks[[#This Row],[_IsLeaf]]=1,Tasks[[#This Row],[_LeafTotalWork]]&gt;0),Tasks[[#This Row],[_LeafWork]]/(Tasks[[#This Row],[_FinishWorkday]]-Tasks[[#This Row],[_StartWorkday]]+1),0)</f>
        <v>0</v>
      </c>
      <c r="GB58" s="43" t="n">
        <f aca="false">Tasks[[#This Row],[_WorkPerWorkday]]*(Tasks[[#This Row],[_StartWorkday]]-1)</f>
        <v>-0</v>
      </c>
      <c r="GC58" s="43" t="n">
        <f aca="false">IF(Tasks[[#This Row],[_IsLeaf]]=1,MAX(N(Tasks[[#This Row],[_Days]]),0.1),0)</f>
        <v>0</v>
      </c>
      <c r="GD58" s="43" t="n">
        <f aca="false">Tasks[[#This Row],[_WeightDur]]*Tasks[[#This Row],[_LeafProgress]]</f>
        <v>0</v>
      </c>
      <c r="GE58" s="43" t="n">
        <f aca="false">Tasks[[#This Row],[_WeightDur]]*Tasks[[#This Row],[_PlannedPct]]</f>
        <v>0</v>
      </c>
      <c r="GF5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8" s="43" t="str">
        <f aca="false">IF(AND(Tasks[[#This Row],[_IsLeaf]]=1,N(Tasks[[#This Row],[_Days]])=0,Tasks[[#This Row],[_LeafProgress]]&lt;1),Tasks[[#This Row],[_ShownFcstFinish]]+Tasks[[#This Row],[_Row]]/100000,"")</f>
        <v/>
      </c>
      <c r="GH5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8" s="43" t="str">
        <f aca="false">IF(Tasks[[#This Row],[Task Name]]="","",LEFT(Tasks[[#This Row],[WBS]],FIND(".",Tasks[[#This Row],[WBS]]&amp;".")-1))</f>
        <v/>
      </c>
      <c r="GJ58" s="43" t="str">
        <f aca="false">IF(AND(Tasks[[#This Row],[Task Name]]&lt;&gt;"",Tasks[[#This Row],[_Level]]=1),Tasks[[#This Row],[_Row]],"")</f>
        <v/>
      </c>
      <c r="GK58" s="43" t="str">
        <f aca="false">IF(AND(Tasks[[#This Row],[_IsLeaf]]=1,N(Tasks[[#This Row],[_Days]])=0),Tasks[[#This Row],[Planned Finish]]+Tasks[[#This Row],[_Row]]/100000,"")</f>
        <v/>
      </c>
      <c r="GL58" s="43" t="str">
        <f aca="false">IF(AND(Tasks[[#This Row],[_IsLeaf]]=1,Tasks[[#This Row],[_LeafProgress]]&lt;1,OR(N(Tasks[[#This Row],[Finish Var]])&gt;0,Tasks[[#This Row],[Status]]="Late Start")),MAX(0,Tasks[[#This Row],[Finish Var]])+1-Tasks[[#This Row],[_Row]]/1000000,"")</f>
        <v/>
      </c>
      <c r="GM58" s="43" t="str">
        <f aca="false">IF(AND(Tasks[[#This Row],[_IsLeaf]]=1,N(Tasks[[#This Row],[Actual Start]])=0,Tasks[[#This Row],[_ShownFcstStart]]&gt;=StatusDate,Tasks[[#This Row],[_ShownFcstStart]]&lt;=LookaheadEnd),Tasks[[#This Row],[_ShownFcstStart]]+Tasks[[#This Row],[_Row]]/100000,"")</f>
        <v/>
      </c>
      <c r="GN58" s="43" t="str">
        <f aca="false">IF(AND(Tasks[[#This Row],[_IsLeaf]]=1,Tasks[[#This Row],[_LeafProgress]]&lt;1,Tasks[[#This Row],[_ShownFcstFinish]]&gt;=StatusDate,Tasks[[#This Row],[_ShownFcstFinish]]&lt;=LookaheadEnd),Tasks[[#This Row],[_ShownFcstFinish]]+Tasks[[#This Row],[_Row]]/100000,"")</f>
        <v/>
      </c>
      <c r="GO58" s="43" t="str">
        <f aca="false">IF(Tasks[[#This Row],[_LeafCritical]],Tasks[[#This Row],[_ShownFcstStart]]+Tasks[[#This Row],[_Row]]/100000,"")</f>
        <v/>
      </c>
      <c r="GP58" s="43" t="n">
        <f aca="false">Tasks[[#This Row],[_LeafWork]]*Tasks[[#This Row],[_LeafProgress]]</f>
        <v>0</v>
      </c>
      <c r="GQ58" s="91" t="str">
        <f aca="false">IF(AND(Tasks[[#This Row],[_IsLeaf]]=1,Tasks[[#This Row],[_LeafProgress]]&gt;=1),IF(N(Tasks[[#This Row],[Actual Finish]])&gt;0,Tasks[[#This Row],[Actual Finish]],Tasks[[#This Row],[_ShownFcstFinish]]),"")</f>
        <v/>
      </c>
      <c r="GR58" s="43" t="n">
        <f aca="false">IF(Tasks[[#This Row],[_IsLeaf]]=1,N(Tasks[[#This Row],[Story Points]]),0)</f>
        <v>0</v>
      </c>
      <c r="GS58" s="43" t="str">
        <f aca="false">""</f>
        <v/>
      </c>
      <c r="GT58" s="90" t="b">
        <f aca="false">IF(Tasks[[#This Row],[Task Name]]="",FALSE(),AND(Tasks[[#This Row],[_IsLeaf]]=1,N(Tasks[[#This Row],[_Days]])=0))</f>
        <v>0</v>
      </c>
      <c r="GU58" s="91" t="n">
        <f aca="false">IF(Tasks[[#This Row],[Task Name]]="",0,IF(AND(Tasks[[#This Row],[_IsLeaf]]=1,NOT(Tasks[[#This Row],[_IsMilestone]]),N(Tasks[[#This Row],[Progress]])&gt;0),Tasks[[#This Row],[Start]],0))</f>
        <v>0</v>
      </c>
      <c r="GV58" s="91" t="n">
        <f aca="false">IF(Tasks[[#This Row],[_DoneFrom]]=0,0,IF(Tasks[[#This Row],[Progress]]&gt;=1,Tasks[[#This Row],[Finish]],MAX(Tasks[[#This Row],[_DoneFrom]],Tasks[[#This Row],[Start]]+ROUND((Tasks[[#This Row],[Finish]]-Tasks[[#This Row],[Start]]+1)*Tasks[[#This Row],[Progress]],0)-1)))</f>
        <v>0</v>
      </c>
      <c r="GW58" s="91" t="n">
        <f aca="false">IF(Tasks[[#This Row],[Task Name]]="",0,IF(OR(NOT(Tasks[[#This Row],[_IsLeaf]]=1),Tasks[[#This Row],[_IsMilestone]],N(Tasks[[#This Row],[Progress]])&gt;=1),0,IF(Tasks[[#This Row],[_DoneTo]]&gt;0,Tasks[[#This Row],[_DoneTo]]+1,Tasks[[#This Row],[Start]])))</f>
        <v>0</v>
      </c>
      <c r="GX58" s="91" t="n">
        <f aca="false">IF(Tasks[[#This Row],[_RemFrom]]=0,0,Tasks[[#This Row],[Finish]])</f>
        <v>0</v>
      </c>
      <c r="GY58" s="90" t="b">
        <f aca="false">IF(Tasks[[#This Row],[Task Name]]="",FALSE(),OR(NOT(BaselineSet),N(Tasks[[#This Row],[Baseline Start]])&gt;0))</f>
        <v>0</v>
      </c>
      <c r="GZ5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8" s="92" t="str">
        <f aca="false">IF(Tasks[[#This Row],[_IsLeaf]]=1,Tasks[[#This Row],[_Row]],"")</f>
        <v/>
      </c>
      <c r="HD58" s="92" t="str">
        <f aca="false">IFERROR(INDEX(Tasks[UID],SMALL(Tasks[_PickKey],Tasks[[#This Row],[_Row]]))&amp;" "&amp;INDEX(Tasks[Task Name],SMALL(Tasks[_PickKey],Tasks[[#This Row],[_Row]])),"")</f>
        <v/>
      </c>
      <c r="HE58" s="43" t="str">
        <f aca="false">IF(Tasks[[#This Row],[Task Name]]="","",IF(Tasks[[#This Row],[_IsSummary]],NETWORKDAYS.INTL(Tasks[[#This Row],[Start]],Tasks[[#This Row],[Finish]],WorkWeek,Holidays),N(Tasks[[#This Row],[_Days]])))</f>
        <v/>
      </c>
      <c r="HF58" s="43" t="n">
        <f aca="false">IF(Tasks[[#This Row],[Expected]]="",0,((Tasks[[#This Row],[Pessimistic]]-Tasks[[#This Row],[Optimistic]])/6)^2)</f>
        <v>0</v>
      </c>
      <c r="HG58" s="43" t="n">
        <f aca="false">IF(Tasks[[#This Row],[Expected]]="",0,Tasks[[#This Row],[Expected]]-N(Tasks[[#This Row],[_Days]]))</f>
        <v>0</v>
      </c>
    </row>
    <row r="59" customFormat="false" ht="15" hidden="false" customHeight="false" outlineLevel="0" collapsed="false">
      <c r="A59" s="21" t="str">
        <f aca="false">IF(Tasks[[#This Row],[Task Name]]="","",COUNTA(Tasks[[#Headers],[Task Name]]:Tasks[[#This Row],[Task Name]])-1)</f>
        <v/>
      </c>
      <c r="B59" s="22" t="n">
        <v>67</v>
      </c>
      <c r="C59" s="22"/>
      <c r="D59" s="23"/>
      <c r="E59" s="22"/>
      <c r="F59" s="23"/>
      <c r="G59" s="22"/>
      <c r="H59" s="22"/>
      <c r="I59" s="23"/>
      <c r="J59" s="22"/>
      <c r="K59" s="22"/>
      <c r="L59" s="23"/>
      <c r="M59" s="22"/>
      <c r="N59" s="22"/>
      <c r="O59" s="23"/>
      <c r="P59" s="22"/>
      <c r="Q59" s="22"/>
      <c r="R59" s="23"/>
      <c r="S59" s="23"/>
      <c r="T59" s="84"/>
      <c r="U59" s="23"/>
      <c r="V59" s="84"/>
      <c r="W59" s="23"/>
      <c r="X59" s="84"/>
      <c r="Y59" s="23"/>
      <c r="Z59" s="84"/>
      <c r="AA59" s="23"/>
      <c r="AB59" s="23"/>
      <c r="AC59" s="7"/>
      <c r="AD59" s="7"/>
      <c r="AE59" s="63" t="str">
        <f aca="false">IF(Tasks[[#This Row],[Task Name]]="","",IF(Tasks[[#This Row],[_IsSummary]],MIN(INDEX(Tasks[_ShownFcstStart],Tasks[[#This Row],[_Row]]+1):INDEX(Tasks[_ShownFcstStart],Tasks[[#This Row],[_Row]]+Tasks[[#This Row],[_Descendants]])),Tasks[[#This Row],[_ShownFcstStart]]))</f>
        <v/>
      </c>
      <c r="AF59" s="63" t="str">
        <f aca="false">IF(Tasks[[#This Row],[Task Name]]="","",IF(Tasks[[#This Row],[_IsSummary]],MAX(INDEX(Tasks[_ShownFcstFinish],Tasks[[#This Row],[_Row]]+1):INDEX(Tasks[_ShownFcstFinish],Tasks[[#This Row],[_Row]]+Tasks[[#This Row],[_Descendants]])),Tasks[[#This Row],[_ShownFcstFinish]]))</f>
        <v/>
      </c>
      <c r="AG59" s="21" t="str">
        <f aca="false">""</f>
        <v/>
      </c>
      <c r="AH59" s="23"/>
      <c r="AI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9" s="7"/>
      <c r="AK59" s="22"/>
      <c r="AL59" s="23"/>
      <c r="AM59" s="7"/>
      <c r="AN59" s="47" t="str">
        <f aca="false">IF(Tasks[[#This Row],[Task Name]]="","",IF(Tasks[[#This Row],[Finish]]&gt;=Tasks[[#This Row],[Planned Finish]],NETWORKDAYS.INTL(Tasks[[#This Row],[Planned Finish]],Tasks[[#This Row],[Finish]],WorkWeek,Holidays)-1,1-NETWORKDAYS.INTL(Tasks[[#This Row],[Finish]],Tasks[[#This Row],[Planned Finish]],WorkWeek,Holidays)))</f>
        <v/>
      </c>
      <c r="AO59" s="21" t="str">
        <f aca="false">IF(Tasks[[#This Row],[Task Name]]="","",IF(Tasks[[#This Row],[Progress]]&gt;=1,"Complete",IF(OR(N(Tasks[[#This Row],[Actual Start]])&gt;0,Tasks[[#This Row],[Progress]]&gt;0),IF(Tasks[[#This Row],[Finish Var]]&gt;0,"Behind","In Progress"),IF(Tasks[[#This Row],[Planned Start]]&lt;StatusDate,"Late Start","Not Started"))))</f>
        <v/>
      </c>
      <c r="AP59" s="21" t="str">
        <f aca="false">IF(Tasks[[#This Row],[Task Name]]="","",IF(IF(Tasks[[#This Row],[_IsSummary]],COUNTIF(INDEX(Tasks[_LeafCritical],Tasks[[#This Row],[_Row]]+1):INDEX(Tasks[_LeafCritical],Tasks[[#This Row],[_Row]]+Tasks[[#This Row],[_Descendants]]),TRUE())&gt;0,Tasks[[#This Row],[_LeafCritical]]),"Yes",""))</f>
        <v/>
      </c>
      <c r="AQ59" s="63" t="str">
        <f aca="false">IF(Tasks[[#This Row],[Task Name]]="","",IF(N(Tasks[[#This Row],[Baseline Start]])&gt;0,Tasks[[#This Row],[Baseline Start]],Tasks[[#This Row],[_CalcStart]]))</f>
        <v/>
      </c>
      <c r="AR59" s="63" t="str">
        <f aca="false">IF(Tasks[[#This Row],[Task Name]]="","",IF(N(Tasks[[#This Row],[Baseline Finish]])&gt;0,Tasks[[#This Row],[Baseline Finish]],Tasks[[#This Row],[_CalcFinish]]))</f>
        <v/>
      </c>
      <c r="AS59" s="47" t="str">
        <f aca="false">IF(Tasks[[#This Row],[Task Name]]="","",IF(Tasks[[#This Row],[Start]]&gt;=Tasks[[#This Row],[Planned Start]],NETWORKDAYS.INTL(Tasks[[#This Row],[Planned Start]],Tasks[[#This Row],[Start]],WorkWeek,Holidays)-1,1-NETWORKDAYS.INTL(Tasks[[#This Row],[Start]],Tasks[[#This Row],[Planned Start]],WorkWeek,Holidays)))</f>
        <v/>
      </c>
      <c r="AT59" s="63" t="str">
        <f aca="false">IF(Tasks[[#This Row],[Task Name]]="","",IF(Tasks[[#This Row],[_IsSummary]],MIN(INDEX(Tasks[_LeafLateStart],Tasks[[#This Row],[_Row]]+1):INDEX(Tasks[_LeafLateStart],Tasks[[#This Row],[_Row]]+Tasks[[#This Row],[_Descendants]])),Tasks[[#This Row],[_LeafLateStart]]))</f>
        <v/>
      </c>
      <c r="AU59" s="63" t="str">
        <f aca="false">IF(Tasks[[#This Row],[Task Name]]="","",IF(Tasks[[#This Row],[_IsSummary]],MAX(INDEX(Tasks[_LeafLateFinish],Tasks[[#This Row],[_Row]]+1):INDEX(Tasks[_LeafLateFinish],Tasks[[#This Row],[_Row]]+Tasks[[#This Row],[_Descendants]])),Tasks[[#This Row],[_LeafLateFinish]]))</f>
        <v/>
      </c>
      <c r="AV59" s="47" t="str">
        <f aca="false">IF(Tasks[[#This Row],[Task Name]]="","",IF(Tasks[[#This Row],[_IsSummary]],MIN(INDEX(Tasks[_LeafTotalSlack],Tasks[[#This Row],[_Row]]+1):INDEX(Tasks[_LeafTotalSlack],Tasks[[#This Row],[_Row]]+Tasks[[#This Row],[_Descendants]])),Tasks[[#This Row],[_LeafTotalSlack]]))</f>
        <v/>
      </c>
      <c r="AW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5"/>
      <c r="BA5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1" t="str">
        <f aca="false">IF(Tasks[[#This Row],[Task Name]]="","",IF(Tasks[[#This Row],[_Level]]&lt;=OutlineShowLevel,"Yes","No"))</f>
        <v/>
      </c>
      <c r="BE59" s="86" t="str">
        <f aca="false">IF(Tasks[[#This Row],[Task Name]]="","",IF(Tasks[[#This Row],[_IsSummary]],SUM(INDEX(Tasks[_LeafTotalWork],Tasks[[#This Row],[_Row]]+1):INDEX(Tasks[_LeafTotalWork],Tasks[[#This Row],[_Row]]+Tasks[[#This Row],[_Descendants]])),Tasks[[#This Row],[_LeafTotalWork]]))</f>
        <v/>
      </c>
      <c r="BF59" s="23"/>
      <c r="BG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9" s="21" t="str">
        <f aca="false">""</f>
        <v/>
      </c>
      <c r="BI59" s="87"/>
      <c r="BJ59" s="22"/>
      <c r="BK59" s="47" t="str">
        <f aca="false">IF(OR(Tasks[[#This Row],[Task Name]]="",Tasks[[#This Row],[Baseline Duration]]=""),"",Tasks[[#This Row],[_SpanDays]]-N(Tasks[[#This Row],[Baseline Duration]]))</f>
        <v/>
      </c>
      <c r="BL59" s="86" t="str">
        <f aca="false">IF(OR(Tasks[[#This Row],[Task Name]]="",Tasks[[#This Row],[Baseline Work]]=""),"",Tasks[[#This Row],[Work]]-N(Tasks[[#This Row],[Baseline Work]]))</f>
        <v/>
      </c>
      <c r="BM59" s="63" t="str">
        <f aca="false">IF(Tasks[[#This Row],[Task Name]]="","",IF(OR(TakeBaseline="Yes",N(Tasks[[#This Row],[Baseline Start]])=0),Tasks[[#This Row],[Start]],Tasks[[#This Row],[Baseline Start]]))</f>
        <v/>
      </c>
      <c r="BN59" s="63" t="str">
        <f aca="false">IF(Tasks[[#This Row],[Task Name]]="","",IF(OR(TakeBaseline="Yes",N(Tasks[[#This Row],[Baseline Finish]])=0),Tasks[[#This Row],[Finish]],Tasks[[#This Row],[Baseline Finish]]))</f>
        <v/>
      </c>
      <c r="BO59" s="21" t="str">
        <f aca="false">IF(Tasks[[#This Row],[Task Name]]="","",IF(OR(TakeBaseline="Yes",N(Tasks[[#This Row],[Baseline Duration]])=0),Tasks[[#This Row],[_SpanDays]],Tasks[[#This Row],[Baseline Duration]]))</f>
        <v/>
      </c>
      <c r="BP59" s="86" t="str">
        <f aca="false">IF(Tasks[[#This Row],[Task Name]]="","",IF(OR(TakeBaseline="Yes",N(Tasks[[#This Row],[Baseline Work]])=0),Tasks[[#This Row],[Work]],Tasks[[#This Row],[Baseline Work]]))</f>
        <v/>
      </c>
      <c r="BQ59" s="7"/>
      <c r="BR59" s="7"/>
      <c r="BS59" s="22"/>
      <c r="BT59" s="88"/>
      <c r="BU59" s="23"/>
      <c r="BV59" s="23"/>
      <c r="BW59" s="23"/>
      <c r="BX59" s="89" t="str">
        <f aca="false">IF(AND(Tasks[[#This Row],[_IsLeaf]]=1,ISNUMBER(Tasks[[#This Row],[Optimistic]]),ISNUMBER(Tasks[[#This Row],[Pessimistic]])),ROUND((Tasks[[#This Row],[Optimistic]]+4*N(Tasks[[#This Row],[_Days]])+Tasks[[#This Row],[Pessimistic]])/6,1),"")</f>
        <v/>
      </c>
      <c r="BY59" s="87"/>
      <c r="BZ59" s="87"/>
      <c r="CA59" s="22"/>
      <c r="CB59" s="43" t="str">
        <f aca="false">IF(Tasks[[#This Row],[Task Name]]="","",MAX(1,N(Tasks[[#This Row],[Level]])))</f>
        <v/>
      </c>
      <c r="CC59" s="43" t="n">
        <f aca="false">ROW()-ROW(Tasks[[#Headers],[ID]])</f>
        <v>54</v>
      </c>
      <c r="CD59" s="43" t="n">
        <f aca="false">IF(OR(Tasks[[#This Row],[Task Name]]="",Tasks[[#This Row],[_Level]]&lt;=1),0,IFERROR(LOOKUP(2,1/(Tasks[[#Headers],[_Level]]:Tasks[[#This Row],[_Level]]=Tasks[[#This Row],[_Level]]-1),ROW(Tasks[[#Headers],[_Level]]:Tasks[[#This Row],[_Level]])),0))</f>
        <v>0</v>
      </c>
      <c r="CE59" s="43" t="n">
        <f aca="false">IFERROR(N(INDEX(Tasks[_Level],Tasks[[#This Row],[_Row]]+1)),0)</f>
        <v>0</v>
      </c>
      <c r="CF59" s="90" t="b">
        <f aca="false">AND(Tasks[[#This Row],[Task Name]]&lt;&gt;"",Tasks[[#This Row],[_NextLevel]]&gt;Tasks[[#This Row],[_Level]])</f>
        <v>0</v>
      </c>
      <c r="CG59" s="43" t="n">
        <f aca="false">IF(Tasks[[#This Row],[_IsSummary]],COUNTIF(Tasks[WBS],Tasks[[#This Row],[WBS]]&amp;".*"),0)</f>
        <v>0</v>
      </c>
      <c r="CH59" s="43" t="n">
        <f aca="false">IF(AND(Tasks[[#This Row],[Task Name]]&lt;&gt;"",NOT(Tasks[[#This Row],[_IsSummary]])),1,0)</f>
        <v>0</v>
      </c>
      <c r="CI59" s="43" t="n">
        <f aca="false">IF(N(Tasks[[#This Row],[_Pred1UID]])=0,0,IFERROR(MATCH(Tasks[[#This Row],[_Pred1UID]],Tasks[UID],0),-1))</f>
        <v>0</v>
      </c>
      <c r="CJ59" s="43" t="n">
        <f aca="false">IF(N(Tasks[[#This Row],[_Pred2UID]])=0,0,IFERROR(MATCH(Tasks[[#This Row],[_Pred2UID]],Tasks[UID],0),-1))</f>
        <v>0</v>
      </c>
      <c r="CK59" s="43" t="n">
        <f aca="false">IF(N(Tasks[[#This Row],[_Pred3UID]])=0,0,IFERROR(MATCH(Tasks[[#This Row],[_Pred3UID]],Tasks[UID],0),-1))</f>
        <v>0</v>
      </c>
      <c r="CL59" s="43" t="n">
        <f aca="false">IF(N(Tasks[[#This Row],[_Pred4UID]])=0,0,IFERROR(MATCH(Tasks[[#This Row],[_Pred4UID]],Tasks[UID],0),-1))</f>
        <v>0</v>
      </c>
      <c r="CM5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9" s="91" t="n">
        <f aca="false">IF(OR(Tasks[[#This Row],[_ConstraintCode]]=2,Tasks[[#This Row],[_ConstraintCode]]=3,Tasks[[#This Row],[_ConstraintCode]]=4,Tasks[[#This Row],[_ConstraintCode]]=6),Tasks[[#This Row],[_ConstraintStart]],0)</f>
        <v>0</v>
      </c>
      <c r="CP59" s="91" t="n">
        <f aca="false">IF(OR(Tasks[[#This Row],[_ConstraintCode]]=2,Tasks[[#This Row],[_ConstraintCode]]=3,Tasks[[#This Row],[_ConstraintCode]]=5,Tasks[[#This Row],[_ConstraintCode]]=7),Tasks[[#This Row],[_ConstraintStart]],2958465)</f>
        <v>2958465</v>
      </c>
      <c r="CQ5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9" s="91" t="str">
        <f aca="false">IF(NOT(Tasks[[#This Row],[_IsLeaf]]=1),"",IF(N(Tasks[[#This Row],[_Days]])&lt;=0,Tasks[[#This Row],[_LeafCalcStart]],WORKDAY.INTL(Tasks[[#This Row],[_LeafCalcStart]],Tasks[[#This Row],[_Days]]-1,WorkWeek,Holidays)))</f>
        <v/>
      </c>
      <c r="CS5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9" s="43" t="str">
        <f aca="false">IF(Tasks[[#This Row],[_Predecessors]]="","",TRIM(MID(SUBSTITUTE(SUBSTITUTE(SUBSTITUTE(UPPER(Tasks[[#This Row],[_Predecessors]]),";",",")," ",""),",",REPT(" ",99)),1,99)))</f>
        <v/>
      </c>
      <c r="CV59" s="43" t="str">
        <f aca="false">IF(Tasks[[#This Row],[_Pred1Text]]="","",IFERROR(VALUE(LEFT(Tasks[[#This Row],[_Pred1Text]],MIN(FIND("F",Tasks[[#This Row],[_Pred1Text]]&amp;"F"),FIND("S",Tasks[[#This Row],[_Pred1Text]]&amp;"S"),FIND("+",Tasks[[#This Row],[_Pred1Text]]&amp;"+"),FIND("-",Tasks[[#This Row],[_Pred1Text]]&amp;"-"))-1)),""))</f>
        <v/>
      </c>
      <c r="CW5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9" s="43" t="str">
        <f aca="false">IF(Tasks[[#This Row],[_Pred1Text]]="","",TRIM(MID(SUBSTITUTE(SUBSTITUTE(SUBSTITUTE(UPPER(Tasks[[#This Row],[_Predecessors]]),";",",")," ",""),",",REPT(" ",99)),100,99)))</f>
        <v/>
      </c>
      <c r="CZ59" s="43" t="str">
        <f aca="false">IF(Tasks[[#This Row],[_Pred2Text]]="","",IFERROR(VALUE(LEFT(Tasks[[#This Row],[_Pred2Text]],MIN(FIND("F",Tasks[[#This Row],[_Pred2Text]]&amp;"F"),FIND("S",Tasks[[#This Row],[_Pred2Text]]&amp;"S"),FIND("+",Tasks[[#This Row],[_Pred2Text]]&amp;"+"),FIND("-",Tasks[[#This Row],[_Pred2Text]]&amp;"-"))-1)),""))</f>
        <v/>
      </c>
      <c r="DA5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9" s="43" t="str">
        <f aca="false">IF(Tasks[[#This Row],[_Pred2Text]]="","",TRIM(MID(SUBSTITUTE(SUBSTITUTE(SUBSTITUTE(UPPER(Tasks[[#This Row],[_Predecessors]]),";",",")," ",""),",",REPT(" ",99)),199,99)))</f>
        <v/>
      </c>
      <c r="DD59" s="43" t="str">
        <f aca="false">IF(Tasks[[#This Row],[_Pred3Text]]="","",IFERROR(VALUE(LEFT(Tasks[[#This Row],[_Pred3Text]],MIN(FIND("F",Tasks[[#This Row],[_Pred3Text]]&amp;"F"),FIND("S",Tasks[[#This Row],[_Pred3Text]]&amp;"S"),FIND("+",Tasks[[#This Row],[_Pred3Text]]&amp;"+"),FIND("-",Tasks[[#This Row],[_Pred3Text]]&amp;"-"))-1)),""))</f>
        <v/>
      </c>
      <c r="DE5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9" s="43" t="str">
        <f aca="false">IF(Tasks[[#This Row],[_Pred3Text]]="","",TRIM(MID(SUBSTITUTE(SUBSTITUTE(SUBSTITUTE(UPPER(Tasks[[#This Row],[_Predecessors]]),";",",")," ",""),",",REPT(" ",99)),298,99)))</f>
        <v/>
      </c>
      <c r="DH59" s="43" t="str">
        <f aca="false">IF(Tasks[[#This Row],[_Pred4Text]]="","",IFERROR(VALUE(LEFT(Tasks[[#This Row],[_Pred4Text]],MIN(FIND("F",Tasks[[#This Row],[_Pred4Text]]&amp;"F"),FIND("S",Tasks[[#This Row],[_Pred4Text]]&amp;"S"),FIND("+",Tasks[[#This Row],[_Pred4Text]]&amp;"+"),FIND("-",Tasks[[#This Row],[_Pred4Text]]&amp;"-"))-1)),""))</f>
        <v/>
      </c>
      <c r="DI5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9" s="43" t="str">
        <f aca="false">IF(OR(Tasks[[#This Row],[Task Name]]="",Tasks[[#This Row],[_Resources]]=""),"",TRIM(MID(SUBSTITUTE(Tasks[[#This Row],[_Resources]],",",REPT(" ",99)),1,99)))</f>
        <v/>
      </c>
      <c r="DL59" s="43" t="str">
        <f aca="false">IF(Tasks[[#This Row],[_Res1Text]]="","",TRIM(MID(SUBSTITUTE(Tasks[[#This Row],[_Resources]],",",REPT(" ",99)),100,99)))</f>
        <v/>
      </c>
      <c r="DM59" s="43" t="str">
        <f aca="false">IF(Tasks[[#This Row],[_Res2Text]]="","",TRIM(MID(SUBSTITUTE(Tasks[[#This Row],[_Resources]],",",REPT(" ",99)),199,99)))</f>
        <v/>
      </c>
      <c r="DN59" s="43" t="str">
        <f aca="false">IF(Tasks[[#This Row],[_Res3Text]]="","",TRIM(MID(SUBSTITUTE(Tasks[[#This Row],[_Resources]],",",REPT(" ",99)),298,99)))</f>
        <v/>
      </c>
      <c r="DO59" s="43" t="n">
        <f aca="false">IF(Tasks[[#This Row],[_Res1Text]]="",0,IFERROR(MATCH(TRIM(LEFT(Tasks[[#This Row],[_Res1Text]],FIND("[",Tasks[[#This Row],[_Res1Text]]&amp;"[")-1)),res_Name,0),IFERROR(MATCH(TRIM(LEFT(Tasks[[#This Row],[_Res1Text]],FIND("[",Tasks[[#This Row],[_Res1Text]]&amp;"[")-1)),res_Initials,0),0)))</f>
        <v>0</v>
      </c>
      <c r="DP59" s="43" t="n">
        <f aca="false">IF(Tasks[[#This Row],[_Res2Text]]="",0,IFERROR(MATCH(TRIM(LEFT(Tasks[[#This Row],[_Res2Text]],FIND("[",Tasks[[#This Row],[_Res2Text]]&amp;"[")-1)),res_Name,0),IFERROR(MATCH(TRIM(LEFT(Tasks[[#This Row],[_Res2Text]],FIND("[",Tasks[[#This Row],[_Res2Text]]&amp;"[")-1)),res_Initials,0),0)))</f>
        <v>0</v>
      </c>
      <c r="DQ59" s="43" t="n">
        <f aca="false">IF(Tasks[[#This Row],[_Res3Text]]="",0,IFERROR(MATCH(TRIM(LEFT(Tasks[[#This Row],[_Res3Text]],FIND("[",Tasks[[#This Row],[_Res3Text]]&amp;"[")-1)),res_Name,0),IFERROR(MATCH(TRIM(LEFT(Tasks[[#This Row],[_Res3Text]],FIND("[",Tasks[[#This Row],[_Res3Text]]&amp;"[")-1)),res_Initials,0),0)))</f>
        <v>0</v>
      </c>
      <c r="DR59" s="43" t="n">
        <f aca="false">IF(Tasks[[#This Row],[_Res4Text]]="",0,IFERROR(MATCH(TRIM(LEFT(Tasks[[#This Row],[_Res4Text]],FIND("[",Tasks[[#This Row],[_Res4Text]]&amp;"[")-1)),res_Name,0),IFERROR(MATCH(TRIM(LEFT(Tasks[[#This Row],[_Res4Text]],FIND("[",Tasks[[#This Row],[_Res4Text]]&amp;"[")-1)),res_Initials,0),0)))</f>
        <v>0</v>
      </c>
      <c r="DS59" s="43" t="str">
        <f aca="false">IF(Tasks[[#This Row],[_Res1Text]]="","",IF(Tasks[[#This Row],[_Res1Row]]&gt;0,INDEX(res_Name,Tasks[[#This Row],[_Res1Row]]),TRIM(LEFT(Tasks[[#This Row],[_Res1Text]],FIND("[",Tasks[[#This Row],[_Res1Text]]&amp;"[")-1))))</f>
        <v/>
      </c>
      <c r="DT5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9" s="43" t="n">
        <f aca="false">IF(NOT(Tasks[[#This Row],[_IsLeaf]]=1),0,(Tasks[[#This Row],[_Resource1]]&lt;&gt;"")+(Tasks[[#This Row],[_Res2]]&lt;&gt;"")+(Tasks[[#This Row],[_Res3]]&lt;&gt;"")+(Tasks[[#This Row],[_Res4]]&lt;&gt;""))</f>
        <v>0</v>
      </c>
      <c r="DV59" s="43" t="str">
        <f aca="false">IF(Tasks[[#This Row],[_Res2Text]]="","",IF(Tasks[[#This Row],[_Res2Row]]&gt;0,INDEX(res_Name,Tasks[[#This Row],[_Res2Row]]),TRIM(LEFT(Tasks[[#This Row],[_Res2Text]],FIND("[",Tasks[[#This Row],[_Res2Text]]&amp;"[")-1))))</f>
        <v/>
      </c>
      <c r="DW5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9" s="43" t="n">
        <f aca="false">IF(OR(NOT(Tasks[[#This Row],[_IsLeaf]]=1),Tasks[[#This Row],[_Res2Row]]=0),0,N(Tasks[[#This Row],[_Days]])*HoursPerDay*IF(Tasks[[#This Row],[_Res2Units]]="",DefaultUnits,Tasks[[#This Row],[_Res2Units]]))</f>
        <v>0</v>
      </c>
      <c r="DY59" s="43" t="n">
        <f aca="false">IF(AND(AND(Tasks[[#This Row],[_IsLeaf]]=1,Tasks[[#This Row],[_LeafTotalWork]]&gt;0),Tasks[[#This Row],[_Res2Work]]&gt;0),Tasks[[#This Row],[_Res2Work]]/(Tasks[[#This Row],[_FinishWorkday]]-Tasks[[#This Row],[_StartWorkday]]+1),0)</f>
        <v>0</v>
      </c>
      <c r="DZ59" s="43" t="n">
        <f aca="false">Tasks[[#This Row],[_Res2WorkPerWD]]*MAX(0,Tasks[[#This Row],[_StartWorkday]]-1)</f>
        <v>0</v>
      </c>
      <c r="EA59" s="43" t="n">
        <f aca="false">Tasks[[#This Row],[_Res2Work]]*Tasks[[#This Row],[_LeafProgress]]</f>
        <v>0</v>
      </c>
      <c r="EB59" s="43" t="str">
        <f aca="false">IF(Tasks[[#This Row],[_Res3Text]]="","",IF(Tasks[[#This Row],[_Res3Row]]&gt;0,INDEX(res_Name,Tasks[[#This Row],[_Res3Row]]),TRIM(LEFT(Tasks[[#This Row],[_Res3Text]],FIND("[",Tasks[[#This Row],[_Res3Text]]&amp;"[")-1))))</f>
        <v/>
      </c>
      <c r="EC5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9" s="43" t="n">
        <f aca="false">IF(OR(NOT(Tasks[[#This Row],[_IsLeaf]]=1),Tasks[[#This Row],[_Res3Row]]=0),0,N(Tasks[[#This Row],[_Days]])*HoursPerDay*IF(Tasks[[#This Row],[_Res3Units]]="",DefaultUnits,Tasks[[#This Row],[_Res3Units]]))</f>
        <v>0</v>
      </c>
      <c r="EE59" s="43" t="n">
        <f aca="false">IF(AND(AND(Tasks[[#This Row],[_IsLeaf]]=1,Tasks[[#This Row],[_LeafTotalWork]]&gt;0),Tasks[[#This Row],[_Res3Work]]&gt;0),Tasks[[#This Row],[_Res3Work]]/(Tasks[[#This Row],[_FinishWorkday]]-Tasks[[#This Row],[_StartWorkday]]+1),0)</f>
        <v>0</v>
      </c>
      <c r="EF59" s="43" t="n">
        <f aca="false">Tasks[[#This Row],[_Res3WorkPerWD]]*MAX(0,Tasks[[#This Row],[_StartWorkday]]-1)</f>
        <v>0</v>
      </c>
      <c r="EG59" s="43" t="n">
        <f aca="false">Tasks[[#This Row],[_Res3Work]]*Tasks[[#This Row],[_LeafProgress]]</f>
        <v>0</v>
      </c>
      <c r="EH59" s="43" t="str">
        <f aca="false">IF(Tasks[[#This Row],[_Res4Text]]="","",IF(Tasks[[#This Row],[_Res4Row]]&gt;0,INDEX(res_Name,Tasks[[#This Row],[_Res4Row]]),TRIM(LEFT(Tasks[[#This Row],[_Res4Text]],FIND("[",Tasks[[#This Row],[_Res4Text]]&amp;"[")-1))))</f>
        <v/>
      </c>
      <c r="EI5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9" s="43" t="n">
        <f aca="false">IF(OR(NOT(Tasks[[#This Row],[_IsLeaf]]=1),Tasks[[#This Row],[_Res4Row]]=0),0,N(Tasks[[#This Row],[_Days]])*HoursPerDay*IF(Tasks[[#This Row],[_Res4Units]]="",DefaultUnits,Tasks[[#This Row],[_Res4Units]]))</f>
        <v>0</v>
      </c>
      <c r="EK59" s="43" t="n">
        <f aca="false">IF(AND(AND(Tasks[[#This Row],[_IsLeaf]]=1,Tasks[[#This Row],[_LeafTotalWork]]&gt;0),Tasks[[#This Row],[_Res4Work]]&gt;0),Tasks[[#This Row],[_Res4Work]]/(Tasks[[#This Row],[_FinishWorkday]]-Tasks[[#This Row],[_StartWorkday]]+1),0)</f>
        <v>0</v>
      </c>
      <c r="EL59" s="43" t="n">
        <f aca="false">Tasks[[#This Row],[_Res4WorkPerWD]]*MAX(0,Tasks[[#This Row],[_StartWorkday]]-1)</f>
        <v>0</v>
      </c>
      <c r="EM59" s="43" t="n">
        <f aca="false">Tasks[[#This Row],[_Res4Work]]*Tasks[[#This Row],[_LeafProgress]]</f>
        <v>0</v>
      </c>
      <c r="EN59" s="43" t="n">
        <f aca="false">IF(ISNUMBER(Tasks[[#This Row],[% Complete]]),Tasks[[#This Row],[% Complete]],IF(Tasks[[#This Row],[Stage]]="",0,IFERROR(INDEX(stg_Pct,MATCH(Tasks[[#This Row],[Stage]],stg_Name,0)),0)))</f>
        <v>0</v>
      </c>
      <c r="EO59" s="43" t="n">
        <f aca="false">IF(NOT(Tasks[[#This Row],[_IsLeaf]]=1),0,IF(N(Tasks[[#This Row],[Actual Finish]])&gt;0,1,MIN(1,Tasks[[#This Row],[_Pct]])))</f>
        <v>0</v>
      </c>
      <c r="EP59" s="43" t="n">
        <f aca="false">IF(OR(NOT(Tasks[[#This Row],[_IsLeaf]]=1),Tasks[[#This Row],[_Res1Row]]=0),0,N(Tasks[[#This Row],[_Days]])*HoursPerDay*IF(Tasks[[#This Row],[_Units1]]="",DefaultUnits,Tasks[[#This Row],[_Units1]]))</f>
        <v>0</v>
      </c>
      <c r="EQ59" s="43" t="n">
        <f aca="false">Tasks[[#This Row],[_LeafWork]]+Tasks[[#This Row],[_Res2Work]]+Tasks[[#This Row],[_Res3Work]]+Tasks[[#This Row],[_Res4Work]]</f>
        <v>0</v>
      </c>
      <c r="ER5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9" s="43" t="n">
        <f aca="false">IF(NOT(Tasks[[#This Row],[_IsLeaf]]=1),0,MAX(_xlfn.MAXIFS(Tasks[_Row],Tasks[_Pred1UID],Tasks[[#This Row],[UID]]),_xlfn.MAXIFS(Tasks[_Row],Tasks[_Pred2UID],Tasks[[#This Row],[UID]]),_xlfn.MAXIFS(Tasks[_Row],Tasks[_Pred3UID],Tasks[[#This Row],[UID]]),_xlfn.MAXIFS(Tasks[_Row],Tasks[_Pred4UID],Tasks[[#This Row],[UID]])))</f>
        <v>0</v>
      </c>
      <c r="FA5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9" s="91" t="str">
        <f aca="false">IF(NOT(Tasks[[#This Row],[_IsLeaf]]=1),"",IF(N(Tasks[[#This Row],[_Days]])&lt;=0,Tasks[[#This Row],[_LeafLateFinish]],WORKDAY.INTL(Tasks[[#This Row],[_LeafLateFinish]],-(Tasks[[#This Row],[_Days]]-1),WorkWeek,Holidays)))</f>
        <v/>
      </c>
      <c r="FD5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9" s="90" t="b">
        <f aca="false">AND(Tasks[[#This Row],[_IsLeaf]]=1,Tasks[[#This Row],[_LeafProgress]]&lt;1,N(Tasks[[#This Row],[_LeafTotalSlack]])&lt;=CriticalSlackDays)</f>
        <v>0</v>
      </c>
      <c r="FF59" s="43" t="n">
        <f aca="false">IF(AND(Tasks[[#This Row],[_IsLeaf]]=1,Tasks[[#This Row],[_ConstraintCode]]=1,Tasks[[#This Row],[Mode]]&lt;&gt;"Manual",N(Tasks[[#This Row],[Actual Start]])=0),MAX(0,N(Tasks[[#This Row],[Free Slack]])),0)</f>
        <v>0</v>
      </c>
      <c r="FG59" s="91" t="str">
        <f aca="false">IF(NOT(Tasks[[#This Row],[_IsLeaf]]=1),"",IF(Tasks[[#This Row],[_AlapShift]]=0,Tasks[[#This Row],[_LeafCalcStart]],WORKDAY.INTL(Tasks[[#This Row],[_LeafCalcStart]],Tasks[[#This Row],[_AlapShift]],WorkWeek,Holidays)))</f>
        <v/>
      </c>
      <c r="FH59" s="91" t="str">
        <f aca="false">IF(NOT(Tasks[[#This Row],[_IsLeaf]]=1),"",IF(Tasks[[#This Row],[_AlapShift]]=0,Tasks[[#This Row],[_LeafCalcFinish]],WORKDAY.INTL(Tasks[[#This Row],[_LeafCalcFinish]],Tasks[[#This Row],[_AlapShift]],WorkWeek,Holidays)))</f>
        <v/>
      </c>
      <c r="FI59" s="91" t="str">
        <f aca="false">IF(NOT(Tasks[[#This Row],[_IsLeaf]]=1),"",IF(Tasks[[#This Row],[_AlapShift]]=0,Tasks[[#This Row],[_LeafFcstStart]],WORKDAY.INTL(Tasks[[#This Row],[_LeafFcstStart]],Tasks[[#This Row],[_AlapShift]],WorkWeek,Holidays)))</f>
        <v/>
      </c>
      <c r="FJ59" s="91" t="str">
        <f aca="false">IF(NOT(Tasks[[#This Row],[_IsLeaf]]=1),"",IF(Tasks[[#This Row],[_AlapShift]]=0,Tasks[[#This Row],[_LeafFcstFinish]],WORKDAY.INTL(Tasks[[#This Row],[_LeafFcstFinish]],Tasks[[#This Row],[_AlapShift]],WorkWeek,Holidays)))</f>
        <v/>
      </c>
      <c r="FK59" s="91" t="str">
        <f aca="false">IF(Tasks[[#This Row],[Task Name]]="","",IF(Tasks[[#This Row],[_IsSummary]],MIN(INDEX(Tasks[_ShownCalcStart],Tasks[[#This Row],[_Row]]+1):INDEX(Tasks[_ShownCalcStart],Tasks[[#This Row],[_Row]]+Tasks[[#This Row],[_Descendants]])),Tasks[[#This Row],[_ShownCalcStart]]))</f>
        <v/>
      </c>
      <c r="FL59" s="91" t="str">
        <f aca="false">IF(Tasks[[#This Row],[Task Name]]="","",IF(Tasks[[#This Row],[_IsSummary]],MAX(INDEX(Tasks[_ShownCalcFinish],Tasks[[#This Row],[_Row]]+1):INDEX(Tasks[_ShownCalcFinish],Tasks[[#This Row],[_Row]]+Tasks[[#This Row],[_Descendants]])),Tasks[[#This Row],[_ShownCalcFinish]]))</f>
        <v/>
      </c>
      <c r="FM5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9" s="43" t="n">
        <f aca="false">IF(AND(Tasks[[#This Row],[_IsLeaf]]=1,Tasks[[#This Row],[_LeafTotalWork]]&gt;0),NETWORKDAYS.INTL(ProjectStart,Tasks[[#This Row],[_ShownFcstStart]],WorkWeek,Holidays),0)</f>
        <v>0</v>
      </c>
      <c r="FZ59" s="43" t="n">
        <f aca="false">IF(AND(Tasks[[#This Row],[_IsLeaf]]=1,Tasks[[#This Row],[_LeafTotalWork]]&gt;0),MAX(Tasks[[#This Row],[_StartWorkday]],NETWORKDAYS.INTL(ProjectStart,Tasks[[#This Row],[_ShownFcstFinish]],WorkWeek,Holidays)),0)</f>
        <v>0</v>
      </c>
      <c r="GA59" s="43" t="n">
        <f aca="false">IF(AND(Tasks[[#This Row],[_IsLeaf]]=1,Tasks[[#This Row],[_LeafTotalWork]]&gt;0),Tasks[[#This Row],[_LeafWork]]/(Tasks[[#This Row],[_FinishWorkday]]-Tasks[[#This Row],[_StartWorkday]]+1),0)</f>
        <v>0</v>
      </c>
      <c r="GB59" s="43" t="n">
        <f aca="false">Tasks[[#This Row],[_WorkPerWorkday]]*(Tasks[[#This Row],[_StartWorkday]]-1)</f>
        <v>-0</v>
      </c>
      <c r="GC59" s="43" t="n">
        <f aca="false">IF(Tasks[[#This Row],[_IsLeaf]]=1,MAX(N(Tasks[[#This Row],[_Days]]),0.1),0)</f>
        <v>0</v>
      </c>
      <c r="GD59" s="43" t="n">
        <f aca="false">Tasks[[#This Row],[_WeightDur]]*Tasks[[#This Row],[_LeafProgress]]</f>
        <v>0</v>
      </c>
      <c r="GE59" s="43" t="n">
        <f aca="false">Tasks[[#This Row],[_WeightDur]]*Tasks[[#This Row],[_PlannedPct]]</f>
        <v>0</v>
      </c>
      <c r="GF5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9" s="43" t="str">
        <f aca="false">IF(AND(Tasks[[#This Row],[_IsLeaf]]=1,N(Tasks[[#This Row],[_Days]])=0,Tasks[[#This Row],[_LeafProgress]]&lt;1),Tasks[[#This Row],[_ShownFcstFinish]]+Tasks[[#This Row],[_Row]]/100000,"")</f>
        <v/>
      </c>
      <c r="GH5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9" s="43" t="str">
        <f aca="false">IF(Tasks[[#This Row],[Task Name]]="","",LEFT(Tasks[[#This Row],[WBS]],FIND(".",Tasks[[#This Row],[WBS]]&amp;".")-1))</f>
        <v/>
      </c>
      <c r="GJ59" s="43" t="str">
        <f aca="false">IF(AND(Tasks[[#This Row],[Task Name]]&lt;&gt;"",Tasks[[#This Row],[_Level]]=1),Tasks[[#This Row],[_Row]],"")</f>
        <v/>
      </c>
      <c r="GK59" s="43" t="str">
        <f aca="false">IF(AND(Tasks[[#This Row],[_IsLeaf]]=1,N(Tasks[[#This Row],[_Days]])=0),Tasks[[#This Row],[Planned Finish]]+Tasks[[#This Row],[_Row]]/100000,"")</f>
        <v/>
      </c>
      <c r="GL59" s="43" t="str">
        <f aca="false">IF(AND(Tasks[[#This Row],[_IsLeaf]]=1,Tasks[[#This Row],[_LeafProgress]]&lt;1,OR(N(Tasks[[#This Row],[Finish Var]])&gt;0,Tasks[[#This Row],[Status]]="Late Start")),MAX(0,Tasks[[#This Row],[Finish Var]])+1-Tasks[[#This Row],[_Row]]/1000000,"")</f>
        <v/>
      </c>
      <c r="GM59" s="43" t="str">
        <f aca="false">IF(AND(Tasks[[#This Row],[_IsLeaf]]=1,N(Tasks[[#This Row],[Actual Start]])=0,Tasks[[#This Row],[_ShownFcstStart]]&gt;=StatusDate,Tasks[[#This Row],[_ShownFcstStart]]&lt;=LookaheadEnd),Tasks[[#This Row],[_ShownFcstStart]]+Tasks[[#This Row],[_Row]]/100000,"")</f>
        <v/>
      </c>
      <c r="GN59" s="43" t="str">
        <f aca="false">IF(AND(Tasks[[#This Row],[_IsLeaf]]=1,Tasks[[#This Row],[_LeafProgress]]&lt;1,Tasks[[#This Row],[_ShownFcstFinish]]&gt;=StatusDate,Tasks[[#This Row],[_ShownFcstFinish]]&lt;=LookaheadEnd),Tasks[[#This Row],[_ShownFcstFinish]]+Tasks[[#This Row],[_Row]]/100000,"")</f>
        <v/>
      </c>
      <c r="GO59" s="43" t="str">
        <f aca="false">IF(Tasks[[#This Row],[_LeafCritical]],Tasks[[#This Row],[_ShownFcstStart]]+Tasks[[#This Row],[_Row]]/100000,"")</f>
        <v/>
      </c>
      <c r="GP59" s="43" t="n">
        <f aca="false">Tasks[[#This Row],[_LeafWork]]*Tasks[[#This Row],[_LeafProgress]]</f>
        <v>0</v>
      </c>
      <c r="GQ59" s="91" t="str">
        <f aca="false">IF(AND(Tasks[[#This Row],[_IsLeaf]]=1,Tasks[[#This Row],[_LeafProgress]]&gt;=1),IF(N(Tasks[[#This Row],[Actual Finish]])&gt;0,Tasks[[#This Row],[Actual Finish]],Tasks[[#This Row],[_ShownFcstFinish]]),"")</f>
        <v/>
      </c>
      <c r="GR59" s="43" t="n">
        <f aca="false">IF(Tasks[[#This Row],[_IsLeaf]]=1,N(Tasks[[#This Row],[Story Points]]),0)</f>
        <v>0</v>
      </c>
      <c r="GS59" s="43" t="str">
        <f aca="false">""</f>
        <v/>
      </c>
      <c r="GT59" s="90" t="b">
        <f aca="false">IF(Tasks[[#This Row],[Task Name]]="",FALSE(),AND(Tasks[[#This Row],[_IsLeaf]]=1,N(Tasks[[#This Row],[_Days]])=0))</f>
        <v>0</v>
      </c>
      <c r="GU59" s="91" t="n">
        <f aca="false">IF(Tasks[[#This Row],[Task Name]]="",0,IF(AND(Tasks[[#This Row],[_IsLeaf]]=1,NOT(Tasks[[#This Row],[_IsMilestone]]),N(Tasks[[#This Row],[Progress]])&gt;0),Tasks[[#This Row],[Start]],0))</f>
        <v>0</v>
      </c>
      <c r="GV59" s="91" t="n">
        <f aca="false">IF(Tasks[[#This Row],[_DoneFrom]]=0,0,IF(Tasks[[#This Row],[Progress]]&gt;=1,Tasks[[#This Row],[Finish]],MAX(Tasks[[#This Row],[_DoneFrom]],Tasks[[#This Row],[Start]]+ROUND((Tasks[[#This Row],[Finish]]-Tasks[[#This Row],[Start]]+1)*Tasks[[#This Row],[Progress]],0)-1)))</f>
        <v>0</v>
      </c>
      <c r="GW59" s="91" t="n">
        <f aca="false">IF(Tasks[[#This Row],[Task Name]]="",0,IF(OR(NOT(Tasks[[#This Row],[_IsLeaf]]=1),Tasks[[#This Row],[_IsMilestone]],N(Tasks[[#This Row],[Progress]])&gt;=1),0,IF(Tasks[[#This Row],[_DoneTo]]&gt;0,Tasks[[#This Row],[_DoneTo]]+1,Tasks[[#This Row],[Start]])))</f>
        <v>0</v>
      </c>
      <c r="GX59" s="91" t="n">
        <f aca="false">IF(Tasks[[#This Row],[_RemFrom]]=0,0,Tasks[[#This Row],[Finish]])</f>
        <v>0</v>
      </c>
      <c r="GY59" s="90" t="b">
        <f aca="false">IF(Tasks[[#This Row],[Task Name]]="",FALSE(),OR(NOT(BaselineSet),N(Tasks[[#This Row],[Baseline Start]])&gt;0))</f>
        <v>0</v>
      </c>
      <c r="GZ5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9" s="92" t="str">
        <f aca="false">IF(Tasks[[#This Row],[_IsLeaf]]=1,Tasks[[#This Row],[_Row]],"")</f>
        <v/>
      </c>
      <c r="HD59" s="92" t="str">
        <f aca="false">IFERROR(INDEX(Tasks[UID],SMALL(Tasks[_PickKey],Tasks[[#This Row],[_Row]]))&amp;" "&amp;INDEX(Tasks[Task Name],SMALL(Tasks[_PickKey],Tasks[[#This Row],[_Row]])),"")</f>
        <v/>
      </c>
      <c r="HE59" s="43" t="str">
        <f aca="false">IF(Tasks[[#This Row],[Task Name]]="","",IF(Tasks[[#This Row],[_IsSummary]],NETWORKDAYS.INTL(Tasks[[#This Row],[Start]],Tasks[[#This Row],[Finish]],WorkWeek,Holidays),N(Tasks[[#This Row],[_Days]])))</f>
        <v/>
      </c>
      <c r="HF59" s="43" t="n">
        <f aca="false">IF(Tasks[[#This Row],[Expected]]="",0,((Tasks[[#This Row],[Pessimistic]]-Tasks[[#This Row],[Optimistic]])/6)^2)</f>
        <v>0</v>
      </c>
      <c r="HG59" s="43" t="n">
        <f aca="false">IF(Tasks[[#This Row],[Expected]]="",0,Tasks[[#This Row],[Expected]]-N(Tasks[[#This Row],[_Days]]))</f>
        <v>0</v>
      </c>
    </row>
    <row r="60" customFormat="false" ht="15" hidden="false" customHeight="false" outlineLevel="0" collapsed="false">
      <c r="A60" s="21" t="str">
        <f aca="false">IF(Tasks[[#This Row],[Task Name]]="","",COUNTA(Tasks[[#Headers],[Task Name]]:Tasks[[#This Row],[Task Name]])-1)</f>
        <v/>
      </c>
      <c r="B60" s="22" t="n">
        <v>68</v>
      </c>
      <c r="C60" s="22"/>
      <c r="D60" s="23"/>
      <c r="E60" s="22"/>
      <c r="F60" s="23"/>
      <c r="G60" s="22"/>
      <c r="H60" s="22"/>
      <c r="I60" s="23"/>
      <c r="J60" s="22"/>
      <c r="K60" s="22"/>
      <c r="L60" s="23"/>
      <c r="M60" s="22"/>
      <c r="N60" s="22"/>
      <c r="O60" s="23"/>
      <c r="P60" s="22"/>
      <c r="Q60" s="22"/>
      <c r="R60" s="23"/>
      <c r="S60" s="23"/>
      <c r="T60" s="84"/>
      <c r="U60" s="23"/>
      <c r="V60" s="84"/>
      <c r="W60" s="23"/>
      <c r="X60" s="84"/>
      <c r="Y60" s="23"/>
      <c r="Z60" s="84"/>
      <c r="AA60" s="23"/>
      <c r="AB60" s="23"/>
      <c r="AC60" s="7"/>
      <c r="AD60" s="7"/>
      <c r="AE60" s="63" t="str">
        <f aca="false">IF(Tasks[[#This Row],[Task Name]]="","",IF(Tasks[[#This Row],[_IsSummary]],MIN(INDEX(Tasks[_ShownFcstStart],Tasks[[#This Row],[_Row]]+1):INDEX(Tasks[_ShownFcstStart],Tasks[[#This Row],[_Row]]+Tasks[[#This Row],[_Descendants]])),Tasks[[#This Row],[_ShownFcstStart]]))</f>
        <v/>
      </c>
      <c r="AF60" s="63" t="str">
        <f aca="false">IF(Tasks[[#This Row],[Task Name]]="","",IF(Tasks[[#This Row],[_IsSummary]],MAX(INDEX(Tasks[_ShownFcstFinish],Tasks[[#This Row],[_Row]]+1):INDEX(Tasks[_ShownFcstFinish],Tasks[[#This Row],[_Row]]+Tasks[[#This Row],[_Descendants]])),Tasks[[#This Row],[_ShownFcstFinish]]))</f>
        <v/>
      </c>
      <c r="AG60" s="21" t="str">
        <f aca="false">""</f>
        <v/>
      </c>
      <c r="AH60" s="23"/>
      <c r="AI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0" s="7"/>
      <c r="AK60" s="22"/>
      <c r="AL60" s="23"/>
      <c r="AM60" s="7"/>
      <c r="AN60" s="47" t="str">
        <f aca="false">IF(Tasks[[#This Row],[Task Name]]="","",IF(Tasks[[#This Row],[Finish]]&gt;=Tasks[[#This Row],[Planned Finish]],NETWORKDAYS.INTL(Tasks[[#This Row],[Planned Finish]],Tasks[[#This Row],[Finish]],WorkWeek,Holidays)-1,1-NETWORKDAYS.INTL(Tasks[[#This Row],[Finish]],Tasks[[#This Row],[Planned Finish]],WorkWeek,Holidays)))</f>
        <v/>
      </c>
      <c r="AO60" s="21" t="str">
        <f aca="false">IF(Tasks[[#This Row],[Task Name]]="","",IF(Tasks[[#This Row],[Progress]]&gt;=1,"Complete",IF(OR(N(Tasks[[#This Row],[Actual Start]])&gt;0,Tasks[[#This Row],[Progress]]&gt;0),IF(Tasks[[#This Row],[Finish Var]]&gt;0,"Behind","In Progress"),IF(Tasks[[#This Row],[Planned Start]]&lt;StatusDate,"Late Start","Not Started"))))</f>
        <v/>
      </c>
      <c r="AP60" s="21" t="str">
        <f aca="false">IF(Tasks[[#This Row],[Task Name]]="","",IF(IF(Tasks[[#This Row],[_IsSummary]],COUNTIF(INDEX(Tasks[_LeafCritical],Tasks[[#This Row],[_Row]]+1):INDEX(Tasks[_LeafCritical],Tasks[[#This Row],[_Row]]+Tasks[[#This Row],[_Descendants]]),TRUE())&gt;0,Tasks[[#This Row],[_LeafCritical]]),"Yes",""))</f>
        <v/>
      </c>
      <c r="AQ60" s="63" t="str">
        <f aca="false">IF(Tasks[[#This Row],[Task Name]]="","",IF(N(Tasks[[#This Row],[Baseline Start]])&gt;0,Tasks[[#This Row],[Baseline Start]],Tasks[[#This Row],[_CalcStart]]))</f>
        <v/>
      </c>
      <c r="AR60" s="63" t="str">
        <f aca="false">IF(Tasks[[#This Row],[Task Name]]="","",IF(N(Tasks[[#This Row],[Baseline Finish]])&gt;0,Tasks[[#This Row],[Baseline Finish]],Tasks[[#This Row],[_CalcFinish]]))</f>
        <v/>
      </c>
      <c r="AS60" s="47" t="str">
        <f aca="false">IF(Tasks[[#This Row],[Task Name]]="","",IF(Tasks[[#This Row],[Start]]&gt;=Tasks[[#This Row],[Planned Start]],NETWORKDAYS.INTL(Tasks[[#This Row],[Planned Start]],Tasks[[#This Row],[Start]],WorkWeek,Holidays)-1,1-NETWORKDAYS.INTL(Tasks[[#This Row],[Start]],Tasks[[#This Row],[Planned Start]],WorkWeek,Holidays)))</f>
        <v/>
      </c>
      <c r="AT60" s="63" t="str">
        <f aca="false">IF(Tasks[[#This Row],[Task Name]]="","",IF(Tasks[[#This Row],[_IsSummary]],MIN(INDEX(Tasks[_LeafLateStart],Tasks[[#This Row],[_Row]]+1):INDEX(Tasks[_LeafLateStart],Tasks[[#This Row],[_Row]]+Tasks[[#This Row],[_Descendants]])),Tasks[[#This Row],[_LeafLateStart]]))</f>
        <v/>
      </c>
      <c r="AU60" s="63" t="str">
        <f aca="false">IF(Tasks[[#This Row],[Task Name]]="","",IF(Tasks[[#This Row],[_IsSummary]],MAX(INDEX(Tasks[_LeafLateFinish],Tasks[[#This Row],[_Row]]+1):INDEX(Tasks[_LeafLateFinish],Tasks[[#This Row],[_Row]]+Tasks[[#This Row],[_Descendants]])),Tasks[[#This Row],[_LeafLateFinish]]))</f>
        <v/>
      </c>
      <c r="AV60" s="47" t="str">
        <f aca="false">IF(Tasks[[#This Row],[Task Name]]="","",IF(Tasks[[#This Row],[_IsSummary]],MIN(INDEX(Tasks[_LeafTotalSlack],Tasks[[#This Row],[_Row]]+1):INDEX(Tasks[_LeafTotalSlack],Tasks[[#This Row],[_Row]]+Tasks[[#This Row],[_Descendants]])),Tasks[[#This Row],[_LeafTotalSlack]]))</f>
        <v/>
      </c>
      <c r="AW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5"/>
      <c r="BA6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1" t="str">
        <f aca="false">IF(Tasks[[#This Row],[Task Name]]="","",IF(Tasks[[#This Row],[_Level]]&lt;=OutlineShowLevel,"Yes","No"))</f>
        <v/>
      </c>
      <c r="BE60" s="86" t="str">
        <f aca="false">IF(Tasks[[#This Row],[Task Name]]="","",IF(Tasks[[#This Row],[_IsSummary]],SUM(INDEX(Tasks[_LeafTotalWork],Tasks[[#This Row],[_Row]]+1):INDEX(Tasks[_LeafTotalWork],Tasks[[#This Row],[_Row]]+Tasks[[#This Row],[_Descendants]])),Tasks[[#This Row],[_LeafTotalWork]]))</f>
        <v/>
      </c>
      <c r="BF60" s="23"/>
      <c r="BG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0" s="21" t="str">
        <f aca="false">""</f>
        <v/>
      </c>
      <c r="BI60" s="87"/>
      <c r="BJ60" s="22"/>
      <c r="BK60" s="47" t="str">
        <f aca="false">IF(OR(Tasks[[#This Row],[Task Name]]="",Tasks[[#This Row],[Baseline Duration]]=""),"",Tasks[[#This Row],[_SpanDays]]-N(Tasks[[#This Row],[Baseline Duration]]))</f>
        <v/>
      </c>
      <c r="BL60" s="86" t="str">
        <f aca="false">IF(OR(Tasks[[#This Row],[Task Name]]="",Tasks[[#This Row],[Baseline Work]]=""),"",Tasks[[#This Row],[Work]]-N(Tasks[[#This Row],[Baseline Work]]))</f>
        <v/>
      </c>
      <c r="BM60" s="63" t="str">
        <f aca="false">IF(Tasks[[#This Row],[Task Name]]="","",IF(OR(TakeBaseline="Yes",N(Tasks[[#This Row],[Baseline Start]])=0),Tasks[[#This Row],[Start]],Tasks[[#This Row],[Baseline Start]]))</f>
        <v/>
      </c>
      <c r="BN60" s="63" t="str">
        <f aca="false">IF(Tasks[[#This Row],[Task Name]]="","",IF(OR(TakeBaseline="Yes",N(Tasks[[#This Row],[Baseline Finish]])=0),Tasks[[#This Row],[Finish]],Tasks[[#This Row],[Baseline Finish]]))</f>
        <v/>
      </c>
      <c r="BO60" s="21" t="str">
        <f aca="false">IF(Tasks[[#This Row],[Task Name]]="","",IF(OR(TakeBaseline="Yes",N(Tasks[[#This Row],[Baseline Duration]])=0),Tasks[[#This Row],[_SpanDays]],Tasks[[#This Row],[Baseline Duration]]))</f>
        <v/>
      </c>
      <c r="BP60" s="86" t="str">
        <f aca="false">IF(Tasks[[#This Row],[Task Name]]="","",IF(OR(TakeBaseline="Yes",N(Tasks[[#This Row],[Baseline Work]])=0),Tasks[[#This Row],[Work]],Tasks[[#This Row],[Baseline Work]]))</f>
        <v/>
      </c>
      <c r="BQ60" s="7"/>
      <c r="BR60" s="7"/>
      <c r="BS60" s="22"/>
      <c r="BT60" s="88"/>
      <c r="BU60" s="23"/>
      <c r="BV60" s="23"/>
      <c r="BW60" s="23"/>
      <c r="BX60" s="89" t="str">
        <f aca="false">IF(AND(Tasks[[#This Row],[_IsLeaf]]=1,ISNUMBER(Tasks[[#This Row],[Optimistic]]),ISNUMBER(Tasks[[#This Row],[Pessimistic]])),ROUND((Tasks[[#This Row],[Optimistic]]+4*N(Tasks[[#This Row],[_Days]])+Tasks[[#This Row],[Pessimistic]])/6,1),"")</f>
        <v/>
      </c>
      <c r="BY60" s="87"/>
      <c r="BZ60" s="87"/>
      <c r="CA60" s="22"/>
      <c r="CB60" s="43" t="str">
        <f aca="false">IF(Tasks[[#This Row],[Task Name]]="","",MAX(1,N(Tasks[[#This Row],[Level]])))</f>
        <v/>
      </c>
      <c r="CC60" s="43" t="n">
        <f aca="false">ROW()-ROW(Tasks[[#Headers],[ID]])</f>
        <v>55</v>
      </c>
      <c r="CD60" s="43" t="n">
        <f aca="false">IF(OR(Tasks[[#This Row],[Task Name]]="",Tasks[[#This Row],[_Level]]&lt;=1),0,IFERROR(LOOKUP(2,1/(Tasks[[#Headers],[_Level]]:Tasks[[#This Row],[_Level]]=Tasks[[#This Row],[_Level]]-1),ROW(Tasks[[#Headers],[_Level]]:Tasks[[#This Row],[_Level]])),0))</f>
        <v>0</v>
      </c>
      <c r="CE60" s="43" t="n">
        <f aca="false">IFERROR(N(INDEX(Tasks[_Level],Tasks[[#This Row],[_Row]]+1)),0)</f>
        <v>0</v>
      </c>
      <c r="CF60" s="90" t="b">
        <f aca="false">AND(Tasks[[#This Row],[Task Name]]&lt;&gt;"",Tasks[[#This Row],[_NextLevel]]&gt;Tasks[[#This Row],[_Level]])</f>
        <v>0</v>
      </c>
      <c r="CG60" s="43" t="n">
        <f aca="false">IF(Tasks[[#This Row],[_IsSummary]],COUNTIF(Tasks[WBS],Tasks[[#This Row],[WBS]]&amp;".*"),0)</f>
        <v>0</v>
      </c>
      <c r="CH60" s="43" t="n">
        <f aca="false">IF(AND(Tasks[[#This Row],[Task Name]]&lt;&gt;"",NOT(Tasks[[#This Row],[_IsSummary]])),1,0)</f>
        <v>0</v>
      </c>
      <c r="CI60" s="43" t="n">
        <f aca="false">IF(N(Tasks[[#This Row],[_Pred1UID]])=0,0,IFERROR(MATCH(Tasks[[#This Row],[_Pred1UID]],Tasks[UID],0),-1))</f>
        <v>0</v>
      </c>
      <c r="CJ60" s="43" t="n">
        <f aca="false">IF(N(Tasks[[#This Row],[_Pred2UID]])=0,0,IFERROR(MATCH(Tasks[[#This Row],[_Pred2UID]],Tasks[UID],0),-1))</f>
        <v>0</v>
      </c>
      <c r="CK60" s="43" t="n">
        <f aca="false">IF(N(Tasks[[#This Row],[_Pred3UID]])=0,0,IFERROR(MATCH(Tasks[[#This Row],[_Pred3UID]],Tasks[UID],0),-1))</f>
        <v>0</v>
      </c>
      <c r="CL60" s="43" t="n">
        <f aca="false">IF(N(Tasks[[#This Row],[_Pred4UID]])=0,0,IFERROR(MATCH(Tasks[[#This Row],[_Pred4UID]],Tasks[UID],0),-1))</f>
        <v>0</v>
      </c>
      <c r="CM6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0" s="91" t="n">
        <f aca="false">IF(OR(Tasks[[#This Row],[_ConstraintCode]]=2,Tasks[[#This Row],[_ConstraintCode]]=3,Tasks[[#This Row],[_ConstraintCode]]=4,Tasks[[#This Row],[_ConstraintCode]]=6),Tasks[[#This Row],[_ConstraintStart]],0)</f>
        <v>0</v>
      </c>
      <c r="CP60" s="91" t="n">
        <f aca="false">IF(OR(Tasks[[#This Row],[_ConstraintCode]]=2,Tasks[[#This Row],[_ConstraintCode]]=3,Tasks[[#This Row],[_ConstraintCode]]=5,Tasks[[#This Row],[_ConstraintCode]]=7),Tasks[[#This Row],[_ConstraintStart]],2958465)</f>
        <v>2958465</v>
      </c>
      <c r="CQ6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0" s="91" t="str">
        <f aca="false">IF(NOT(Tasks[[#This Row],[_IsLeaf]]=1),"",IF(N(Tasks[[#This Row],[_Days]])&lt;=0,Tasks[[#This Row],[_LeafCalcStart]],WORKDAY.INTL(Tasks[[#This Row],[_LeafCalcStart]],Tasks[[#This Row],[_Days]]-1,WorkWeek,Holidays)))</f>
        <v/>
      </c>
      <c r="CS6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0" s="43" t="str">
        <f aca="false">IF(Tasks[[#This Row],[_Predecessors]]="","",TRIM(MID(SUBSTITUTE(SUBSTITUTE(SUBSTITUTE(UPPER(Tasks[[#This Row],[_Predecessors]]),";",",")," ",""),",",REPT(" ",99)),1,99)))</f>
        <v/>
      </c>
      <c r="CV60" s="43" t="str">
        <f aca="false">IF(Tasks[[#This Row],[_Pred1Text]]="","",IFERROR(VALUE(LEFT(Tasks[[#This Row],[_Pred1Text]],MIN(FIND("F",Tasks[[#This Row],[_Pred1Text]]&amp;"F"),FIND("S",Tasks[[#This Row],[_Pred1Text]]&amp;"S"),FIND("+",Tasks[[#This Row],[_Pred1Text]]&amp;"+"),FIND("-",Tasks[[#This Row],[_Pred1Text]]&amp;"-"))-1)),""))</f>
        <v/>
      </c>
      <c r="CW6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0" s="43" t="str">
        <f aca="false">IF(Tasks[[#This Row],[_Pred1Text]]="","",TRIM(MID(SUBSTITUTE(SUBSTITUTE(SUBSTITUTE(UPPER(Tasks[[#This Row],[_Predecessors]]),";",",")," ",""),",",REPT(" ",99)),100,99)))</f>
        <v/>
      </c>
      <c r="CZ60" s="43" t="str">
        <f aca="false">IF(Tasks[[#This Row],[_Pred2Text]]="","",IFERROR(VALUE(LEFT(Tasks[[#This Row],[_Pred2Text]],MIN(FIND("F",Tasks[[#This Row],[_Pred2Text]]&amp;"F"),FIND("S",Tasks[[#This Row],[_Pred2Text]]&amp;"S"),FIND("+",Tasks[[#This Row],[_Pred2Text]]&amp;"+"),FIND("-",Tasks[[#This Row],[_Pred2Text]]&amp;"-"))-1)),""))</f>
        <v/>
      </c>
      <c r="DA6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0" s="43" t="str">
        <f aca="false">IF(Tasks[[#This Row],[_Pred2Text]]="","",TRIM(MID(SUBSTITUTE(SUBSTITUTE(SUBSTITUTE(UPPER(Tasks[[#This Row],[_Predecessors]]),";",",")," ",""),",",REPT(" ",99)),199,99)))</f>
        <v/>
      </c>
      <c r="DD60" s="43" t="str">
        <f aca="false">IF(Tasks[[#This Row],[_Pred3Text]]="","",IFERROR(VALUE(LEFT(Tasks[[#This Row],[_Pred3Text]],MIN(FIND("F",Tasks[[#This Row],[_Pred3Text]]&amp;"F"),FIND("S",Tasks[[#This Row],[_Pred3Text]]&amp;"S"),FIND("+",Tasks[[#This Row],[_Pred3Text]]&amp;"+"),FIND("-",Tasks[[#This Row],[_Pred3Text]]&amp;"-"))-1)),""))</f>
        <v/>
      </c>
      <c r="DE6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0" s="43" t="str">
        <f aca="false">IF(Tasks[[#This Row],[_Pred3Text]]="","",TRIM(MID(SUBSTITUTE(SUBSTITUTE(SUBSTITUTE(UPPER(Tasks[[#This Row],[_Predecessors]]),";",",")," ",""),",",REPT(" ",99)),298,99)))</f>
        <v/>
      </c>
      <c r="DH60" s="43" t="str">
        <f aca="false">IF(Tasks[[#This Row],[_Pred4Text]]="","",IFERROR(VALUE(LEFT(Tasks[[#This Row],[_Pred4Text]],MIN(FIND("F",Tasks[[#This Row],[_Pred4Text]]&amp;"F"),FIND("S",Tasks[[#This Row],[_Pred4Text]]&amp;"S"),FIND("+",Tasks[[#This Row],[_Pred4Text]]&amp;"+"),FIND("-",Tasks[[#This Row],[_Pred4Text]]&amp;"-"))-1)),""))</f>
        <v/>
      </c>
      <c r="DI6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0" s="43" t="str">
        <f aca="false">IF(OR(Tasks[[#This Row],[Task Name]]="",Tasks[[#This Row],[_Resources]]=""),"",TRIM(MID(SUBSTITUTE(Tasks[[#This Row],[_Resources]],",",REPT(" ",99)),1,99)))</f>
        <v/>
      </c>
      <c r="DL60" s="43" t="str">
        <f aca="false">IF(Tasks[[#This Row],[_Res1Text]]="","",TRIM(MID(SUBSTITUTE(Tasks[[#This Row],[_Resources]],",",REPT(" ",99)),100,99)))</f>
        <v/>
      </c>
      <c r="DM60" s="43" t="str">
        <f aca="false">IF(Tasks[[#This Row],[_Res2Text]]="","",TRIM(MID(SUBSTITUTE(Tasks[[#This Row],[_Resources]],",",REPT(" ",99)),199,99)))</f>
        <v/>
      </c>
      <c r="DN60" s="43" t="str">
        <f aca="false">IF(Tasks[[#This Row],[_Res3Text]]="","",TRIM(MID(SUBSTITUTE(Tasks[[#This Row],[_Resources]],",",REPT(" ",99)),298,99)))</f>
        <v/>
      </c>
      <c r="DO60" s="43" t="n">
        <f aca="false">IF(Tasks[[#This Row],[_Res1Text]]="",0,IFERROR(MATCH(TRIM(LEFT(Tasks[[#This Row],[_Res1Text]],FIND("[",Tasks[[#This Row],[_Res1Text]]&amp;"[")-1)),res_Name,0),IFERROR(MATCH(TRIM(LEFT(Tasks[[#This Row],[_Res1Text]],FIND("[",Tasks[[#This Row],[_Res1Text]]&amp;"[")-1)),res_Initials,0),0)))</f>
        <v>0</v>
      </c>
      <c r="DP60" s="43" t="n">
        <f aca="false">IF(Tasks[[#This Row],[_Res2Text]]="",0,IFERROR(MATCH(TRIM(LEFT(Tasks[[#This Row],[_Res2Text]],FIND("[",Tasks[[#This Row],[_Res2Text]]&amp;"[")-1)),res_Name,0),IFERROR(MATCH(TRIM(LEFT(Tasks[[#This Row],[_Res2Text]],FIND("[",Tasks[[#This Row],[_Res2Text]]&amp;"[")-1)),res_Initials,0),0)))</f>
        <v>0</v>
      </c>
      <c r="DQ60" s="43" t="n">
        <f aca="false">IF(Tasks[[#This Row],[_Res3Text]]="",0,IFERROR(MATCH(TRIM(LEFT(Tasks[[#This Row],[_Res3Text]],FIND("[",Tasks[[#This Row],[_Res3Text]]&amp;"[")-1)),res_Name,0),IFERROR(MATCH(TRIM(LEFT(Tasks[[#This Row],[_Res3Text]],FIND("[",Tasks[[#This Row],[_Res3Text]]&amp;"[")-1)),res_Initials,0),0)))</f>
        <v>0</v>
      </c>
      <c r="DR60" s="43" t="n">
        <f aca="false">IF(Tasks[[#This Row],[_Res4Text]]="",0,IFERROR(MATCH(TRIM(LEFT(Tasks[[#This Row],[_Res4Text]],FIND("[",Tasks[[#This Row],[_Res4Text]]&amp;"[")-1)),res_Name,0),IFERROR(MATCH(TRIM(LEFT(Tasks[[#This Row],[_Res4Text]],FIND("[",Tasks[[#This Row],[_Res4Text]]&amp;"[")-1)),res_Initials,0),0)))</f>
        <v>0</v>
      </c>
      <c r="DS60" s="43" t="str">
        <f aca="false">IF(Tasks[[#This Row],[_Res1Text]]="","",IF(Tasks[[#This Row],[_Res1Row]]&gt;0,INDEX(res_Name,Tasks[[#This Row],[_Res1Row]]),TRIM(LEFT(Tasks[[#This Row],[_Res1Text]],FIND("[",Tasks[[#This Row],[_Res1Text]]&amp;"[")-1))))</f>
        <v/>
      </c>
      <c r="DT6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0" s="43" t="n">
        <f aca="false">IF(NOT(Tasks[[#This Row],[_IsLeaf]]=1),0,(Tasks[[#This Row],[_Resource1]]&lt;&gt;"")+(Tasks[[#This Row],[_Res2]]&lt;&gt;"")+(Tasks[[#This Row],[_Res3]]&lt;&gt;"")+(Tasks[[#This Row],[_Res4]]&lt;&gt;""))</f>
        <v>0</v>
      </c>
      <c r="DV60" s="43" t="str">
        <f aca="false">IF(Tasks[[#This Row],[_Res2Text]]="","",IF(Tasks[[#This Row],[_Res2Row]]&gt;0,INDEX(res_Name,Tasks[[#This Row],[_Res2Row]]),TRIM(LEFT(Tasks[[#This Row],[_Res2Text]],FIND("[",Tasks[[#This Row],[_Res2Text]]&amp;"[")-1))))</f>
        <v/>
      </c>
      <c r="DW6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0" s="43" t="n">
        <f aca="false">IF(OR(NOT(Tasks[[#This Row],[_IsLeaf]]=1),Tasks[[#This Row],[_Res2Row]]=0),0,N(Tasks[[#This Row],[_Days]])*HoursPerDay*IF(Tasks[[#This Row],[_Res2Units]]="",DefaultUnits,Tasks[[#This Row],[_Res2Units]]))</f>
        <v>0</v>
      </c>
      <c r="DY60" s="43" t="n">
        <f aca="false">IF(AND(AND(Tasks[[#This Row],[_IsLeaf]]=1,Tasks[[#This Row],[_LeafTotalWork]]&gt;0),Tasks[[#This Row],[_Res2Work]]&gt;0),Tasks[[#This Row],[_Res2Work]]/(Tasks[[#This Row],[_FinishWorkday]]-Tasks[[#This Row],[_StartWorkday]]+1),0)</f>
        <v>0</v>
      </c>
      <c r="DZ60" s="43" t="n">
        <f aca="false">Tasks[[#This Row],[_Res2WorkPerWD]]*MAX(0,Tasks[[#This Row],[_StartWorkday]]-1)</f>
        <v>0</v>
      </c>
      <c r="EA60" s="43" t="n">
        <f aca="false">Tasks[[#This Row],[_Res2Work]]*Tasks[[#This Row],[_LeafProgress]]</f>
        <v>0</v>
      </c>
      <c r="EB60" s="43" t="str">
        <f aca="false">IF(Tasks[[#This Row],[_Res3Text]]="","",IF(Tasks[[#This Row],[_Res3Row]]&gt;0,INDEX(res_Name,Tasks[[#This Row],[_Res3Row]]),TRIM(LEFT(Tasks[[#This Row],[_Res3Text]],FIND("[",Tasks[[#This Row],[_Res3Text]]&amp;"[")-1))))</f>
        <v/>
      </c>
      <c r="EC6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0" s="43" t="n">
        <f aca="false">IF(OR(NOT(Tasks[[#This Row],[_IsLeaf]]=1),Tasks[[#This Row],[_Res3Row]]=0),0,N(Tasks[[#This Row],[_Days]])*HoursPerDay*IF(Tasks[[#This Row],[_Res3Units]]="",DefaultUnits,Tasks[[#This Row],[_Res3Units]]))</f>
        <v>0</v>
      </c>
      <c r="EE60" s="43" t="n">
        <f aca="false">IF(AND(AND(Tasks[[#This Row],[_IsLeaf]]=1,Tasks[[#This Row],[_LeafTotalWork]]&gt;0),Tasks[[#This Row],[_Res3Work]]&gt;0),Tasks[[#This Row],[_Res3Work]]/(Tasks[[#This Row],[_FinishWorkday]]-Tasks[[#This Row],[_StartWorkday]]+1),0)</f>
        <v>0</v>
      </c>
      <c r="EF60" s="43" t="n">
        <f aca="false">Tasks[[#This Row],[_Res3WorkPerWD]]*MAX(0,Tasks[[#This Row],[_StartWorkday]]-1)</f>
        <v>0</v>
      </c>
      <c r="EG60" s="43" t="n">
        <f aca="false">Tasks[[#This Row],[_Res3Work]]*Tasks[[#This Row],[_LeafProgress]]</f>
        <v>0</v>
      </c>
      <c r="EH60" s="43" t="str">
        <f aca="false">IF(Tasks[[#This Row],[_Res4Text]]="","",IF(Tasks[[#This Row],[_Res4Row]]&gt;0,INDEX(res_Name,Tasks[[#This Row],[_Res4Row]]),TRIM(LEFT(Tasks[[#This Row],[_Res4Text]],FIND("[",Tasks[[#This Row],[_Res4Text]]&amp;"[")-1))))</f>
        <v/>
      </c>
      <c r="EI6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0" s="43" t="n">
        <f aca="false">IF(OR(NOT(Tasks[[#This Row],[_IsLeaf]]=1),Tasks[[#This Row],[_Res4Row]]=0),0,N(Tasks[[#This Row],[_Days]])*HoursPerDay*IF(Tasks[[#This Row],[_Res4Units]]="",DefaultUnits,Tasks[[#This Row],[_Res4Units]]))</f>
        <v>0</v>
      </c>
      <c r="EK60" s="43" t="n">
        <f aca="false">IF(AND(AND(Tasks[[#This Row],[_IsLeaf]]=1,Tasks[[#This Row],[_LeafTotalWork]]&gt;0),Tasks[[#This Row],[_Res4Work]]&gt;0),Tasks[[#This Row],[_Res4Work]]/(Tasks[[#This Row],[_FinishWorkday]]-Tasks[[#This Row],[_StartWorkday]]+1),0)</f>
        <v>0</v>
      </c>
      <c r="EL60" s="43" t="n">
        <f aca="false">Tasks[[#This Row],[_Res4WorkPerWD]]*MAX(0,Tasks[[#This Row],[_StartWorkday]]-1)</f>
        <v>0</v>
      </c>
      <c r="EM60" s="43" t="n">
        <f aca="false">Tasks[[#This Row],[_Res4Work]]*Tasks[[#This Row],[_LeafProgress]]</f>
        <v>0</v>
      </c>
      <c r="EN60" s="43" t="n">
        <f aca="false">IF(ISNUMBER(Tasks[[#This Row],[% Complete]]),Tasks[[#This Row],[% Complete]],IF(Tasks[[#This Row],[Stage]]="",0,IFERROR(INDEX(stg_Pct,MATCH(Tasks[[#This Row],[Stage]],stg_Name,0)),0)))</f>
        <v>0</v>
      </c>
      <c r="EO60" s="43" t="n">
        <f aca="false">IF(NOT(Tasks[[#This Row],[_IsLeaf]]=1),0,IF(N(Tasks[[#This Row],[Actual Finish]])&gt;0,1,MIN(1,Tasks[[#This Row],[_Pct]])))</f>
        <v>0</v>
      </c>
      <c r="EP60" s="43" t="n">
        <f aca="false">IF(OR(NOT(Tasks[[#This Row],[_IsLeaf]]=1),Tasks[[#This Row],[_Res1Row]]=0),0,N(Tasks[[#This Row],[_Days]])*HoursPerDay*IF(Tasks[[#This Row],[_Units1]]="",DefaultUnits,Tasks[[#This Row],[_Units1]]))</f>
        <v>0</v>
      </c>
      <c r="EQ60" s="43" t="n">
        <f aca="false">Tasks[[#This Row],[_LeafWork]]+Tasks[[#This Row],[_Res2Work]]+Tasks[[#This Row],[_Res3Work]]+Tasks[[#This Row],[_Res4Work]]</f>
        <v>0</v>
      </c>
      <c r="ER6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0" s="43" t="n">
        <f aca="false">IF(NOT(Tasks[[#This Row],[_IsLeaf]]=1),0,MAX(_xlfn.MAXIFS(Tasks[_Row],Tasks[_Pred1UID],Tasks[[#This Row],[UID]]),_xlfn.MAXIFS(Tasks[_Row],Tasks[_Pred2UID],Tasks[[#This Row],[UID]]),_xlfn.MAXIFS(Tasks[_Row],Tasks[_Pred3UID],Tasks[[#This Row],[UID]]),_xlfn.MAXIFS(Tasks[_Row],Tasks[_Pred4UID],Tasks[[#This Row],[UID]])))</f>
        <v>0</v>
      </c>
      <c r="FA6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0" s="91" t="str">
        <f aca="false">IF(NOT(Tasks[[#This Row],[_IsLeaf]]=1),"",IF(N(Tasks[[#This Row],[_Days]])&lt;=0,Tasks[[#This Row],[_LeafLateFinish]],WORKDAY.INTL(Tasks[[#This Row],[_LeafLateFinish]],-(Tasks[[#This Row],[_Days]]-1),WorkWeek,Holidays)))</f>
        <v/>
      </c>
      <c r="FD6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0" s="90" t="b">
        <f aca="false">AND(Tasks[[#This Row],[_IsLeaf]]=1,Tasks[[#This Row],[_LeafProgress]]&lt;1,N(Tasks[[#This Row],[_LeafTotalSlack]])&lt;=CriticalSlackDays)</f>
        <v>0</v>
      </c>
      <c r="FF60" s="43" t="n">
        <f aca="false">IF(AND(Tasks[[#This Row],[_IsLeaf]]=1,Tasks[[#This Row],[_ConstraintCode]]=1,Tasks[[#This Row],[Mode]]&lt;&gt;"Manual",N(Tasks[[#This Row],[Actual Start]])=0),MAX(0,N(Tasks[[#This Row],[Free Slack]])),0)</f>
        <v>0</v>
      </c>
      <c r="FG60" s="91" t="str">
        <f aca="false">IF(NOT(Tasks[[#This Row],[_IsLeaf]]=1),"",IF(Tasks[[#This Row],[_AlapShift]]=0,Tasks[[#This Row],[_LeafCalcStart]],WORKDAY.INTL(Tasks[[#This Row],[_LeafCalcStart]],Tasks[[#This Row],[_AlapShift]],WorkWeek,Holidays)))</f>
        <v/>
      </c>
      <c r="FH60" s="91" t="str">
        <f aca="false">IF(NOT(Tasks[[#This Row],[_IsLeaf]]=1),"",IF(Tasks[[#This Row],[_AlapShift]]=0,Tasks[[#This Row],[_LeafCalcFinish]],WORKDAY.INTL(Tasks[[#This Row],[_LeafCalcFinish]],Tasks[[#This Row],[_AlapShift]],WorkWeek,Holidays)))</f>
        <v/>
      </c>
      <c r="FI60" s="91" t="str">
        <f aca="false">IF(NOT(Tasks[[#This Row],[_IsLeaf]]=1),"",IF(Tasks[[#This Row],[_AlapShift]]=0,Tasks[[#This Row],[_LeafFcstStart]],WORKDAY.INTL(Tasks[[#This Row],[_LeafFcstStart]],Tasks[[#This Row],[_AlapShift]],WorkWeek,Holidays)))</f>
        <v/>
      </c>
      <c r="FJ60" s="91" t="str">
        <f aca="false">IF(NOT(Tasks[[#This Row],[_IsLeaf]]=1),"",IF(Tasks[[#This Row],[_AlapShift]]=0,Tasks[[#This Row],[_LeafFcstFinish]],WORKDAY.INTL(Tasks[[#This Row],[_LeafFcstFinish]],Tasks[[#This Row],[_AlapShift]],WorkWeek,Holidays)))</f>
        <v/>
      </c>
      <c r="FK60" s="91" t="str">
        <f aca="false">IF(Tasks[[#This Row],[Task Name]]="","",IF(Tasks[[#This Row],[_IsSummary]],MIN(INDEX(Tasks[_ShownCalcStart],Tasks[[#This Row],[_Row]]+1):INDEX(Tasks[_ShownCalcStart],Tasks[[#This Row],[_Row]]+Tasks[[#This Row],[_Descendants]])),Tasks[[#This Row],[_ShownCalcStart]]))</f>
        <v/>
      </c>
      <c r="FL60" s="91" t="str">
        <f aca="false">IF(Tasks[[#This Row],[Task Name]]="","",IF(Tasks[[#This Row],[_IsSummary]],MAX(INDEX(Tasks[_ShownCalcFinish],Tasks[[#This Row],[_Row]]+1):INDEX(Tasks[_ShownCalcFinish],Tasks[[#This Row],[_Row]]+Tasks[[#This Row],[_Descendants]])),Tasks[[#This Row],[_ShownCalcFinish]]))</f>
        <v/>
      </c>
      <c r="FM6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0" s="43" t="n">
        <f aca="false">IF(AND(Tasks[[#This Row],[_IsLeaf]]=1,Tasks[[#This Row],[_LeafTotalWork]]&gt;0),NETWORKDAYS.INTL(ProjectStart,Tasks[[#This Row],[_ShownFcstStart]],WorkWeek,Holidays),0)</f>
        <v>0</v>
      </c>
      <c r="FZ60" s="43" t="n">
        <f aca="false">IF(AND(Tasks[[#This Row],[_IsLeaf]]=1,Tasks[[#This Row],[_LeafTotalWork]]&gt;0),MAX(Tasks[[#This Row],[_StartWorkday]],NETWORKDAYS.INTL(ProjectStart,Tasks[[#This Row],[_ShownFcstFinish]],WorkWeek,Holidays)),0)</f>
        <v>0</v>
      </c>
      <c r="GA60" s="43" t="n">
        <f aca="false">IF(AND(Tasks[[#This Row],[_IsLeaf]]=1,Tasks[[#This Row],[_LeafTotalWork]]&gt;0),Tasks[[#This Row],[_LeafWork]]/(Tasks[[#This Row],[_FinishWorkday]]-Tasks[[#This Row],[_StartWorkday]]+1),0)</f>
        <v>0</v>
      </c>
      <c r="GB60" s="43" t="n">
        <f aca="false">Tasks[[#This Row],[_WorkPerWorkday]]*(Tasks[[#This Row],[_StartWorkday]]-1)</f>
        <v>-0</v>
      </c>
      <c r="GC60" s="43" t="n">
        <f aca="false">IF(Tasks[[#This Row],[_IsLeaf]]=1,MAX(N(Tasks[[#This Row],[_Days]]),0.1),0)</f>
        <v>0</v>
      </c>
      <c r="GD60" s="43" t="n">
        <f aca="false">Tasks[[#This Row],[_WeightDur]]*Tasks[[#This Row],[_LeafProgress]]</f>
        <v>0</v>
      </c>
      <c r="GE60" s="43" t="n">
        <f aca="false">Tasks[[#This Row],[_WeightDur]]*Tasks[[#This Row],[_PlannedPct]]</f>
        <v>0</v>
      </c>
      <c r="GF6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0" s="43" t="str">
        <f aca="false">IF(AND(Tasks[[#This Row],[_IsLeaf]]=1,N(Tasks[[#This Row],[_Days]])=0,Tasks[[#This Row],[_LeafProgress]]&lt;1),Tasks[[#This Row],[_ShownFcstFinish]]+Tasks[[#This Row],[_Row]]/100000,"")</f>
        <v/>
      </c>
      <c r="GH6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0" s="43" t="str">
        <f aca="false">IF(Tasks[[#This Row],[Task Name]]="","",LEFT(Tasks[[#This Row],[WBS]],FIND(".",Tasks[[#This Row],[WBS]]&amp;".")-1))</f>
        <v/>
      </c>
      <c r="GJ60" s="43" t="str">
        <f aca="false">IF(AND(Tasks[[#This Row],[Task Name]]&lt;&gt;"",Tasks[[#This Row],[_Level]]=1),Tasks[[#This Row],[_Row]],"")</f>
        <v/>
      </c>
      <c r="GK60" s="43" t="str">
        <f aca="false">IF(AND(Tasks[[#This Row],[_IsLeaf]]=1,N(Tasks[[#This Row],[_Days]])=0),Tasks[[#This Row],[Planned Finish]]+Tasks[[#This Row],[_Row]]/100000,"")</f>
        <v/>
      </c>
      <c r="GL60" s="43" t="str">
        <f aca="false">IF(AND(Tasks[[#This Row],[_IsLeaf]]=1,Tasks[[#This Row],[_LeafProgress]]&lt;1,OR(N(Tasks[[#This Row],[Finish Var]])&gt;0,Tasks[[#This Row],[Status]]="Late Start")),MAX(0,Tasks[[#This Row],[Finish Var]])+1-Tasks[[#This Row],[_Row]]/1000000,"")</f>
        <v/>
      </c>
      <c r="GM60" s="43" t="str">
        <f aca="false">IF(AND(Tasks[[#This Row],[_IsLeaf]]=1,N(Tasks[[#This Row],[Actual Start]])=0,Tasks[[#This Row],[_ShownFcstStart]]&gt;=StatusDate,Tasks[[#This Row],[_ShownFcstStart]]&lt;=LookaheadEnd),Tasks[[#This Row],[_ShownFcstStart]]+Tasks[[#This Row],[_Row]]/100000,"")</f>
        <v/>
      </c>
      <c r="GN60" s="43" t="str">
        <f aca="false">IF(AND(Tasks[[#This Row],[_IsLeaf]]=1,Tasks[[#This Row],[_LeafProgress]]&lt;1,Tasks[[#This Row],[_ShownFcstFinish]]&gt;=StatusDate,Tasks[[#This Row],[_ShownFcstFinish]]&lt;=LookaheadEnd),Tasks[[#This Row],[_ShownFcstFinish]]+Tasks[[#This Row],[_Row]]/100000,"")</f>
        <v/>
      </c>
      <c r="GO60" s="43" t="str">
        <f aca="false">IF(Tasks[[#This Row],[_LeafCritical]],Tasks[[#This Row],[_ShownFcstStart]]+Tasks[[#This Row],[_Row]]/100000,"")</f>
        <v/>
      </c>
      <c r="GP60" s="43" t="n">
        <f aca="false">Tasks[[#This Row],[_LeafWork]]*Tasks[[#This Row],[_LeafProgress]]</f>
        <v>0</v>
      </c>
      <c r="GQ60" s="91" t="str">
        <f aca="false">IF(AND(Tasks[[#This Row],[_IsLeaf]]=1,Tasks[[#This Row],[_LeafProgress]]&gt;=1),IF(N(Tasks[[#This Row],[Actual Finish]])&gt;0,Tasks[[#This Row],[Actual Finish]],Tasks[[#This Row],[_ShownFcstFinish]]),"")</f>
        <v/>
      </c>
      <c r="GR60" s="43" t="n">
        <f aca="false">IF(Tasks[[#This Row],[_IsLeaf]]=1,N(Tasks[[#This Row],[Story Points]]),0)</f>
        <v>0</v>
      </c>
      <c r="GS60" s="43" t="str">
        <f aca="false">""</f>
        <v/>
      </c>
      <c r="GT60" s="90" t="b">
        <f aca="false">IF(Tasks[[#This Row],[Task Name]]="",FALSE(),AND(Tasks[[#This Row],[_IsLeaf]]=1,N(Tasks[[#This Row],[_Days]])=0))</f>
        <v>0</v>
      </c>
      <c r="GU60" s="91" t="n">
        <f aca="false">IF(Tasks[[#This Row],[Task Name]]="",0,IF(AND(Tasks[[#This Row],[_IsLeaf]]=1,NOT(Tasks[[#This Row],[_IsMilestone]]),N(Tasks[[#This Row],[Progress]])&gt;0),Tasks[[#This Row],[Start]],0))</f>
        <v>0</v>
      </c>
      <c r="GV60" s="91" t="n">
        <f aca="false">IF(Tasks[[#This Row],[_DoneFrom]]=0,0,IF(Tasks[[#This Row],[Progress]]&gt;=1,Tasks[[#This Row],[Finish]],MAX(Tasks[[#This Row],[_DoneFrom]],Tasks[[#This Row],[Start]]+ROUND((Tasks[[#This Row],[Finish]]-Tasks[[#This Row],[Start]]+1)*Tasks[[#This Row],[Progress]],0)-1)))</f>
        <v>0</v>
      </c>
      <c r="GW60" s="91" t="n">
        <f aca="false">IF(Tasks[[#This Row],[Task Name]]="",0,IF(OR(NOT(Tasks[[#This Row],[_IsLeaf]]=1),Tasks[[#This Row],[_IsMilestone]],N(Tasks[[#This Row],[Progress]])&gt;=1),0,IF(Tasks[[#This Row],[_DoneTo]]&gt;0,Tasks[[#This Row],[_DoneTo]]+1,Tasks[[#This Row],[Start]])))</f>
        <v>0</v>
      </c>
      <c r="GX60" s="91" t="n">
        <f aca="false">IF(Tasks[[#This Row],[_RemFrom]]=0,0,Tasks[[#This Row],[Finish]])</f>
        <v>0</v>
      </c>
      <c r="GY60" s="90" t="b">
        <f aca="false">IF(Tasks[[#This Row],[Task Name]]="",FALSE(),OR(NOT(BaselineSet),N(Tasks[[#This Row],[Baseline Start]])&gt;0))</f>
        <v>0</v>
      </c>
      <c r="GZ6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0" s="92" t="str">
        <f aca="false">IF(Tasks[[#This Row],[_IsLeaf]]=1,Tasks[[#This Row],[_Row]],"")</f>
        <v/>
      </c>
      <c r="HD60" s="92" t="str">
        <f aca="false">IFERROR(INDEX(Tasks[UID],SMALL(Tasks[_PickKey],Tasks[[#This Row],[_Row]]))&amp;" "&amp;INDEX(Tasks[Task Name],SMALL(Tasks[_PickKey],Tasks[[#This Row],[_Row]])),"")</f>
        <v/>
      </c>
      <c r="HE60" s="43" t="str">
        <f aca="false">IF(Tasks[[#This Row],[Task Name]]="","",IF(Tasks[[#This Row],[_IsSummary]],NETWORKDAYS.INTL(Tasks[[#This Row],[Start]],Tasks[[#This Row],[Finish]],WorkWeek,Holidays),N(Tasks[[#This Row],[_Days]])))</f>
        <v/>
      </c>
      <c r="HF60" s="43" t="n">
        <f aca="false">IF(Tasks[[#This Row],[Expected]]="",0,((Tasks[[#This Row],[Pessimistic]]-Tasks[[#This Row],[Optimistic]])/6)^2)</f>
        <v>0</v>
      </c>
      <c r="HG60" s="43" t="n">
        <f aca="false">IF(Tasks[[#This Row],[Expected]]="",0,Tasks[[#This Row],[Expected]]-N(Tasks[[#This Row],[_Days]]))</f>
        <v>0</v>
      </c>
    </row>
    <row r="61" customFormat="false" ht="15" hidden="false" customHeight="false" outlineLevel="0" collapsed="false">
      <c r="A61" s="21" t="str">
        <f aca="false">IF(Tasks[[#This Row],[Task Name]]="","",COUNTA(Tasks[[#Headers],[Task Name]]:Tasks[[#This Row],[Task Name]])-1)</f>
        <v/>
      </c>
      <c r="B61" s="22" t="n">
        <v>69</v>
      </c>
      <c r="C61" s="22"/>
      <c r="D61" s="23"/>
      <c r="E61" s="22"/>
      <c r="F61" s="23"/>
      <c r="G61" s="22"/>
      <c r="H61" s="22"/>
      <c r="I61" s="23"/>
      <c r="J61" s="22"/>
      <c r="K61" s="22"/>
      <c r="L61" s="23"/>
      <c r="M61" s="22"/>
      <c r="N61" s="22"/>
      <c r="O61" s="23"/>
      <c r="P61" s="22"/>
      <c r="Q61" s="22"/>
      <c r="R61" s="23"/>
      <c r="S61" s="23"/>
      <c r="T61" s="84"/>
      <c r="U61" s="23"/>
      <c r="V61" s="84"/>
      <c r="W61" s="23"/>
      <c r="X61" s="84"/>
      <c r="Y61" s="23"/>
      <c r="Z61" s="84"/>
      <c r="AA61" s="23"/>
      <c r="AB61" s="23"/>
      <c r="AC61" s="7"/>
      <c r="AD61" s="7"/>
      <c r="AE61" s="63" t="str">
        <f aca="false">IF(Tasks[[#This Row],[Task Name]]="","",IF(Tasks[[#This Row],[_IsSummary]],MIN(INDEX(Tasks[_ShownFcstStart],Tasks[[#This Row],[_Row]]+1):INDEX(Tasks[_ShownFcstStart],Tasks[[#This Row],[_Row]]+Tasks[[#This Row],[_Descendants]])),Tasks[[#This Row],[_ShownFcstStart]]))</f>
        <v/>
      </c>
      <c r="AF61" s="63" t="str">
        <f aca="false">IF(Tasks[[#This Row],[Task Name]]="","",IF(Tasks[[#This Row],[_IsSummary]],MAX(INDEX(Tasks[_ShownFcstFinish],Tasks[[#This Row],[_Row]]+1):INDEX(Tasks[_ShownFcstFinish],Tasks[[#This Row],[_Row]]+Tasks[[#This Row],[_Descendants]])),Tasks[[#This Row],[_ShownFcstFinish]]))</f>
        <v/>
      </c>
      <c r="AG61" s="21" t="str">
        <f aca="false">""</f>
        <v/>
      </c>
      <c r="AH61" s="23"/>
      <c r="AI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1" s="7"/>
      <c r="AK61" s="22"/>
      <c r="AL61" s="23"/>
      <c r="AM61" s="7"/>
      <c r="AN61" s="47" t="str">
        <f aca="false">IF(Tasks[[#This Row],[Task Name]]="","",IF(Tasks[[#This Row],[Finish]]&gt;=Tasks[[#This Row],[Planned Finish]],NETWORKDAYS.INTL(Tasks[[#This Row],[Planned Finish]],Tasks[[#This Row],[Finish]],WorkWeek,Holidays)-1,1-NETWORKDAYS.INTL(Tasks[[#This Row],[Finish]],Tasks[[#This Row],[Planned Finish]],WorkWeek,Holidays)))</f>
        <v/>
      </c>
      <c r="AO61" s="21" t="str">
        <f aca="false">IF(Tasks[[#This Row],[Task Name]]="","",IF(Tasks[[#This Row],[Progress]]&gt;=1,"Complete",IF(OR(N(Tasks[[#This Row],[Actual Start]])&gt;0,Tasks[[#This Row],[Progress]]&gt;0),IF(Tasks[[#This Row],[Finish Var]]&gt;0,"Behind","In Progress"),IF(Tasks[[#This Row],[Planned Start]]&lt;StatusDate,"Late Start","Not Started"))))</f>
        <v/>
      </c>
      <c r="AP61" s="21" t="str">
        <f aca="false">IF(Tasks[[#This Row],[Task Name]]="","",IF(IF(Tasks[[#This Row],[_IsSummary]],COUNTIF(INDEX(Tasks[_LeafCritical],Tasks[[#This Row],[_Row]]+1):INDEX(Tasks[_LeafCritical],Tasks[[#This Row],[_Row]]+Tasks[[#This Row],[_Descendants]]),TRUE())&gt;0,Tasks[[#This Row],[_LeafCritical]]),"Yes",""))</f>
        <v/>
      </c>
      <c r="AQ61" s="63" t="str">
        <f aca="false">IF(Tasks[[#This Row],[Task Name]]="","",IF(N(Tasks[[#This Row],[Baseline Start]])&gt;0,Tasks[[#This Row],[Baseline Start]],Tasks[[#This Row],[_CalcStart]]))</f>
        <v/>
      </c>
      <c r="AR61" s="63" t="str">
        <f aca="false">IF(Tasks[[#This Row],[Task Name]]="","",IF(N(Tasks[[#This Row],[Baseline Finish]])&gt;0,Tasks[[#This Row],[Baseline Finish]],Tasks[[#This Row],[_CalcFinish]]))</f>
        <v/>
      </c>
      <c r="AS61" s="47" t="str">
        <f aca="false">IF(Tasks[[#This Row],[Task Name]]="","",IF(Tasks[[#This Row],[Start]]&gt;=Tasks[[#This Row],[Planned Start]],NETWORKDAYS.INTL(Tasks[[#This Row],[Planned Start]],Tasks[[#This Row],[Start]],WorkWeek,Holidays)-1,1-NETWORKDAYS.INTL(Tasks[[#This Row],[Start]],Tasks[[#This Row],[Planned Start]],WorkWeek,Holidays)))</f>
        <v/>
      </c>
      <c r="AT61" s="63" t="str">
        <f aca="false">IF(Tasks[[#This Row],[Task Name]]="","",IF(Tasks[[#This Row],[_IsSummary]],MIN(INDEX(Tasks[_LeafLateStart],Tasks[[#This Row],[_Row]]+1):INDEX(Tasks[_LeafLateStart],Tasks[[#This Row],[_Row]]+Tasks[[#This Row],[_Descendants]])),Tasks[[#This Row],[_LeafLateStart]]))</f>
        <v/>
      </c>
      <c r="AU61" s="63" t="str">
        <f aca="false">IF(Tasks[[#This Row],[Task Name]]="","",IF(Tasks[[#This Row],[_IsSummary]],MAX(INDEX(Tasks[_LeafLateFinish],Tasks[[#This Row],[_Row]]+1):INDEX(Tasks[_LeafLateFinish],Tasks[[#This Row],[_Row]]+Tasks[[#This Row],[_Descendants]])),Tasks[[#This Row],[_LeafLateFinish]]))</f>
        <v/>
      </c>
      <c r="AV61" s="47" t="str">
        <f aca="false">IF(Tasks[[#This Row],[Task Name]]="","",IF(Tasks[[#This Row],[_IsSummary]],MIN(INDEX(Tasks[_LeafTotalSlack],Tasks[[#This Row],[_Row]]+1):INDEX(Tasks[_LeafTotalSlack],Tasks[[#This Row],[_Row]]+Tasks[[#This Row],[_Descendants]])),Tasks[[#This Row],[_LeafTotalSlack]]))</f>
        <v/>
      </c>
      <c r="AW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5"/>
      <c r="BA6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1" t="str">
        <f aca="false">IF(Tasks[[#This Row],[Task Name]]="","",IF(Tasks[[#This Row],[_Level]]&lt;=OutlineShowLevel,"Yes","No"))</f>
        <v/>
      </c>
      <c r="BE61" s="86" t="str">
        <f aca="false">IF(Tasks[[#This Row],[Task Name]]="","",IF(Tasks[[#This Row],[_IsSummary]],SUM(INDEX(Tasks[_LeafTotalWork],Tasks[[#This Row],[_Row]]+1):INDEX(Tasks[_LeafTotalWork],Tasks[[#This Row],[_Row]]+Tasks[[#This Row],[_Descendants]])),Tasks[[#This Row],[_LeafTotalWork]]))</f>
        <v/>
      </c>
      <c r="BF61" s="23"/>
      <c r="BG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1" s="21" t="str">
        <f aca="false">""</f>
        <v/>
      </c>
      <c r="BI61" s="87"/>
      <c r="BJ61" s="22"/>
      <c r="BK61" s="47" t="str">
        <f aca="false">IF(OR(Tasks[[#This Row],[Task Name]]="",Tasks[[#This Row],[Baseline Duration]]=""),"",Tasks[[#This Row],[_SpanDays]]-N(Tasks[[#This Row],[Baseline Duration]]))</f>
        <v/>
      </c>
      <c r="BL61" s="86" t="str">
        <f aca="false">IF(OR(Tasks[[#This Row],[Task Name]]="",Tasks[[#This Row],[Baseline Work]]=""),"",Tasks[[#This Row],[Work]]-N(Tasks[[#This Row],[Baseline Work]]))</f>
        <v/>
      </c>
      <c r="BM61" s="63" t="str">
        <f aca="false">IF(Tasks[[#This Row],[Task Name]]="","",IF(OR(TakeBaseline="Yes",N(Tasks[[#This Row],[Baseline Start]])=0),Tasks[[#This Row],[Start]],Tasks[[#This Row],[Baseline Start]]))</f>
        <v/>
      </c>
      <c r="BN61" s="63" t="str">
        <f aca="false">IF(Tasks[[#This Row],[Task Name]]="","",IF(OR(TakeBaseline="Yes",N(Tasks[[#This Row],[Baseline Finish]])=0),Tasks[[#This Row],[Finish]],Tasks[[#This Row],[Baseline Finish]]))</f>
        <v/>
      </c>
      <c r="BO61" s="21" t="str">
        <f aca="false">IF(Tasks[[#This Row],[Task Name]]="","",IF(OR(TakeBaseline="Yes",N(Tasks[[#This Row],[Baseline Duration]])=0),Tasks[[#This Row],[_SpanDays]],Tasks[[#This Row],[Baseline Duration]]))</f>
        <v/>
      </c>
      <c r="BP61" s="86" t="str">
        <f aca="false">IF(Tasks[[#This Row],[Task Name]]="","",IF(OR(TakeBaseline="Yes",N(Tasks[[#This Row],[Baseline Work]])=0),Tasks[[#This Row],[Work]],Tasks[[#This Row],[Baseline Work]]))</f>
        <v/>
      </c>
      <c r="BQ61" s="7"/>
      <c r="BR61" s="7"/>
      <c r="BS61" s="22"/>
      <c r="BT61" s="88"/>
      <c r="BU61" s="23"/>
      <c r="BV61" s="23"/>
      <c r="BW61" s="23"/>
      <c r="BX61" s="89" t="str">
        <f aca="false">IF(AND(Tasks[[#This Row],[_IsLeaf]]=1,ISNUMBER(Tasks[[#This Row],[Optimistic]]),ISNUMBER(Tasks[[#This Row],[Pessimistic]])),ROUND((Tasks[[#This Row],[Optimistic]]+4*N(Tasks[[#This Row],[_Days]])+Tasks[[#This Row],[Pessimistic]])/6,1),"")</f>
        <v/>
      </c>
      <c r="BY61" s="87"/>
      <c r="BZ61" s="87"/>
      <c r="CA61" s="22"/>
      <c r="CB61" s="43" t="str">
        <f aca="false">IF(Tasks[[#This Row],[Task Name]]="","",MAX(1,N(Tasks[[#This Row],[Level]])))</f>
        <v/>
      </c>
      <c r="CC61" s="43" t="n">
        <f aca="false">ROW()-ROW(Tasks[[#Headers],[ID]])</f>
        <v>56</v>
      </c>
      <c r="CD61" s="43" t="n">
        <f aca="false">IF(OR(Tasks[[#This Row],[Task Name]]="",Tasks[[#This Row],[_Level]]&lt;=1),0,IFERROR(LOOKUP(2,1/(Tasks[[#Headers],[_Level]]:Tasks[[#This Row],[_Level]]=Tasks[[#This Row],[_Level]]-1),ROW(Tasks[[#Headers],[_Level]]:Tasks[[#This Row],[_Level]])),0))</f>
        <v>0</v>
      </c>
      <c r="CE61" s="43" t="n">
        <f aca="false">IFERROR(N(INDEX(Tasks[_Level],Tasks[[#This Row],[_Row]]+1)),0)</f>
        <v>0</v>
      </c>
      <c r="CF61" s="90" t="b">
        <f aca="false">AND(Tasks[[#This Row],[Task Name]]&lt;&gt;"",Tasks[[#This Row],[_NextLevel]]&gt;Tasks[[#This Row],[_Level]])</f>
        <v>0</v>
      </c>
      <c r="CG61" s="43" t="n">
        <f aca="false">IF(Tasks[[#This Row],[_IsSummary]],COUNTIF(Tasks[WBS],Tasks[[#This Row],[WBS]]&amp;".*"),0)</f>
        <v>0</v>
      </c>
      <c r="CH61" s="43" t="n">
        <f aca="false">IF(AND(Tasks[[#This Row],[Task Name]]&lt;&gt;"",NOT(Tasks[[#This Row],[_IsSummary]])),1,0)</f>
        <v>0</v>
      </c>
      <c r="CI61" s="43" t="n">
        <f aca="false">IF(N(Tasks[[#This Row],[_Pred1UID]])=0,0,IFERROR(MATCH(Tasks[[#This Row],[_Pred1UID]],Tasks[UID],0),-1))</f>
        <v>0</v>
      </c>
      <c r="CJ61" s="43" t="n">
        <f aca="false">IF(N(Tasks[[#This Row],[_Pred2UID]])=0,0,IFERROR(MATCH(Tasks[[#This Row],[_Pred2UID]],Tasks[UID],0),-1))</f>
        <v>0</v>
      </c>
      <c r="CK61" s="43" t="n">
        <f aca="false">IF(N(Tasks[[#This Row],[_Pred3UID]])=0,0,IFERROR(MATCH(Tasks[[#This Row],[_Pred3UID]],Tasks[UID],0),-1))</f>
        <v>0</v>
      </c>
      <c r="CL61" s="43" t="n">
        <f aca="false">IF(N(Tasks[[#This Row],[_Pred4UID]])=0,0,IFERROR(MATCH(Tasks[[#This Row],[_Pred4UID]],Tasks[UID],0),-1))</f>
        <v>0</v>
      </c>
      <c r="CM6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1" s="91" t="n">
        <f aca="false">IF(OR(Tasks[[#This Row],[_ConstraintCode]]=2,Tasks[[#This Row],[_ConstraintCode]]=3,Tasks[[#This Row],[_ConstraintCode]]=4,Tasks[[#This Row],[_ConstraintCode]]=6),Tasks[[#This Row],[_ConstraintStart]],0)</f>
        <v>0</v>
      </c>
      <c r="CP61" s="91" t="n">
        <f aca="false">IF(OR(Tasks[[#This Row],[_ConstraintCode]]=2,Tasks[[#This Row],[_ConstraintCode]]=3,Tasks[[#This Row],[_ConstraintCode]]=5,Tasks[[#This Row],[_ConstraintCode]]=7),Tasks[[#This Row],[_ConstraintStart]],2958465)</f>
        <v>2958465</v>
      </c>
      <c r="CQ6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1" s="91" t="str">
        <f aca="false">IF(NOT(Tasks[[#This Row],[_IsLeaf]]=1),"",IF(N(Tasks[[#This Row],[_Days]])&lt;=0,Tasks[[#This Row],[_LeafCalcStart]],WORKDAY.INTL(Tasks[[#This Row],[_LeafCalcStart]],Tasks[[#This Row],[_Days]]-1,WorkWeek,Holidays)))</f>
        <v/>
      </c>
      <c r="CS6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1" s="43" t="str">
        <f aca="false">IF(Tasks[[#This Row],[_Predecessors]]="","",TRIM(MID(SUBSTITUTE(SUBSTITUTE(SUBSTITUTE(UPPER(Tasks[[#This Row],[_Predecessors]]),";",",")," ",""),",",REPT(" ",99)),1,99)))</f>
        <v/>
      </c>
      <c r="CV61" s="43" t="str">
        <f aca="false">IF(Tasks[[#This Row],[_Pred1Text]]="","",IFERROR(VALUE(LEFT(Tasks[[#This Row],[_Pred1Text]],MIN(FIND("F",Tasks[[#This Row],[_Pred1Text]]&amp;"F"),FIND("S",Tasks[[#This Row],[_Pred1Text]]&amp;"S"),FIND("+",Tasks[[#This Row],[_Pred1Text]]&amp;"+"),FIND("-",Tasks[[#This Row],[_Pred1Text]]&amp;"-"))-1)),""))</f>
        <v/>
      </c>
      <c r="CW6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1" s="43" t="str">
        <f aca="false">IF(Tasks[[#This Row],[_Pred1Text]]="","",TRIM(MID(SUBSTITUTE(SUBSTITUTE(SUBSTITUTE(UPPER(Tasks[[#This Row],[_Predecessors]]),";",",")," ",""),",",REPT(" ",99)),100,99)))</f>
        <v/>
      </c>
      <c r="CZ61" s="43" t="str">
        <f aca="false">IF(Tasks[[#This Row],[_Pred2Text]]="","",IFERROR(VALUE(LEFT(Tasks[[#This Row],[_Pred2Text]],MIN(FIND("F",Tasks[[#This Row],[_Pred2Text]]&amp;"F"),FIND("S",Tasks[[#This Row],[_Pred2Text]]&amp;"S"),FIND("+",Tasks[[#This Row],[_Pred2Text]]&amp;"+"),FIND("-",Tasks[[#This Row],[_Pred2Text]]&amp;"-"))-1)),""))</f>
        <v/>
      </c>
      <c r="DA6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1" s="43" t="str">
        <f aca="false">IF(Tasks[[#This Row],[_Pred2Text]]="","",TRIM(MID(SUBSTITUTE(SUBSTITUTE(SUBSTITUTE(UPPER(Tasks[[#This Row],[_Predecessors]]),";",",")," ",""),",",REPT(" ",99)),199,99)))</f>
        <v/>
      </c>
      <c r="DD61" s="43" t="str">
        <f aca="false">IF(Tasks[[#This Row],[_Pred3Text]]="","",IFERROR(VALUE(LEFT(Tasks[[#This Row],[_Pred3Text]],MIN(FIND("F",Tasks[[#This Row],[_Pred3Text]]&amp;"F"),FIND("S",Tasks[[#This Row],[_Pred3Text]]&amp;"S"),FIND("+",Tasks[[#This Row],[_Pred3Text]]&amp;"+"),FIND("-",Tasks[[#This Row],[_Pred3Text]]&amp;"-"))-1)),""))</f>
        <v/>
      </c>
      <c r="DE6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1" s="43" t="str">
        <f aca="false">IF(Tasks[[#This Row],[_Pred3Text]]="","",TRIM(MID(SUBSTITUTE(SUBSTITUTE(SUBSTITUTE(UPPER(Tasks[[#This Row],[_Predecessors]]),";",",")," ",""),",",REPT(" ",99)),298,99)))</f>
        <v/>
      </c>
      <c r="DH61" s="43" t="str">
        <f aca="false">IF(Tasks[[#This Row],[_Pred4Text]]="","",IFERROR(VALUE(LEFT(Tasks[[#This Row],[_Pred4Text]],MIN(FIND("F",Tasks[[#This Row],[_Pred4Text]]&amp;"F"),FIND("S",Tasks[[#This Row],[_Pred4Text]]&amp;"S"),FIND("+",Tasks[[#This Row],[_Pred4Text]]&amp;"+"),FIND("-",Tasks[[#This Row],[_Pred4Text]]&amp;"-"))-1)),""))</f>
        <v/>
      </c>
      <c r="DI6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1" s="43" t="str">
        <f aca="false">IF(OR(Tasks[[#This Row],[Task Name]]="",Tasks[[#This Row],[_Resources]]=""),"",TRIM(MID(SUBSTITUTE(Tasks[[#This Row],[_Resources]],",",REPT(" ",99)),1,99)))</f>
        <v/>
      </c>
      <c r="DL61" s="43" t="str">
        <f aca="false">IF(Tasks[[#This Row],[_Res1Text]]="","",TRIM(MID(SUBSTITUTE(Tasks[[#This Row],[_Resources]],",",REPT(" ",99)),100,99)))</f>
        <v/>
      </c>
      <c r="DM61" s="43" t="str">
        <f aca="false">IF(Tasks[[#This Row],[_Res2Text]]="","",TRIM(MID(SUBSTITUTE(Tasks[[#This Row],[_Resources]],",",REPT(" ",99)),199,99)))</f>
        <v/>
      </c>
      <c r="DN61" s="43" t="str">
        <f aca="false">IF(Tasks[[#This Row],[_Res3Text]]="","",TRIM(MID(SUBSTITUTE(Tasks[[#This Row],[_Resources]],",",REPT(" ",99)),298,99)))</f>
        <v/>
      </c>
      <c r="DO61" s="43" t="n">
        <f aca="false">IF(Tasks[[#This Row],[_Res1Text]]="",0,IFERROR(MATCH(TRIM(LEFT(Tasks[[#This Row],[_Res1Text]],FIND("[",Tasks[[#This Row],[_Res1Text]]&amp;"[")-1)),res_Name,0),IFERROR(MATCH(TRIM(LEFT(Tasks[[#This Row],[_Res1Text]],FIND("[",Tasks[[#This Row],[_Res1Text]]&amp;"[")-1)),res_Initials,0),0)))</f>
        <v>0</v>
      </c>
      <c r="DP61" s="43" t="n">
        <f aca="false">IF(Tasks[[#This Row],[_Res2Text]]="",0,IFERROR(MATCH(TRIM(LEFT(Tasks[[#This Row],[_Res2Text]],FIND("[",Tasks[[#This Row],[_Res2Text]]&amp;"[")-1)),res_Name,0),IFERROR(MATCH(TRIM(LEFT(Tasks[[#This Row],[_Res2Text]],FIND("[",Tasks[[#This Row],[_Res2Text]]&amp;"[")-1)),res_Initials,0),0)))</f>
        <v>0</v>
      </c>
      <c r="DQ61" s="43" t="n">
        <f aca="false">IF(Tasks[[#This Row],[_Res3Text]]="",0,IFERROR(MATCH(TRIM(LEFT(Tasks[[#This Row],[_Res3Text]],FIND("[",Tasks[[#This Row],[_Res3Text]]&amp;"[")-1)),res_Name,0),IFERROR(MATCH(TRIM(LEFT(Tasks[[#This Row],[_Res3Text]],FIND("[",Tasks[[#This Row],[_Res3Text]]&amp;"[")-1)),res_Initials,0),0)))</f>
        <v>0</v>
      </c>
      <c r="DR61" s="43" t="n">
        <f aca="false">IF(Tasks[[#This Row],[_Res4Text]]="",0,IFERROR(MATCH(TRIM(LEFT(Tasks[[#This Row],[_Res4Text]],FIND("[",Tasks[[#This Row],[_Res4Text]]&amp;"[")-1)),res_Name,0),IFERROR(MATCH(TRIM(LEFT(Tasks[[#This Row],[_Res4Text]],FIND("[",Tasks[[#This Row],[_Res4Text]]&amp;"[")-1)),res_Initials,0),0)))</f>
        <v>0</v>
      </c>
      <c r="DS61" s="43" t="str">
        <f aca="false">IF(Tasks[[#This Row],[_Res1Text]]="","",IF(Tasks[[#This Row],[_Res1Row]]&gt;0,INDEX(res_Name,Tasks[[#This Row],[_Res1Row]]),TRIM(LEFT(Tasks[[#This Row],[_Res1Text]],FIND("[",Tasks[[#This Row],[_Res1Text]]&amp;"[")-1))))</f>
        <v/>
      </c>
      <c r="DT6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1" s="43" t="n">
        <f aca="false">IF(NOT(Tasks[[#This Row],[_IsLeaf]]=1),0,(Tasks[[#This Row],[_Resource1]]&lt;&gt;"")+(Tasks[[#This Row],[_Res2]]&lt;&gt;"")+(Tasks[[#This Row],[_Res3]]&lt;&gt;"")+(Tasks[[#This Row],[_Res4]]&lt;&gt;""))</f>
        <v>0</v>
      </c>
      <c r="DV61" s="43" t="str">
        <f aca="false">IF(Tasks[[#This Row],[_Res2Text]]="","",IF(Tasks[[#This Row],[_Res2Row]]&gt;0,INDEX(res_Name,Tasks[[#This Row],[_Res2Row]]),TRIM(LEFT(Tasks[[#This Row],[_Res2Text]],FIND("[",Tasks[[#This Row],[_Res2Text]]&amp;"[")-1))))</f>
        <v/>
      </c>
      <c r="DW6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1" s="43" t="n">
        <f aca="false">IF(OR(NOT(Tasks[[#This Row],[_IsLeaf]]=1),Tasks[[#This Row],[_Res2Row]]=0),0,N(Tasks[[#This Row],[_Days]])*HoursPerDay*IF(Tasks[[#This Row],[_Res2Units]]="",DefaultUnits,Tasks[[#This Row],[_Res2Units]]))</f>
        <v>0</v>
      </c>
      <c r="DY61" s="43" t="n">
        <f aca="false">IF(AND(AND(Tasks[[#This Row],[_IsLeaf]]=1,Tasks[[#This Row],[_LeafTotalWork]]&gt;0),Tasks[[#This Row],[_Res2Work]]&gt;0),Tasks[[#This Row],[_Res2Work]]/(Tasks[[#This Row],[_FinishWorkday]]-Tasks[[#This Row],[_StartWorkday]]+1),0)</f>
        <v>0</v>
      </c>
      <c r="DZ61" s="43" t="n">
        <f aca="false">Tasks[[#This Row],[_Res2WorkPerWD]]*MAX(0,Tasks[[#This Row],[_StartWorkday]]-1)</f>
        <v>0</v>
      </c>
      <c r="EA61" s="43" t="n">
        <f aca="false">Tasks[[#This Row],[_Res2Work]]*Tasks[[#This Row],[_LeafProgress]]</f>
        <v>0</v>
      </c>
      <c r="EB61" s="43" t="str">
        <f aca="false">IF(Tasks[[#This Row],[_Res3Text]]="","",IF(Tasks[[#This Row],[_Res3Row]]&gt;0,INDEX(res_Name,Tasks[[#This Row],[_Res3Row]]),TRIM(LEFT(Tasks[[#This Row],[_Res3Text]],FIND("[",Tasks[[#This Row],[_Res3Text]]&amp;"[")-1))))</f>
        <v/>
      </c>
      <c r="EC6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1" s="43" t="n">
        <f aca="false">IF(OR(NOT(Tasks[[#This Row],[_IsLeaf]]=1),Tasks[[#This Row],[_Res3Row]]=0),0,N(Tasks[[#This Row],[_Days]])*HoursPerDay*IF(Tasks[[#This Row],[_Res3Units]]="",DefaultUnits,Tasks[[#This Row],[_Res3Units]]))</f>
        <v>0</v>
      </c>
      <c r="EE61" s="43" t="n">
        <f aca="false">IF(AND(AND(Tasks[[#This Row],[_IsLeaf]]=1,Tasks[[#This Row],[_LeafTotalWork]]&gt;0),Tasks[[#This Row],[_Res3Work]]&gt;0),Tasks[[#This Row],[_Res3Work]]/(Tasks[[#This Row],[_FinishWorkday]]-Tasks[[#This Row],[_StartWorkday]]+1),0)</f>
        <v>0</v>
      </c>
      <c r="EF61" s="43" t="n">
        <f aca="false">Tasks[[#This Row],[_Res3WorkPerWD]]*MAX(0,Tasks[[#This Row],[_StartWorkday]]-1)</f>
        <v>0</v>
      </c>
      <c r="EG61" s="43" t="n">
        <f aca="false">Tasks[[#This Row],[_Res3Work]]*Tasks[[#This Row],[_LeafProgress]]</f>
        <v>0</v>
      </c>
      <c r="EH61" s="43" t="str">
        <f aca="false">IF(Tasks[[#This Row],[_Res4Text]]="","",IF(Tasks[[#This Row],[_Res4Row]]&gt;0,INDEX(res_Name,Tasks[[#This Row],[_Res4Row]]),TRIM(LEFT(Tasks[[#This Row],[_Res4Text]],FIND("[",Tasks[[#This Row],[_Res4Text]]&amp;"[")-1))))</f>
        <v/>
      </c>
      <c r="EI6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1" s="43" t="n">
        <f aca="false">IF(OR(NOT(Tasks[[#This Row],[_IsLeaf]]=1),Tasks[[#This Row],[_Res4Row]]=0),0,N(Tasks[[#This Row],[_Days]])*HoursPerDay*IF(Tasks[[#This Row],[_Res4Units]]="",DefaultUnits,Tasks[[#This Row],[_Res4Units]]))</f>
        <v>0</v>
      </c>
      <c r="EK61" s="43" t="n">
        <f aca="false">IF(AND(AND(Tasks[[#This Row],[_IsLeaf]]=1,Tasks[[#This Row],[_LeafTotalWork]]&gt;0),Tasks[[#This Row],[_Res4Work]]&gt;0),Tasks[[#This Row],[_Res4Work]]/(Tasks[[#This Row],[_FinishWorkday]]-Tasks[[#This Row],[_StartWorkday]]+1),0)</f>
        <v>0</v>
      </c>
      <c r="EL61" s="43" t="n">
        <f aca="false">Tasks[[#This Row],[_Res4WorkPerWD]]*MAX(0,Tasks[[#This Row],[_StartWorkday]]-1)</f>
        <v>0</v>
      </c>
      <c r="EM61" s="43" t="n">
        <f aca="false">Tasks[[#This Row],[_Res4Work]]*Tasks[[#This Row],[_LeafProgress]]</f>
        <v>0</v>
      </c>
      <c r="EN61" s="43" t="n">
        <f aca="false">IF(ISNUMBER(Tasks[[#This Row],[% Complete]]),Tasks[[#This Row],[% Complete]],IF(Tasks[[#This Row],[Stage]]="",0,IFERROR(INDEX(stg_Pct,MATCH(Tasks[[#This Row],[Stage]],stg_Name,0)),0)))</f>
        <v>0</v>
      </c>
      <c r="EO61" s="43" t="n">
        <f aca="false">IF(NOT(Tasks[[#This Row],[_IsLeaf]]=1),0,IF(N(Tasks[[#This Row],[Actual Finish]])&gt;0,1,MIN(1,Tasks[[#This Row],[_Pct]])))</f>
        <v>0</v>
      </c>
      <c r="EP61" s="43" t="n">
        <f aca="false">IF(OR(NOT(Tasks[[#This Row],[_IsLeaf]]=1),Tasks[[#This Row],[_Res1Row]]=0),0,N(Tasks[[#This Row],[_Days]])*HoursPerDay*IF(Tasks[[#This Row],[_Units1]]="",DefaultUnits,Tasks[[#This Row],[_Units1]]))</f>
        <v>0</v>
      </c>
      <c r="EQ61" s="43" t="n">
        <f aca="false">Tasks[[#This Row],[_LeafWork]]+Tasks[[#This Row],[_Res2Work]]+Tasks[[#This Row],[_Res3Work]]+Tasks[[#This Row],[_Res4Work]]</f>
        <v>0</v>
      </c>
      <c r="ER6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1" s="43" t="n">
        <f aca="false">IF(NOT(Tasks[[#This Row],[_IsLeaf]]=1),0,MAX(_xlfn.MAXIFS(Tasks[_Row],Tasks[_Pred1UID],Tasks[[#This Row],[UID]]),_xlfn.MAXIFS(Tasks[_Row],Tasks[_Pred2UID],Tasks[[#This Row],[UID]]),_xlfn.MAXIFS(Tasks[_Row],Tasks[_Pred3UID],Tasks[[#This Row],[UID]]),_xlfn.MAXIFS(Tasks[_Row],Tasks[_Pred4UID],Tasks[[#This Row],[UID]])))</f>
        <v>0</v>
      </c>
      <c r="FA6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1" s="91" t="str">
        <f aca="false">IF(NOT(Tasks[[#This Row],[_IsLeaf]]=1),"",IF(N(Tasks[[#This Row],[_Days]])&lt;=0,Tasks[[#This Row],[_LeafLateFinish]],WORKDAY.INTL(Tasks[[#This Row],[_LeafLateFinish]],-(Tasks[[#This Row],[_Days]]-1),WorkWeek,Holidays)))</f>
        <v/>
      </c>
      <c r="FD6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1" s="90" t="b">
        <f aca="false">AND(Tasks[[#This Row],[_IsLeaf]]=1,Tasks[[#This Row],[_LeafProgress]]&lt;1,N(Tasks[[#This Row],[_LeafTotalSlack]])&lt;=CriticalSlackDays)</f>
        <v>0</v>
      </c>
      <c r="FF61" s="43" t="n">
        <f aca="false">IF(AND(Tasks[[#This Row],[_IsLeaf]]=1,Tasks[[#This Row],[_ConstraintCode]]=1,Tasks[[#This Row],[Mode]]&lt;&gt;"Manual",N(Tasks[[#This Row],[Actual Start]])=0),MAX(0,N(Tasks[[#This Row],[Free Slack]])),0)</f>
        <v>0</v>
      </c>
      <c r="FG61" s="91" t="str">
        <f aca="false">IF(NOT(Tasks[[#This Row],[_IsLeaf]]=1),"",IF(Tasks[[#This Row],[_AlapShift]]=0,Tasks[[#This Row],[_LeafCalcStart]],WORKDAY.INTL(Tasks[[#This Row],[_LeafCalcStart]],Tasks[[#This Row],[_AlapShift]],WorkWeek,Holidays)))</f>
        <v/>
      </c>
      <c r="FH61" s="91" t="str">
        <f aca="false">IF(NOT(Tasks[[#This Row],[_IsLeaf]]=1),"",IF(Tasks[[#This Row],[_AlapShift]]=0,Tasks[[#This Row],[_LeafCalcFinish]],WORKDAY.INTL(Tasks[[#This Row],[_LeafCalcFinish]],Tasks[[#This Row],[_AlapShift]],WorkWeek,Holidays)))</f>
        <v/>
      </c>
      <c r="FI61" s="91" t="str">
        <f aca="false">IF(NOT(Tasks[[#This Row],[_IsLeaf]]=1),"",IF(Tasks[[#This Row],[_AlapShift]]=0,Tasks[[#This Row],[_LeafFcstStart]],WORKDAY.INTL(Tasks[[#This Row],[_LeafFcstStart]],Tasks[[#This Row],[_AlapShift]],WorkWeek,Holidays)))</f>
        <v/>
      </c>
      <c r="FJ61" s="91" t="str">
        <f aca="false">IF(NOT(Tasks[[#This Row],[_IsLeaf]]=1),"",IF(Tasks[[#This Row],[_AlapShift]]=0,Tasks[[#This Row],[_LeafFcstFinish]],WORKDAY.INTL(Tasks[[#This Row],[_LeafFcstFinish]],Tasks[[#This Row],[_AlapShift]],WorkWeek,Holidays)))</f>
        <v/>
      </c>
      <c r="FK61" s="91" t="str">
        <f aca="false">IF(Tasks[[#This Row],[Task Name]]="","",IF(Tasks[[#This Row],[_IsSummary]],MIN(INDEX(Tasks[_ShownCalcStart],Tasks[[#This Row],[_Row]]+1):INDEX(Tasks[_ShownCalcStart],Tasks[[#This Row],[_Row]]+Tasks[[#This Row],[_Descendants]])),Tasks[[#This Row],[_ShownCalcStart]]))</f>
        <v/>
      </c>
      <c r="FL61" s="91" t="str">
        <f aca="false">IF(Tasks[[#This Row],[Task Name]]="","",IF(Tasks[[#This Row],[_IsSummary]],MAX(INDEX(Tasks[_ShownCalcFinish],Tasks[[#This Row],[_Row]]+1):INDEX(Tasks[_ShownCalcFinish],Tasks[[#This Row],[_Row]]+Tasks[[#This Row],[_Descendants]])),Tasks[[#This Row],[_ShownCalcFinish]]))</f>
        <v/>
      </c>
      <c r="FM6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1" s="43" t="n">
        <f aca="false">IF(AND(Tasks[[#This Row],[_IsLeaf]]=1,Tasks[[#This Row],[_LeafTotalWork]]&gt;0),NETWORKDAYS.INTL(ProjectStart,Tasks[[#This Row],[_ShownFcstStart]],WorkWeek,Holidays),0)</f>
        <v>0</v>
      </c>
      <c r="FZ61" s="43" t="n">
        <f aca="false">IF(AND(Tasks[[#This Row],[_IsLeaf]]=1,Tasks[[#This Row],[_LeafTotalWork]]&gt;0),MAX(Tasks[[#This Row],[_StartWorkday]],NETWORKDAYS.INTL(ProjectStart,Tasks[[#This Row],[_ShownFcstFinish]],WorkWeek,Holidays)),0)</f>
        <v>0</v>
      </c>
      <c r="GA61" s="43" t="n">
        <f aca="false">IF(AND(Tasks[[#This Row],[_IsLeaf]]=1,Tasks[[#This Row],[_LeafTotalWork]]&gt;0),Tasks[[#This Row],[_LeafWork]]/(Tasks[[#This Row],[_FinishWorkday]]-Tasks[[#This Row],[_StartWorkday]]+1),0)</f>
        <v>0</v>
      </c>
      <c r="GB61" s="43" t="n">
        <f aca="false">Tasks[[#This Row],[_WorkPerWorkday]]*(Tasks[[#This Row],[_StartWorkday]]-1)</f>
        <v>-0</v>
      </c>
      <c r="GC61" s="43" t="n">
        <f aca="false">IF(Tasks[[#This Row],[_IsLeaf]]=1,MAX(N(Tasks[[#This Row],[_Days]]),0.1),0)</f>
        <v>0</v>
      </c>
      <c r="GD61" s="43" t="n">
        <f aca="false">Tasks[[#This Row],[_WeightDur]]*Tasks[[#This Row],[_LeafProgress]]</f>
        <v>0</v>
      </c>
      <c r="GE61" s="43" t="n">
        <f aca="false">Tasks[[#This Row],[_WeightDur]]*Tasks[[#This Row],[_PlannedPct]]</f>
        <v>0</v>
      </c>
      <c r="GF6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1" s="43" t="str">
        <f aca="false">IF(AND(Tasks[[#This Row],[_IsLeaf]]=1,N(Tasks[[#This Row],[_Days]])=0,Tasks[[#This Row],[_LeafProgress]]&lt;1),Tasks[[#This Row],[_ShownFcstFinish]]+Tasks[[#This Row],[_Row]]/100000,"")</f>
        <v/>
      </c>
      <c r="GH6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1" s="43" t="str">
        <f aca="false">IF(Tasks[[#This Row],[Task Name]]="","",LEFT(Tasks[[#This Row],[WBS]],FIND(".",Tasks[[#This Row],[WBS]]&amp;".")-1))</f>
        <v/>
      </c>
      <c r="GJ61" s="43" t="str">
        <f aca="false">IF(AND(Tasks[[#This Row],[Task Name]]&lt;&gt;"",Tasks[[#This Row],[_Level]]=1),Tasks[[#This Row],[_Row]],"")</f>
        <v/>
      </c>
      <c r="GK61" s="43" t="str">
        <f aca="false">IF(AND(Tasks[[#This Row],[_IsLeaf]]=1,N(Tasks[[#This Row],[_Days]])=0),Tasks[[#This Row],[Planned Finish]]+Tasks[[#This Row],[_Row]]/100000,"")</f>
        <v/>
      </c>
      <c r="GL61" s="43" t="str">
        <f aca="false">IF(AND(Tasks[[#This Row],[_IsLeaf]]=1,Tasks[[#This Row],[_LeafProgress]]&lt;1,OR(N(Tasks[[#This Row],[Finish Var]])&gt;0,Tasks[[#This Row],[Status]]="Late Start")),MAX(0,Tasks[[#This Row],[Finish Var]])+1-Tasks[[#This Row],[_Row]]/1000000,"")</f>
        <v/>
      </c>
      <c r="GM61" s="43" t="str">
        <f aca="false">IF(AND(Tasks[[#This Row],[_IsLeaf]]=1,N(Tasks[[#This Row],[Actual Start]])=0,Tasks[[#This Row],[_ShownFcstStart]]&gt;=StatusDate,Tasks[[#This Row],[_ShownFcstStart]]&lt;=LookaheadEnd),Tasks[[#This Row],[_ShownFcstStart]]+Tasks[[#This Row],[_Row]]/100000,"")</f>
        <v/>
      </c>
      <c r="GN61" s="43" t="str">
        <f aca="false">IF(AND(Tasks[[#This Row],[_IsLeaf]]=1,Tasks[[#This Row],[_LeafProgress]]&lt;1,Tasks[[#This Row],[_ShownFcstFinish]]&gt;=StatusDate,Tasks[[#This Row],[_ShownFcstFinish]]&lt;=LookaheadEnd),Tasks[[#This Row],[_ShownFcstFinish]]+Tasks[[#This Row],[_Row]]/100000,"")</f>
        <v/>
      </c>
      <c r="GO61" s="43" t="str">
        <f aca="false">IF(Tasks[[#This Row],[_LeafCritical]],Tasks[[#This Row],[_ShownFcstStart]]+Tasks[[#This Row],[_Row]]/100000,"")</f>
        <v/>
      </c>
      <c r="GP61" s="43" t="n">
        <f aca="false">Tasks[[#This Row],[_LeafWork]]*Tasks[[#This Row],[_LeafProgress]]</f>
        <v>0</v>
      </c>
      <c r="GQ61" s="91" t="str">
        <f aca="false">IF(AND(Tasks[[#This Row],[_IsLeaf]]=1,Tasks[[#This Row],[_LeafProgress]]&gt;=1),IF(N(Tasks[[#This Row],[Actual Finish]])&gt;0,Tasks[[#This Row],[Actual Finish]],Tasks[[#This Row],[_ShownFcstFinish]]),"")</f>
        <v/>
      </c>
      <c r="GR61" s="43" t="n">
        <f aca="false">IF(Tasks[[#This Row],[_IsLeaf]]=1,N(Tasks[[#This Row],[Story Points]]),0)</f>
        <v>0</v>
      </c>
      <c r="GS61" s="43" t="str">
        <f aca="false">""</f>
        <v/>
      </c>
      <c r="GT61" s="90" t="b">
        <f aca="false">IF(Tasks[[#This Row],[Task Name]]="",FALSE(),AND(Tasks[[#This Row],[_IsLeaf]]=1,N(Tasks[[#This Row],[_Days]])=0))</f>
        <v>0</v>
      </c>
      <c r="GU61" s="91" t="n">
        <f aca="false">IF(Tasks[[#This Row],[Task Name]]="",0,IF(AND(Tasks[[#This Row],[_IsLeaf]]=1,NOT(Tasks[[#This Row],[_IsMilestone]]),N(Tasks[[#This Row],[Progress]])&gt;0),Tasks[[#This Row],[Start]],0))</f>
        <v>0</v>
      </c>
      <c r="GV61" s="91" t="n">
        <f aca="false">IF(Tasks[[#This Row],[_DoneFrom]]=0,0,IF(Tasks[[#This Row],[Progress]]&gt;=1,Tasks[[#This Row],[Finish]],MAX(Tasks[[#This Row],[_DoneFrom]],Tasks[[#This Row],[Start]]+ROUND((Tasks[[#This Row],[Finish]]-Tasks[[#This Row],[Start]]+1)*Tasks[[#This Row],[Progress]],0)-1)))</f>
        <v>0</v>
      </c>
      <c r="GW61" s="91" t="n">
        <f aca="false">IF(Tasks[[#This Row],[Task Name]]="",0,IF(OR(NOT(Tasks[[#This Row],[_IsLeaf]]=1),Tasks[[#This Row],[_IsMilestone]],N(Tasks[[#This Row],[Progress]])&gt;=1),0,IF(Tasks[[#This Row],[_DoneTo]]&gt;0,Tasks[[#This Row],[_DoneTo]]+1,Tasks[[#This Row],[Start]])))</f>
        <v>0</v>
      </c>
      <c r="GX61" s="91" t="n">
        <f aca="false">IF(Tasks[[#This Row],[_RemFrom]]=0,0,Tasks[[#This Row],[Finish]])</f>
        <v>0</v>
      </c>
      <c r="GY61" s="90" t="b">
        <f aca="false">IF(Tasks[[#This Row],[Task Name]]="",FALSE(),OR(NOT(BaselineSet),N(Tasks[[#This Row],[Baseline Start]])&gt;0))</f>
        <v>0</v>
      </c>
      <c r="GZ6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1" s="92" t="str">
        <f aca="false">IF(Tasks[[#This Row],[_IsLeaf]]=1,Tasks[[#This Row],[_Row]],"")</f>
        <v/>
      </c>
      <c r="HD61" s="92" t="str">
        <f aca="false">IFERROR(INDEX(Tasks[UID],SMALL(Tasks[_PickKey],Tasks[[#This Row],[_Row]]))&amp;" "&amp;INDEX(Tasks[Task Name],SMALL(Tasks[_PickKey],Tasks[[#This Row],[_Row]])),"")</f>
        <v/>
      </c>
      <c r="HE61" s="43" t="str">
        <f aca="false">IF(Tasks[[#This Row],[Task Name]]="","",IF(Tasks[[#This Row],[_IsSummary]],NETWORKDAYS.INTL(Tasks[[#This Row],[Start]],Tasks[[#This Row],[Finish]],WorkWeek,Holidays),N(Tasks[[#This Row],[_Days]])))</f>
        <v/>
      </c>
      <c r="HF61" s="43" t="n">
        <f aca="false">IF(Tasks[[#This Row],[Expected]]="",0,((Tasks[[#This Row],[Pessimistic]]-Tasks[[#This Row],[Optimistic]])/6)^2)</f>
        <v>0</v>
      </c>
      <c r="HG61" s="43" t="n">
        <f aca="false">IF(Tasks[[#This Row],[Expected]]="",0,Tasks[[#This Row],[Expected]]-N(Tasks[[#This Row],[_Days]]))</f>
        <v>0</v>
      </c>
    </row>
    <row r="62" customFormat="false" ht="15" hidden="false" customHeight="false" outlineLevel="0" collapsed="false">
      <c r="A62" s="21" t="str">
        <f aca="false">IF(Tasks[[#This Row],[Task Name]]="","",COUNTA(Tasks[[#Headers],[Task Name]]:Tasks[[#This Row],[Task Name]])-1)</f>
        <v/>
      </c>
      <c r="B62" s="22" t="n">
        <v>70</v>
      </c>
      <c r="C62" s="22"/>
      <c r="D62" s="23"/>
      <c r="E62" s="22"/>
      <c r="F62" s="23"/>
      <c r="G62" s="22"/>
      <c r="H62" s="22"/>
      <c r="I62" s="23"/>
      <c r="J62" s="22"/>
      <c r="K62" s="22"/>
      <c r="L62" s="23"/>
      <c r="M62" s="22"/>
      <c r="N62" s="22"/>
      <c r="O62" s="23"/>
      <c r="P62" s="22"/>
      <c r="Q62" s="22"/>
      <c r="R62" s="23"/>
      <c r="S62" s="23"/>
      <c r="T62" s="84"/>
      <c r="U62" s="23"/>
      <c r="V62" s="84"/>
      <c r="W62" s="23"/>
      <c r="X62" s="84"/>
      <c r="Y62" s="23"/>
      <c r="Z62" s="84"/>
      <c r="AA62" s="23"/>
      <c r="AB62" s="23"/>
      <c r="AC62" s="7"/>
      <c r="AD62" s="7"/>
      <c r="AE62" s="63" t="str">
        <f aca="false">IF(Tasks[[#This Row],[Task Name]]="","",IF(Tasks[[#This Row],[_IsSummary]],MIN(INDEX(Tasks[_ShownFcstStart],Tasks[[#This Row],[_Row]]+1):INDEX(Tasks[_ShownFcstStart],Tasks[[#This Row],[_Row]]+Tasks[[#This Row],[_Descendants]])),Tasks[[#This Row],[_ShownFcstStart]]))</f>
        <v/>
      </c>
      <c r="AF62" s="63" t="str">
        <f aca="false">IF(Tasks[[#This Row],[Task Name]]="","",IF(Tasks[[#This Row],[_IsSummary]],MAX(INDEX(Tasks[_ShownFcstFinish],Tasks[[#This Row],[_Row]]+1):INDEX(Tasks[_ShownFcstFinish],Tasks[[#This Row],[_Row]]+Tasks[[#This Row],[_Descendants]])),Tasks[[#This Row],[_ShownFcstFinish]]))</f>
        <v/>
      </c>
      <c r="AG62" s="21" t="str">
        <f aca="false">""</f>
        <v/>
      </c>
      <c r="AH62" s="23"/>
      <c r="AI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2" s="7"/>
      <c r="AK62" s="22"/>
      <c r="AL62" s="23"/>
      <c r="AM62" s="7"/>
      <c r="AN62" s="47" t="str">
        <f aca="false">IF(Tasks[[#This Row],[Task Name]]="","",IF(Tasks[[#This Row],[Finish]]&gt;=Tasks[[#This Row],[Planned Finish]],NETWORKDAYS.INTL(Tasks[[#This Row],[Planned Finish]],Tasks[[#This Row],[Finish]],WorkWeek,Holidays)-1,1-NETWORKDAYS.INTL(Tasks[[#This Row],[Finish]],Tasks[[#This Row],[Planned Finish]],WorkWeek,Holidays)))</f>
        <v/>
      </c>
      <c r="AO62" s="21" t="str">
        <f aca="false">IF(Tasks[[#This Row],[Task Name]]="","",IF(Tasks[[#This Row],[Progress]]&gt;=1,"Complete",IF(OR(N(Tasks[[#This Row],[Actual Start]])&gt;0,Tasks[[#This Row],[Progress]]&gt;0),IF(Tasks[[#This Row],[Finish Var]]&gt;0,"Behind","In Progress"),IF(Tasks[[#This Row],[Planned Start]]&lt;StatusDate,"Late Start","Not Started"))))</f>
        <v/>
      </c>
      <c r="AP62" s="21" t="str">
        <f aca="false">IF(Tasks[[#This Row],[Task Name]]="","",IF(IF(Tasks[[#This Row],[_IsSummary]],COUNTIF(INDEX(Tasks[_LeafCritical],Tasks[[#This Row],[_Row]]+1):INDEX(Tasks[_LeafCritical],Tasks[[#This Row],[_Row]]+Tasks[[#This Row],[_Descendants]]),TRUE())&gt;0,Tasks[[#This Row],[_LeafCritical]]),"Yes",""))</f>
        <v/>
      </c>
      <c r="AQ62" s="63" t="str">
        <f aca="false">IF(Tasks[[#This Row],[Task Name]]="","",IF(N(Tasks[[#This Row],[Baseline Start]])&gt;0,Tasks[[#This Row],[Baseline Start]],Tasks[[#This Row],[_CalcStart]]))</f>
        <v/>
      </c>
      <c r="AR62" s="63" t="str">
        <f aca="false">IF(Tasks[[#This Row],[Task Name]]="","",IF(N(Tasks[[#This Row],[Baseline Finish]])&gt;0,Tasks[[#This Row],[Baseline Finish]],Tasks[[#This Row],[_CalcFinish]]))</f>
        <v/>
      </c>
      <c r="AS62" s="47" t="str">
        <f aca="false">IF(Tasks[[#This Row],[Task Name]]="","",IF(Tasks[[#This Row],[Start]]&gt;=Tasks[[#This Row],[Planned Start]],NETWORKDAYS.INTL(Tasks[[#This Row],[Planned Start]],Tasks[[#This Row],[Start]],WorkWeek,Holidays)-1,1-NETWORKDAYS.INTL(Tasks[[#This Row],[Start]],Tasks[[#This Row],[Planned Start]],WorkWeek,Holidays)))</f>
        <v/>
      </c>
      <c r="AT62" s="63" t="str">
        <f aca="false">IF(Tasks[[#This Row],[Task Name]]="","",IF(Tasks[[#This Row],[_IsSummary]],MIN(INDEX(Tasks[_LeafLateStart],Tasks[[#This Row],[_Row]]+1):INDEX(Tasks[_LeafLateStart],Tasks[[#This Row],[_Row]]+Tasks[[#This Row],[_Descendants]])),Tasks[[#This Row],[_LeafLateStart]]))</f>
        <v/>
      </c>
      <c r="AU62" s="63" t="str">
        <f aca="false">IF(Tasks[[#This Row],[Task Name]]="","",IF(Tasks[[#This Row],[_IsSummary]],MAX(INDEX(Tasks[_LeafLateFinish],Tasks[[#This Row],[_Row]]+1):INDEX(Tasks[_LeafLateFinish],Tasks[[#This Row],[_Row]]+Tasks[[#This Row],[_Descendants]])),Tasks[[#This Row],[_LeafLateFinish]]))</f>
        <v/>
      </c>
      <c r="AV62" s="47" t="str">
        <f aca="false">IF(Tasks[[#This Row],[Task Name]]="","",IF(Tasks[[#This Row],[_IsSummary]],MIN(INDEX(Tasks[_LeafTotalSlack],Tasks[[#This Row],[_Row]]+1):INDEX(Tasks[_LeafTotalSlack],Tasks[[#This Row],[_Row]]+Tasks[[#This Row],[_Descendants]])),Tasks[[#This Row],[_LeafTotalSlack]]))</f>
        <v/>
      </c>
      <c r="AW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5"/>
      <c r="BA6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1" t="str">
        <f aca="false">IF(Tasks[[#This Row],[Task Name]]="","",IF(Tasks[[#This Row],[_Level]]&lt;=OutlineShowLevel,"Yes","No"))</f>
        <v/>
      </c>
      <c r="BE62" s="86" t="str">
        <f aca="false">IF(Tasks[[#This Row],[Task Name]]="","",IF(Tasks[[#This Row],[_IsSummary]],SUM(INDEX(Tasks[_LeafTotalWork],Tasks[[#This Row],[_Row]]+1):INDEX(Tasks[_LeafTotalWork],Tasks[[#This Row],[_Row]]+Tasks[[#This Row],[_Descendants]])),Tasks[[#This Row],[_LeafTotalWork]]))</f>
        <v/>
      </c>
      <c r="BF62" s="23"/>
      <c r="BG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2" s="21" t="str">
        <f aca="false">""</f>
        <v/>
      </c>
      <c r="BI62" s="87"/>
      <c r="BJ62" s="22"/>
      <c r="BK62" s="47" t="str">
        <f aca="false">IF(OR(Tasks[[#This Row],[Task Name]]="",Tasks[[#This Row],[Baseline Duration]]=""),"",Tasks[[#This Row],[_SpanDays]]-N(Tasks[[#This Row],[Baseline Duration]]))</f>
        <v/>
      </c>
      <c r="BL62" s="86" t="str">
        <f aca="false">IF(OR(Tasks[[#This Row],[Task Name]]="",Tasks[[#This Row],[Baseline Work]]=""),"",Tasks[[#This Row],[Work]]-N(Tasks[[#This Row],[Baseline Work]]))</f>
        <v/>
      </c>
      <c r="BM62" s="63" t="str">
        <f aca="false">IF(Tasks[[#This Row],[Task Name]]="","",IF(OR(TakeBaseline="Yes",N(Tasks[[#This Row],[Baseline Start]])=0),Tasks[[#This Row],[Start]],Tasks[[#This Row],[Baseline Start]]))</f>
        <v/>
      </c>
      <c r="BN62" s="63" t="str">
        <f aca="false">IF(Tasks[[#This Row],[Task Name]]="","",IF(OR(TakeBaseline="Yes",N(Tasks[[#This Row],[Baseline Finish]])=0),Tasks[[#This Row],[Finish]],Tasks[[#This Row],[Baseline Finish]]))</f>
        <v/>
      </c>
      <c r="BO62" s="21" t="str">
        <f aca="false">IF(Tasks[[#This Row],[Task Name]]="","",IF(OR(TakeBaseline="Yes",N(Tasks[[#This Row],[Baseline Duration]])=0),Tasks[[#This Row],[_SpanDays]],Tasks[[#This Row],[Baseline Duration]]))</f>
        <v/>
      </c>
      <c r="BP62" s="86" t="str">
        <f aca="false">IF(Tasks[[#This Row],[Task Name]]="","",IF(OR(TakeBaseline="Yes",N(Tasks[[#This Row],[Baseline Work]])=0),Tasks[[#This Row],[Work]],Tasks[[#This Row],[Baseline Work]]))</f>
        <v/>
      </c>
      <c r="BQ62" s="7"/>
      <c r="BR62" s="7"/>
      <c r="BS62" s="22"/>
      <c r="BT62" s="88"/>
      <c r="BU62" s="23"/>
      <c r="BV62" s="23"/>
      <c r="BW62" s="23"/>
      <c r="BX62" s="89" t="str">
        <f aca="false">IF(AND(Tasks[[#This Row],[_IsLeaf]]=1,ISNUMBER(Tasks[[#This Row],[Optimistic]]),ISNUMBER(Tasks[[#This Row],[Pessimistic]])),ROUND((Tasks[[#This Row],[Optimistic]]+4*N(Tasks[[#This Row],[_Days]])+Tasks[[#This Row],[Pessimistic]])/6,1),"")</f>
        <v/>
      </c>
      <c r="BY62" s="87"/>
      <c r="BZ62" s="87"/>
      <c r="CA62" s="22"/>
      <c r="CB62" s="43" t="str">
        <f aca="false">IF(Tasks[[#This Row],[Task Name]]="","",MAX(1,N(Tasks[[#This Row],[Level]])))</f>
        <v/>
      </c>
      <c r="CC62" s="43" t="n">
        <f aca="false">ROW()-ROW(Tasks[[#Headers],[ID]])</f>
        <v>57</v>
      </c>
      <c r="CD62" s="43" t="n">
        <f aca="false">IF(OR(Tasks[[#This Row],[Task Name]]="",Tasks[[#This Row],[_Level]]&lt;=1),0,IFERROR(LOOKUP(2,1/(Tasks[[#Headers],[_Level]]:Tasks[[#This Row],[_Level]]=Tasks[[#This Row],[_Level]]-1),ROW(Tasks[[#Headers],[_Level]]:Tasks[[#This Row],[_Level]])),0))</f>
        <v>0</v>
      </c>
      <c r="CE62" s="43" t="n">
        <f aca="false">IFERROR(N(INDEX(Tasks[_Level],Tasks[[#This Row],[_Row]]+1)),0)</f>
        <v>0</v>
      </c>
      <c r="CF62" s="90" t="b">
        <f aca="false">AND(Tasks[[#This Row],[Task Name]]&lt;&gt;"",Tasks[[#This Row],[_NextLevel]]&gt;Tasks[[#This Row],[_Level]])</f>
        <v>0</v>
      </c>
      <c r="CG62" s="43" t="n">
        <f aca="false">IF(Tasks[[#This Row],[_IsSummary]],COUNTIF(Tasks[WBS],Tasks[[#This Row],[WBS]]&amp;".*"),0)</f>
        <v>0</v>
      </c>
      <c r="CH62" s="43" t="n">
        <f aca="false">IF(AND(Tasks[[#This Row],[Task Name]]&lt;&gt;"",NOT(Tasks[[#This Row],[_IsSummary]])),1,0)</f>
        <v>0</v>
      </c>
      <c r="CI62" s="43" t="n">
        <f aca="false">IF(N(Tasks[[#This Row],[_Pred1UID]])=0,0,IFERROR(MATCH(Tasks[[#This Row],[_Pred1UID]],Tasks[UID],0),-1))</f>
        <v>0</v>
      </c>
      <c r="CJ62" s="43" t="n">
        <f aca="false">IF(N(Tasks[[#This Row],[_Pred2UID]])=0,0,IFERROR(MATCH(Tasks[[#This Row],[_Pred2UID]],Tasks[UID],0),-1))</f>
        <v>0</v>
      </c>
      <c r="CK62" s="43" t="n">
        <f aca="false">IF(N(Tasks[[#This Row],[_Pred3UID]])=0,0,IFERROR(MATCH(Tasks[[#This Row],[_Pred3UID]],Tasks[UID],0),-1))</f>
        <v>0</v>
      </c>
      <c r="CL62" s="43" t="n">
        <f aca="false">IF(N(Tasks[[#This Row],[_Pred4UID]])=0,0,IFERROR(MATCH(Tasks[[#This Row],[_Pred4UID]],Tasks[UID],0),-1))</f>
        <v>0</v>
      </c>
      <c r="CM6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2" s="91" t="n">
        <f aca="false">IF(OR(Tasks[[#This Row],[_ConstraintCode]]=2,Tasks[[#This Row],[_ConstraintCode]]=3,Tasks[[#This Row],[_ConstraintCode]]=4,Tasks[[#This Row],[_ConstraintCode]]=6),Tasks[[#This Row],[_ConstraintStart]],0)</f>
        <v>0</v>
      </c>
      <c r="CP62" s="91" t="n">
        <f aca="false">IF(OR(Tasks[[#This Row],[_ConstraintCode]]=2,Tasks[[#This Row],[_ConstraintCode]]=3,Tasks[[#This Row],[_ConstraintCode]]=5,Tasks[[#This Row],[_ConstraintCode]]=7),Tasks[[#This Row],[_ConstraintStart]],2958465)</f>
        <v>2958465</v>
      </c>
      <c r="CQ6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2" s="91" t="str">
        <f aca="false">IF(NOT(Tasks[[#This Row],[_IsLeaf]]=1),"",IF(N(Tasks[[#This Row],[_Days]])&lt;=0,Tasks[[#This Row],[_LeafCalcStart]],WORKDAY.INTL(Tasks[[#This Row],[_LeafCalcStart]],Tasks[[#This Row],[_Days]]-1,WorkWeek,Holidays)))</f>
        <v/>
      </c>
      <c r="CS6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2" s="43" t="str">
        <f aca="false">IF(Tasks[[#This Row],[_Predecessors]]="","",TRIM(MID(SUBSTITUTE(SUBSTITUTE(SUBSTITUTE(UPPER(Tasks[[#This Row],[_Predecessors]]),";",",")," ",""),",",REPT(" ",99)),1,99)))</f>
        <v/>
      </c>
      <c r="CV62" s="43" t="str">
        <f aca="false">IF(Tasks[[#This Row],[_Pred1Text]]="","",IFERROR(VALUE(LEFT(Tasks[[#This Row],[_Pred1Text]],MIN(FIND("F",Tasks[[#This Row],[_Pred1Text]]&amp;"F"),FIND("S",Tasks[[#This Row],[_Pred1Text]]&amp;"S"),FIND("+",Tasks[[#This Row],[_Pred1Text]]&amp;"+"),FIND("-",Tasks[[#This Row],[_Pred1Text]]&amp;"-"))-1)),""))</f>
        <v/>
      </c>
      <c r="CW6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2" s="43" t="str">
        <f aca="false">IF(Tasks[[#This Row],[_Pred1Text]]="","",TRIM(MID(SUBSTITUTE(SUBSTITUTE(SUBSTITUTE(UPPER(Tasks[[#This Row],[_Predecessors]]),";",",")," ",""),",",REPT(" ",99)),100,99)))</f>
        <v/>
      </c>
      <c r="CZ62" s="43" t="str">
        <f aca="false">IF(Tasks[[#This Row],[_Pred2Text]]="","",IFERROR(VALUE(LEFT(Tasks[[#This Row],[_Pred2Text]],MIN(FIND("F",Tasks[[#This Row],[_Pred2Text]]&amp;"F"),FIND("S",Tasks[[#This Row],[_Pred2Text]]&amp;"S"),FIND("+",Tasks[[#This Row],[_Pred2Text]]&amp;"+"),FIND("-",Tasks[[#This Row],[_Pred2Text]]&amp;"-"))-1)),""))</f>
        <v/>
      </c>
      <c r="DA6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2" s="43" t="str">
        <f aca="false">IF(Tasks[[#This Row],[_Pred2Text]]="","",TRIM(MID(SUBSTITUTE(SUBSTITUTE(SUBSTITUTE(UPPER(Tasks[[#This Row],[_Predecessors]]),";",",")," ",""),",",REPT(" ",99)),199,99)))</f>
        <v/>
      </c>
      <c r="DD62" s="43" t="str">
        <f aca="false">IF(Tasks[[#This Row],[_Pred3Text]]="","",IFERROR(VALUE(LEFT(Tasks[[#This Row],[_Pred3Text]],MIN(FIND("F",Tasks[[#This Row],[_Pred3Text]]&amp;"F"),FIND("S",Tasks[[#This Row],[_Pred3Text]]&amp;"S"),FIND("+",Tasks[[#This Row],[_Pred3Text]]&amp;"+"),FIND("-",Tasks[[#This Row],[_Pred3Text]]&amp;"-"))-1)),""))</f>
        <v/>
      </c>
      <c r="DE6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2" s="43" t="str">
        <f aca="false">IF(Tasks[[#This Row],[_Pred3Text]]="","",TRIM(MID(SUBSTITUTE(SUBSTITUTE(SUBSTITUTE(UPPER(Tasks[[#This Row],[_Predecessors]]),";",",")," ",""),",",REPT(" ",99)),298,99)))</f>
        <v/>
      </c>
      <c r="DH62" s="43" t="str">
        <f aca="false">IF(Tasks[[#This Row],[_Pred4Text]]="","",IFERROR(VALUE(LEFT(Tasks[[#This Row],[_Pred4Text]],MIN(FIND("F",Tasks[[#This Row],[_Pred4Text]]&amp;"F"),FIND("S",Tasks[[#This Row],[_Pred4Text]]&amp;"S"),FIND("+",Tasks[[#This Row],[_Pred4Text]]&amp;"+"),FIND("-",Tasks[[#This Row],[_Pred4Text]]&amp;"-"))-1)),""))</f>
        <v/>
      </c>
      <c r="DI6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2" s="43" t="str">
        <f aca="false">IF(OR(Tasks[[#This Row],[Task Name]]="",Tasks[[#This Row],[_Resources]]=""),"",TRIM(MID(SUBSTITUTE(Tasks[[#This Row],[_Resources]],",",REPT(" ",99)),1,99)))</f>
        <v/>
      </c>
      <c r="DL62" s="43" t="str">
        <f aca="false">IF(Tasks[[#This Row],[_Res1Text]]="","",TRIM(MID(SUBSTITUTE(Tasks[[#This Row],[_Resources]],",",REPT(" ",99)),100,99)))</f>
        <v/>
      </c>
      <c r="DM62" s="43" t="str">
        <f aca="false">IF(Tasks[[#This Row],[_Res2Text]]="","",TRIM(MID(SUBSTITUTE(Tasks[[#This Row],[_Resources]],",",REPT(" ",99)),199,99)))</f>
        <v/>
      </c>
      <c r="DN62" s="43" t="str">
        <f aca="false">IF(Tasks[[#This Row],[_Res3Text]]="","",TRIM(MID(SUBSTITUTE(Tasks[[#This Row],[_Resources]],",",REPT(" ",99)),298,99)))</f>
        <v/>
      </c>
      <c r="DO62" s="43" t="n">
        <f aca="false">IF(Tasks[[#This Row],[_Res1Text]]="",0,IFERROR(MATCH(TRIM(LEFT(Tasks[[#This Row],[_Res1Text]],FIND("[",Tasks[[#This Row],[_Res1Text]]&amp;"[")-1)),res_Name,0),IFERROR(MATCH(TRIM(LEFT(Tasks[[#This Row],[_Res1Text]],FIND("[",Tasks[[#This Row],[_Res1Text]]&amp;"[")-1)),res_Initials,0),0)))</f>
        <v>0</v>
      </c>
      <c r="DP62" s="43" t="n">
        <f aca="false">IF(Tasks[[#This Row],[_Res2Text]]="",0,IFERROR(MATCH(TRIM(LEFT(Tasks[[#This Row],[_Res2Text]],FIND("[",Tasks[[#This Row],[_Res2Text]]&amp;"[")-1)),res_Name,0),IFERROR(MATCH(TRIM(LEFT(Tasks[[#This Row],[_Res2Text]],FIND("[",Tasks[[#This Row],[_Res2Text]]&amp;"[")-1)),res_Initials,0),0)))</f>
        <v>0</v>
      </c>
      <c r="DQ62" s="43" t="n">
        <f aca="false">IF(Tasks[[#This Row],[_Res3Text]]="",0,IFERROR(MATCH(TRIM(LEFT(Tasks[[#This Row],[_Res3Text]],FIND("[",Tasks[[#This Row],[_Res3Text]]&amp;"[")-1)),res_Name,0),IFERROR(MATCH(TRIM(LEFT(Tasks[[#This Row],[_Res3Text]],FIND("[",Tasks[[#This Row],[_Res3Text]]&amp;"[")-1)),res_Initials,0),0)))</f>
        <v>0</v>
      </c>
      <c r="DR62" s="43" t="n">
        <f aca="false">IF(Tasks[[#This Row],[_Res4Text]]="",0,IFERROR(MATCH(TRIM(LEFT(Tasks[[#This Row],[_Res4Text]],FIND("[",Tasks[[#This Row],[_Res4Text]]&amp;"[")-1)),res_Name,0),IFERROR(MATCH(TRIM(LEFT(Tasks[[#This Row],[_Res4Text]],FIND("[",Tasks[[#This Row],[_Res4Text]]&amp;"[")-1)),res_Initials,0),0)))</f>
        <v>0</v>
      </c>
      <c r="DS62" s="43" t="str">
        <f aca="false">IF(Tasks[[#This Row],[_Res1Text]]="","",IF(Tasks[[#This Row],[_Res1Row]]&gt;0,INDEX(res_Name,Tasks[[#This Row],[_Res1Row]]),TRIM(LEFT(Tasks[[#This Row],[_Res1Text]],FIND("[",Tasks[[#This Row],[_Res1Text]]&amp;"[")-1))))</f>
        <v/>
      </c>
      <c r="DT6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2" s="43" t="n">
        <f aca="false">IF(NOT(Tasks[[#This Row],[_IsLeaf]]=1),0,(Tasks[[#This Row],[_Resource1]]&lt;&gt;"")+(Tasks[[#This Row],[_Res2]]&lt;&gt;"")+(Tasks[[#This Row],[_Res3]]&lt;&gt;"")+(Tasks[[#This Row],[_Res4]]&lt;&gt;""))</f>
        <v>0</v>
      </c>
      <c r="DV62" s="43" t="str">
        <f aca="false">IF(Tasks[[#This Row],[_Res2Text]]="","",IF(Tasks[[#This Row],[_Res2Row]]&gt;0,INDEX(res_Name,Tasks[[#This Row],[_Res2Row]]),TRIM(LEFT(Tasks[[#This Row],[_Res2Text]],FIND("[",Tasks[[#This Row],[_Res2Text]]&amp;"[")-1))))</f>
        <v/>
      </c>
      <c r="DW6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2" s="43" t="n">
        <f aca="false">IF(OR(NOT(Tasks[[#This Row],[_IsLeaf]]=1),Tasks[[#This Row],[_Res2Row]]=0),0,N(Tasks[[#This Row],[_Days]])*HoursPerDay*IF(Tasks[[#This Row],[_Res2Units]]="",DefaultUnits,Tasks[[#This Row],[_Res2Units]]))</f>
        <v>0</v>
      </c>
      <c r="DY62" s="43" t="n">
        <f aca="false">IF(AND(AND(Tasks[[#This Row],[_IsLeaf]]=1,Tasks[[#This Row],[_LeafTotalWork]]&gt;0),Tasks[[#This Row],[_Res2Work]]&gt;0),Tasks[[#This Row],[_Res2Work]]/(Tasks[[#This Row],[_FinishWorkday]]-Tasks[[#This Row],[_StartWorkday]]+1),0)</f>
        <v>0</v>
      </c>
      <c r="DZ62" s="43" t="n">
        <f aca="false">Tasks[[#This Row],[_Res2WorkPerWD]]*MAX(0,Tasks[[#This Row],[_StartWorkday]]-1)</f>
        <v>0</v>
      </c>
      <c r="EA62" s="43" t="n">
        <f aca="false">Tasks[[#This Row],[_Res2Work]]*Tasks[[#This Row],[_LeafProgress]]</f>
        <v>0</v>
      </c>
      <c r="EB62" s="43" t="str">
        <f aca="false">IF(Tasks[[#This Row],[_Res3Text]]="","",IF(Tasks[[#This Row],[_Res3Row]]&gt;0,INDEX(res_Name,Tasks[[#This Row],[_Res3Row]]),TRIM(LEFT(Tasks[[#This Row],[_Res3Text]],FIND("[",Tasks[[#This Row],[_Res3Text]]&amp;"[")-1))))</f>
        <v/>
      </c>
      <c r="EC6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2" s="43" t="n">
        <f aca="false">IF(OR(NOT(Tasks[[#This Row],[_IsLeaf]]=1),Tasks[[#This Row],[_Res3Row]]=0),0,N(Tasks[[#This Row],[_Days]])*HoursPerDay*IF(Tasks[[#This Row],[_Res3Units]]="",DefaultUnits,Tasks[[#This Row],[_Res3Units]]))</f>
        <v>0</v>
      </c>
      <c r="EE62" s="43" t="n">
        <f aca="false">IF(AND(AND(Tasks[[#This Row],[_IsLeaf]]=1,Tasks[[#This Row],[_LeafTotalWork]]&gt;0),Tasks[[#This Row],[_Res3Work]]&gt;0),Tasks[[#This Row],[_Res3Work]]/(Tasks[[#This Row],[_FinishWorkday]]-Tasks[[#This Row],[_StartWorkday]]+1),0)</f>
        <v>0</v>
      </c>
      <c r="EF62" s="43" t="n">
        <f aca="false">Tasks[[#This Row],[_Res3WorkPerWD]]*MAX(0,Tasks[[#This Row],[_StartWorkday]]-1)</f>
        <v>0</v>
      </c>
      <c r="EG62" s="43" t="n">
        <f aca="false">Tasks[[#This Row],[_Res3Work]]*Tasks[[#This Row],[_LeafProgress]]</f>
        <v>0</v>
      </c>
      <c r="EH62" s="43" t="str">
        <f aca="false">IF(Tasks[[#This Row],[_Res4Text]]="","",IF(Tasks[[#This Row],[_Res4Row]]&gt;0,INDEX(res_Name,Tasks[[#This Row],[_Res4Row]]),TRIM(LEFT(Tasks[[#This Row],[_Res4Text]],FIND("[",Tasks[[#This Row],[_Res4Text]]&amp;"[")-1))))</f>
        <v/>
      </c>
      <c r="EI6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2" s="43" t="n">
        <f aca="false">IF(OR(NOT(Tasks[[#This Row],[_IsLeaf]]=1),Tasks[[#This Row],[_Res4Row]]=0),0,N(Tasks[[#This Row],[_Days]])*HoursPerDay*IF(Tasks[[#This Row],[_Res4Units]]="",DefaultUnits,Tasks[[#This Row],[_Res4Units]]))</f>
        <v>0</v>
      </c>
      <c r="EK62" s="43" t="n">
        <f aca="false">IF(AND(AND(Tasks[[#This Row],[_IsLeaf]]=1,Tasks[[#This Row],[_LeafTotalWork]]&gt;0),Tasks[[#This Row],[_Res4Work]]&gt;0),Tasks[[#This Row],[_Res4Work]]/(Tasks[[#This Row],[_FinishWorkday]]-Tasks[[#This Row],[_StartWorkday]]+1),0)</f>
        <v>0</v>
      </c>
      <c r="EL62" s="43" t="n">
        <f aca="false">Tasks[[#This Row],[_Res4WorkPerWD]]*MAX(0,Tasks[[#This Row],[_StartWorkday]]-1)</f>
        <v>0</v>
      </c>
      <c r="EM62" s="43" t="n">
        <f aca="false">Tasks[[#This Row],[_Res4Work]]*Tasks[[#This Row],[_LeafProgress]]</f>
        <v>0</v>
      </c>
      <c r="EN62" s="43" t="n">
        <f aca="false">IF(ISNUMBER(Tasks[[#This Row],[% Complete]]),Tasks[[#This Row],[% Complete]],IF(Tasks[[#This Row],[Stage]]="",0,IFERROR(INDEX(stg_Pct,MATCH(Tasks[[#This Row],[Stage]],stg_Name,0)),0)))</f>
        <v>0</v>
      </c>
      <c r="EO62" s="43" t="n">
        <f aca="false">IF(NOT(Tasks[[#This Row],[_IsLeaf]]=1),0,IF(N(Tasks[[#This Row],[Actual Finish]])&gt;0,1,MIN(1,Tasks[[#This Row],[_Pct]])))</f>
        <v>0</v>
      </c>
      <c r="EP62" s="43" t="n">
        <f aca="false">IF(OR(NOT(Tasks[[#This Row],[_IsLeaf]]=1),Tasks[[#This Row],[_Res1Row]]=0),0,N(Tasks[[#This Row],[_Days]])*HoursPerDay*IF(Tasks[[#This Row],[_Units1]]="",DefaultUnits,Tasks[[#This Row],[_Units1]]))</f>
        <v>0</v>
      </c>
      <c r="EQ62" s="43" t="n">
        <f aca="false">Tasks[[#This Row],[_LeafWork]]+Tasks[[#This Row],[_Res2Work]]+Tasks[[#This Row],[_Res3Work]]+Tasks[[#This Row],[_Res4Work]]</f>
        <v>0</v>
      </c>
      <c r="ER6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2" s="43" t="n">
        <f aca="false">IF(NOT(Tasks[[#This Row],[_IsLeaf]]=1),0,MAX(_xlfn.MAXIFS(Tasks[_Row],Tasks[_Pred1UID],Tasks[[#This Row],[UID]]),_xlfn.MAXIFS(Tasks[_Row],Tasks[_Pred2UID],Tasks[[#This Row],[UID]]),_xlfn.MAXIFS(Tasks[_Row],Tasks[_Pred3UID],Tasks[[#This Row],[UID]]),_xlfn.MAXIFS(Tasks[_Row],Tasks[_Pred4UID],Tasks[[#This Row],[UID]])))</f>
        <v>0</v>
      </c>
      <c r="FA6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2" s="91" t="str">
        <f aca="false">IF(NOT(Tasks[[#This Row],[_IsLeaf]]=1),"",IF(N(Tasks[[#This Row],[_Days]])&lt;=0,Tasks[[#This Row],[_LeafLateFinish]],WORKDAY.INTL(Tasks[[#This Row],[_LeafLateFinish]],-(Tasks[[#This Row],[_Days]]-1),WorkWeek,Holidays)))</f>
        <v/>
      </c>
      <c r="FD6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2" s="90" t="b">
        <f aca="false">AND(Tasks[[#This Row],[_IsLeaf]]=1,Tasks[[#This Row],[_LeafProgress]]&lt;1,N(Tasks[[#This Row],[_LeafTotalSlack]])&lt;=CriticalSlackDays)</f>
        <v>0</v>
      </c>
      <c r="FF62" s="43" t="n">
        <f aca="false">IF(AND(Tasks[[#This Row],[_IsLeaf]]=1,Tasks[[#This Row],[_ConstraintCode]]=1,Tasks[[#This Row],[Mode]]&lt;&gt;"Manual",N(Tasks[[#This Row],[Actual Start]])=0),MAX(0,N(Tasks[[#This Row],[Free Slack]])),0)</f>
        <v>0</v>
      </c>
      <c r="FG62" s="91" t="str">
        <f aca="false">IF(NOT(Tasks[[#This Row],[_IsLeaf]]=1),"",IF(Tasks[[#This Row],[_AlapShift]]=0,Tasks[[#This Row],[_LeafCalcStart]],WORKDAY.INTL(Tasks[[#This Row],[_LeafCalcStart]],Tasks[[#This Row],[_AlapShift]],WorkWeek,Holidays)))</f>
        <v/>
      </c>
      <c r="FH62" s="91" t="str">
        <f aca="false">IF(NOT(Tasks[[#This Row],[_IsLeaf]]=1),"",IF(Tasks[[#This Row],[_AlapShift]]=0,Tasks[[#This Row],[_LeafCalcFinish]],WORKDAY.INTL(Tasks[[#This Row],[_LeafCalcFinish]],Tasks[[#This Row],[_AlapShift]],WorkWeek,Holidays)))</f>
        <v/>
      </c>
      <c r="FI62" s="91" t="str">
        <f aca="false">IF(NOT(Tasks[[#This Row],[_IsLeaf]]=1),"",IF(Tasks[[#This Row],[_AlapShift]]=0,Tasks[[#This Row],[_LeafFcstStart]],WORKDAY.INTL(Tasks[[#This Row],[_LeafFcstStart]],Tasks[[#This Row],[_AlapShift]],WorkWeek,Holidays)))</f>
        <v/>
      </c>
      <c r="FJ62" s="91" t="str">
        <f aca="false">IF(NOT(Tasks[[#This Row],[_IsLeaf]]=1),"",IF(Tasks[[#This Row],[_AlapShift]]=0,Tasks[[#This Row],[_LeafFcstFinish]],WORKDAY.INTL(Tasks[[#This Row],[_LeafFcstFinish]],Tasks[[#This Row],[_AlapShift]],WorkWeek,Holidays)))</f>
        <v/>
      </c>
      <c r="FK62" s="91" t="str">
        <f aca="false">IF(Tasks[[#This Row],[Task Name]]="","",IF(Tasks[[#This Row],[_IsSummary]],MIN(INDEX(Tasks[_ShownCalcStart],Tasks[[#This Row],[_Row]]+1):INDEX(Tasks[_ShownCalcStart],Tasks[[#This Row],[_Row]]+Tasks[[#This Row],[_Descendants]])),Tasks[[#This Row],[_ShownCalcStart]]))</f>
        <v/>
      </c>
      <c r="FL62" s="91" t="str">
        <f aca="false">IF(Tasks[[#This Row],[Task Name]]="","",IF(Tasks[[#This Row],[_IsSummary]],MAX(INDEX(Tasks[_ShownCalcFinish],Tasks[[#This Row],[_Row]]+1):INDEX(Tasks[_ShownCalcFinish],Tasks[[#This Row],[_Row]]+Tasks[[#This Row],[_Descendants]])),Tasks[[#This Row],[_ShownCalcFinish]]))</f>
        <v/>
      </c>
      <c r="FM6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2" s="43" t="n">
        <f aca="false">IF(AND(Tasks[[#This Row],[_IsLeaf]]=1,Tasks[[#This Row],[_LeafTotalWork]]&gt;0),NETWORKDAYS.INTL(ProjectStart,Tasks[[#This Row],[_ShownFcstStart]],WorkWeek,Holidays),0)</f>
        <v>0</v>
      </c>
      <c r="FZ62" s="43" t="n">
        <f aca="false">IF(AND(Tasks[[#This Row],[_IsLeaf]]=1,Tasks[[#This Row],[_LeafTotalWork]]&gt;0),MAX(Tasks[[#This Row],[_StartWorkday]],NETWORKDAYS.INTL(ProjectStart,Tasks[[#This Row],[_ShownFcstFinish]],WorkWeek,Holidays)),0)</f>
        <v>0</v>
      </c>
      <c r="GA62" s="43" t="n">
        <f aca="false">IF(AND(Tasks[[#This Row],[_IsLeaf]]=1,Tasks[[#This Row],[_LeafTotalWork]]&gt;0),Tasks[[#This Row],[_LeafWork]]/(Tasks[[#This Row],[_FinishWorkday]]-Tasks[[#This Row],[_StartWorkday]]+1),0)</f>
        <v>0</v>
      </c>
      <c r="GB62" s="43" t="n">
        <f aca="false">Tasks[[#This Row],[_WorkPerWorkday]]*(Tasks[[#This Row],[_StartWorkday]]-1)</f>
        <v>-0</v>
      </c>
      <c r="GC62" s="43" t="n">
        <f aca="false">IF(Tasks[[#This Row],[_IsLeaf]]=1,MAX(N(Tasks[[#This Row],[_Days]]),0.1),0)</f>
        <v>0</v>
      </c>
      <c r="GD62" s="43" t="n">
        <f aca="false">Tasks[[#This Row],[_WeightDur]]*Tasks[[#This Row],[_LeafProgress]]</f>
        <v>0</v>
      </c>
      <c r="GE62" s="43" t="n">
        <f aca="false">Tasks[[#This Row],[_WeightDur]]*Tasks[[#This Row],[_PlannedPct]]</f>
        <v>0</v>
      </c>
      <c r="GF6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2" s="43" t="str">
        <f aca="false">IF(AND(Tasks[[#This Row],[_IsLeaf]]=1,N(Tasks[[#This Row],[_Days]])=0,Tasks[[#This Row],[_LeafProgress]]&lt;1),Tasks[[#This Row],[_ShownFcstFinish]]+Tasks[[#This Row],[_Row]]/100000,"")</f>
        <v/>
      </c>
      <c r="GH6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2" s="43" t="str">
        <f aca="false">IF(Tasks[[#This Row],[Task Name]]="","",LEFT(Tasks[[#This Row],[WBS]],FIND(".",Tasks[[#This Row],[WBS]]&amp;".")-1))</f>
        <v/>
      </c>
      <c r="GJ62" s="43" t="str">
        <f aca="false">IF(AND(Tasks[[#This Row],[Task Name]]&lt;&gt;"",Tasks[[#This Row],[_Level]]=1),Tasks[[#This Row],[_Row]],"")</f>
        <v/>
      </c>
      <c r="GK62" s="43" t="str">
        <f aca="false">IF(AND(Tasks[[#This Row],[_IsLeaf]]=1,N(Tasks[[#This Row],[_Days]])=0),Tasks[[#This Row],[Planned Finish]]+Tasks[[#This Row],[_Row]]/100000,"")</f>
        <v/>
      </c>
      <c r="GL62" s="43" t="str">
        <f aca="false">IF(AND(Tasks[[#This Row],[_IsLeaf]]=1,Tasks[[#This Row],[_LeafProgress]]&lt;1,OR(N(Tasks[[#This Row],[Finish Var]])&gt;0,Tasks[[#This Row],[Status]]="Late Start")),MAX(0,Tasks[[#This Row],[Finish Var]])+1-Tasks[[#This Row],[_Row]]/1000000,"")</f>
        <v/>
      </c>
      <c r="GM62" s="43" t="str">
        <f aca="false">IF(AND(Tasks[[#This Row],[_IsLeaf]]=1,N(Tasks[[#This Row],[Actual Start]])=0,Tasks[[#This Row],[_ShownFcstStart]]&gt;=StatusDate,Tasks[[#This Row],[_ShownFcstStart]]&lt;=LookaheadEnd),Tasks[[#This Row],[_ShownFcstStart]]+Tasks[[#This Row],[_Row]]/100000,"")</f>
        <v/>
      </c>
      <c r="GN62" s="43" t="str">
        <f aca="false">IF(AND(Tasks[[#This Row],[_IsLeaf]]=1,Tasks[[#This Row],[_LeafProgress]]&lt;1,Tasks[[#This Row],[_ShownFcstFinish]]&gt;=StatusDate,Tasks[[#This Row],[_ShownFcstFinish]]&lt;=LookaheadEnd),Tasks[[#This Row],[_ShownFcstFinish]]+Tasks[[#This Row],[_Row]]/100000,"")</f>
        <v/>
      </c>
      <c r="GO62" s="43" t="str">
        <f aca="false">IF(Tasks[[#This Row],[_LeafCritical]],Tasks[[#This Row],[_ShownFcstStart]]+Tasks[[#This Row],[_Row]]/100000,"")</f>
        <v/>
      </c>
      <c r="GP62" s="43" t="n">
        <f aca="false">Tasks[[#This Row],[_LeafWork]]*Tasks[[#This Row],[_LeafProgress]]</f>
        <v>0</v>
      </c>
      <c r="GQ62" s="91" t="str">
        <f aca="false">IF(AND(Tasks[[#This Row],[_IsLeaf]]=1,Tasks[[#This Row],[_LeafProgress]]&gt;=1),IF(N(Tasks[[#This Row],[Actual Finish]])&gt;0,Tasks[[#This Row],[Actual Finish]],Tasks[[#This Row],[_ShownFcstFinish]]),"")</f>
        <v/>
      </c>
      <c r="GR62" s="43" t="n">
        <f aca="false">IF(Tasks[[#This Row],[_IsLeaf]]=1,N(Tasks[[#This Row],[Story Points]]),0)</f>
        <v>0</v>
      </c>
      <c r="GS62" s="43" t="str">
        <f aca="false">""</f>
        <v/>
      </c>
      <c r="GT62" s="90" t="b">
        <f aca="false">IF(Tasks[[#This Row],[Task Name]]="",FALSE(),AND(Tasks[[#This Row],[_IsLeaf]]=1,N(Tasks[[#This Row],[_Days]])=0))</f>
        <v>0</v>
      </c>
      <c r="GU62" s="91" t="n">
        <f aca="false">IF(Tasks[[#This Row],[Task Name]]="",0,IF(AND(Tasks[[#This Row],[_IsLeaf]]=1,NOT(Tasks[[#This Row],[_IsMilestone]]),N(Tasks[[#This Row],[Progress]])&gt;0),Tasks[[#This Row],[Start]],0))</f>
        <v>0</v>
      </c>
      <c r="GV62" s="91" t="n">
        <f aca="false">IF(Tasks[[#This Row],[_DoneFrom]]=0,0,IF(Tasks[[#This Row],[Progress]]&gt;=1,Tasks[[#This Row],[Finish]],MAX(Tasks[[#This Row],[_DoneFrom]],Tasks[[#This Row],[Start]]+ROUND((Tasks[[#This Row],[Finish]]-Tasks[[#This Row],[Start]]+1)*Tasks[[#This Row],[Progress]],0)-1)))</f>
        <v>0</v>
      </c>
      <c r="GW62" s="91" t="n">
        <f aca="false">IF(Tasks[[#This Row],[Task Name]]="",0,IF(OR(NOT(Tasks[[#This Row],[_IsLeaf]]=1),Tasks[[#This Row],[_IsMilestone]],N(Tasks[[#This Row],[Progress]])&gt;=1),0,IF(Tasks[[#This Row],[_DoneTo]]&gt;0,Tasks[[#This Row],[_DoneTo]]+1,Tasks[[#This Row],[Start]])))</f>
        <v>0</v>
      </c>
      <c r="GX62" s="91" t="n">
        <f aca="false">IF(Tasks[[#This Row],[_RemFrom]]=0,0,Tasks[[#This Row],[Finish]])</f>
        <v>0</v>
      </c>
      <c r="GY62" s="90" t="b">
        <f aca="false">IF(Tasks[[#This Row],[Task Name]]="",FALSE(),OR(NOT(BaselineSet),N(Tasks[[#This Row],[Baseline Start]])&gt;0))</f>
        <v>0</v>
      </c>
      <c r="GZ6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2" s="92" t="str">
        <f aca="false">IF(Tasks[[#This Row],[_IsLeaf]]=1,Tasks[[#This Row],[_Row]],"")</f>
        <v/>
      </c>
      <c r="HD62" s="92" t="str">
        <f aca="false">IFERROR(INDEX(Tasks[UID],SMALL(Tasks[_PickKey],Tasks[[#This Row],[_Row]]))&amp;" "&amp;INDEX(Tasks[Task Name],SMALL(Tasks[_PickKey],Tasks[[#This Row],[_Row]])),"")</f>
        <v/>
      </c>
      <c r="HE62" s="43" t="str">
        <f aca="false">IF(Tasks[[#This Row],[Task Name]]="","",IF(Tasks[[#This Row],[_IsSummary]],NETWORKDAYS.INTL(Tasks[[#This Row],[Start]],Tasks[[#This Row],[Finish]],WorkWeek,Holidays),N(Tasks[[#This Row],[_Days]])))</f>
        <v/>
      </c>
      <c r="HF62" s="43" t="n">
        <f aca="false">IF(Tasks[[#This Row],[Expected]]="",0,((Tasks[[#This Row],[Pessimistic]]-Tasks[[#This Row],[Optimistic]])/6)^2)</f>
        <v>0</v>
      </c>
      <c r="HG62" s="43" t="n">
        <f aca="false">IF(Tasks[[#This Row],[Expected]]="",0,Tasks[[#This Row],[Expected]]-N(Tasks[[#This Row],[_Days]]))</f>
        <v>0</v>
      </c>
    </row>
    <row r="63" customFormat="false" ht="15" hidden="false" customHeight="false" outlineLevel="0" collapsed="false">
      <c r="A63" s="21" t="str">
        <f aca="false">IF(Tasks[[#This Row],[Task Name]]="","",COUNTA(Tasks[[#Headers],[Task Name]]:Tasks[[#This Row],[Task Name]])-1)</f>
        <v/>
      </c>
      <c r="B63" s="22" t="n">
        <v>71</v>
      </c>
      <c r="C63" s="22"/>
      <c r="D63" s="23"/>
      <c r="E63" s="22"/>
      <c r="F63" s="23"/>
      <c r="G63" s="22"/>
      <c r="H63" s="22"/>
      <c r="I63" s="23"/>
      <c r="J63" s="22"/>
      <c r="K63" s="22"/>
      <c r="L63" s="23"/>
      <c r="M63" s="22"/>
      <c r="N63" s="22"/>
      <c r="O63" s="23"/>
      <c r="P63" s="22"/>
      <c r="Q63" s="22"/>
      <c r="R63" s="23"/>
      <c r="S63" s="23"/>
      <c r="T63" s="84"/>
      <c r="U63" s="23"/>
      <c r="V63" s="84"/>
      <c r="W63" s="23"/>
      <c r="X63" s="84"/>
      <c r="Y63" s="23"/>
      <c r="Z63" s="84"/>
      <c r="AA63" s="23"/>
      <c r="AB63" s="23"/>
      <c r="AC63" s="7"/>
      <c r="AD63" s="7"/>
      <c r="AE63" s="63" t="str">
        <f aca="false">IF(Tasks[[#This Row],[Task Name]]="","",IF(Tasks[[#This Row],[_IsSummary]],MIN(INDEX(Tasks[_ShownFcstStart],Tasks[[#This Row],[_Row]]+1):INDEX(Tasks[_ShownFcstStart],Tasks[[#This Row],[_Row]]+Tasks[[#This Row],[_Descendants]])),Tasks[[#This Row],[_ShownFcstStart]]))</f>
        <v/>
      </c>
      <c r="AF63" s="63" t="str">
        <f aca="false">IF(Tasks[[#This Row],[Task Name]]="","",IF(Tasks[[#This Row],[_IsSummary]],MAX(INDEX(Tasks[_ShownFcstFinish],Tasks[[#This Row],[_Row]]+1):INDEX(Tasks[_ShownFcstFinish],Tasks[[#This Row],[_Row]]+Tasks[[#This Row],[_Descendants]])),Tasks[[#This Row],[_ShownFcstFinish]]))</f>
        <v/>
      </c>
      <c r="AG63" s="21" t="str">
        <f aca="false">""</f>
        <v/>
      </c>
      <c r="AH63" s="23"/>
      <c r="AI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3" s="7"/>
      <c r="AK63" s="22"/>
      <c r="AL63" s="23"/>
      <c r="AM63" s="7"/>
      <c r="AN63" s="47" t="str">
        <f aca="false">IF(Tasks[[#This Row],[Task Name]]="","",IF(Tasks[[#This Row],[Finish]]&gt;=Tasks[[#This Row],[Planned Finish]],NETWORKDAYS.INTL(Tasks[[#This Row],[Planned Finish]],Tasks[[#This Row],[Finish]],WorkWeek,Holidays)-1,1-NETWORKDAYS.INTL(Tasks[[#This Row],[Finish]],Tasks[[#This Row],[Planned Finish]],WorkWeek,Holidays)))</f>
        <v/>
      </c>
      <c r="AO63" s="21" t="str">
        <f aca="false">IF(Tasks[[#This Row],[Task Name]]="","",IF(Tasks[[#This Row],[Progress]]&gt;=1,"Complete",IF(OR(N(Tasks[[#This Row],[Actual Start]])&gt;0,Tasks[[#This Row],[Progress]]&gt;0),IF(Tasks[[#This Row],[Finish Var]]&gt;0,"Behind","In Progress"),IF(Tasks[[#This Row],[Planned Start]]&lt;StatusDate,"Late Start","Not Started"))))</f>
        <v/>
      </c>
      <c r="AP63" s="21" t="str">
        <f aca="false">IF(Tasks[[#This Row],[Task Name]]="","",IF(IF(Tasks[[#This Row],[_IsSummary]],COUNTIF(INDEX(Tasks[_LeafCritical],Tasks[[#This Row],[_Row]]+1):INDEX(Tasks[_LeafCritical],Tasks[[#This Row],[_Row]]+Tasks[[#This Row],[_Descendants]]),TRUE())&gt;0,Tasks[[#This Row],[_LeafCritical]]),"Yes",""))</f>
        <v/>
      </c>
      <c r="AQ63" s="63" t="str">
        <f aca="false">IF(Tasks[[#This Row],[Task Name]]="","",IF(N(Tasks[[#This Row],[Baseline Start]])&gt;0,Tasks[[#This Row],[Baseline Start]],Tasks[[#This Row],[_CalcStart]]))</f>
        <v/>
      </c>
      <c r="AR63" s="63" t="str">
        <f aca="false">IF(Tasks[[#This Row],[Task Name]]="","",IF(N(Tasks[[#This Row],[Baseline Finish]])&gt;0,Tasks[[#This Row],[Baseline Finish]],Tasks[[#This Row],[_CalcFinish]]))</f>
        <v/>
      </c>
      <c r="AS63" s="47" t="str">
        <f aca="false">IF(Tasks[[#This Row],[Task Name]]="","",IF(Tasks[[#This Row],[Start]]&gt;=Tasks[[#This Row],[Planned Start]],NETWORKDAYS.INTL(Tasks[[#This Row],[Planned Start]],Tasks[[#This Row],[Start]],WorkWeek,Holidays)-1,1-NETWORKDAYS.INTL(Tasks[[#This Row],[Start]],Tasks[[#This Row],[Planned Start]],WorkWeek,Holidays)))</f>
        <v/>
      </c>
      <c r="AT63" s="63" t="str">
        <f aca="false">IF(Tasks[[#This Row],[Task Name]]="","",IF(Tasks[[#This Row],[_IsSummary]],MIN(INDEX(Tasks[_LeafLateStart],Tasks[[#This Row],[_Row]]+1):INDEX(Tasks[_LeafLateStart],Tasks[[#This Row],[_Row]]+Tasks[[#This Row],[_Descendants]])),Tasks[[#This Row],[_LeafLateStart]]))</f>
        <v/>
      </c>
      <c r="AU63" s="63" t="str">
        <f aca="false">IF(Tasks[[#This Row],[Task Name]]="","",IF(Tasks[[#This Row],[_IsSummary]],MAX(INDEX(Tasks[_LeafLateFinish],Tasks[[#This Row],[_Row]]+1):INDEX(Tasks[_LeafLateFinish],Tasks[[#This Row],[_Row]]+Tasks[[#This Row],[_Descendants]])),Tasks[[#This Row],[_LeafLateFinish]]))</f>
        <v/>
      </c>
      <c r="AV63" s="47" t="str">
        <f aca="false">IF(Tasks[[#This Row],[Task Name]]="","",IF(Tasks[[#This Row],[_IsSummary]],MIN(INDEX(Tasks[_LeafTotalSlack],Tasks[[#This Row],[_Row]]+1):INDEX(Tasks[_LeafTotalSlack],Tasks[[#This Row],[_Row]]+Tasks[[#This Row],[_Descendants]])),Tasks[[#This Row],[_LeafTotalSlack]]))</f>
        <v/>
      </c>
      <c r="AW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5"/>
      <c r="BA6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1" t="str">
        <f aca="false">IF(Tasks[[#This Row],[Task Name]]="","",IF(Tasks[[#This Row],[_Level]]&lt;=OutlineShowLevel,"Yes","No"))</f>
        <v/>
      </c>
      <c r="BE63" s="86" t="str">
        <f aca="false">IF(Tasks[[#This Row],[Task Name]]="","",IF(Tasks[[#This Row],[_IsSummary]],SUM(INDEX(Tasks[_LeafTotalWork],Tasks[[#This Row],[_Row]]+1):INDEX(Tasks[_LeafTotalWork],Tasks[[#This Row],[_Row]]+Tasks[[#This Row],[_Descendants]])),Tasks[[#This Row],[_LeafTotalWork]]))</f>
        <v/>
      </c>
      <c r="BF63" s="23"/>
      <c r="BG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3" s="21" t="str">
        <f aca="false">""</f>
        <v/>
      </c>
      <c r="BI63" s="87"/>
      <c r="BJ63" s="22"/>
      <c r="BK63" s="47" t="str">
        <f aca="false">IF(OR(Tasks[[#This Row],[Task Name]]="",Tasks[[#This Row],[Baseline Duration]]=""),"",Tasks[[#This Row],[_SpanDays]]-N(Tasks[[#This Row],[Baseline Duration]]))</f>
        <v/>
      </c>
      <c r="BL63" s="86" t="str">
        <f aca="false">IF(OR(Tasks[[#This Row],[Task Name]]="",Tasks[[#This Row],[Baseline Work]]=""),"",Tasks[[#This Row],[Work]]-N(Tasks[[#This Row],[Baseline Work]]))</f>
        <v/>
      </c>
      <c r="BM63" s="63" t="str">
        <f aca="false">IF(Tasks[[#This Row],[Task Name]]="","",IF(OR(TakeBaseline="Yes",N(Tasks[[#This Row],[Baseline Start]])=0),Tasks[[#This Row],[Start]],Tasks[[#This Row],[Baseline Start]]))</f>
        <v/>
      </c>
      <c r="BN63" s="63" t="str">
        <f aca="false">IF(Tasks[[#This Row],[Task Name]]="","",IF(OR(TakeBaseline="Yes",N(Tasks[[#This Row],[Baseline Finish]])=0),Tasks[[#This Row],[Finish]],Tasks[[#This Row],[Baseline Finish]]))</f>
        <v/>
      </c>
      <c r="BO63" s="21" t="str">
        <f aca="false">IF(Tasks[[#This Row],[Task Name]]="","",IF(OR(TakeBaseline="Yes",N(Tasks[[#This Row],[Baseline Duration]])=0),Tasks[[#This Row],[_SpanDays]],Tasks[[#This Row],[Baseline Duration]]))</f>
        <v/>
      </c>
      <c r="BP63" s="86" t="str">
        <f aca="false">IF(Tasks[[#This Row],[Task Name]]="","",IF(OR(TakeBaseline="Yes",N(Tasks[[#This Row],[Baseline Work]])=0),Tasks[[#This Row],[Work]],Tasks[[#This Row],[Baseline Work]]))</f>
        <v/>
      </c>
      <c r="BQ63" s="7"/>
      <c r="BR63" s="7"/>
      <c r="BS63" s="22"/>
      <c r="BT63" s="88"/>
      <c r="BU63" s="23"/>
      <c r="BV63" s="23"/>
      <c r="BW63" s="23"/>
      <c r="BX63" s="89" t="str">
        <f aca="false">IF(AND(Tasks[[#This Row],[_IsLeaf]]=1,ISNUMBER(Tasks[[#This Row],[Optimistic]]),ISNUMBER(Tasks[[#This Row],[Pessimistic]])),ROUND((Tasks[[#This Row],[Optimistic]]+4*N(Tasks[[#This Row],[_Days]])+Tasks[[#This Row],[Pessimistic]])/6,1),"")</f>
        <v/>
      </c>
      <c r="BY63" s="87"/>
      <c r="BZ63" s="87"/>
      <c r="CA63" s="22"/>
      <c r="CB63" s="43" t="str">
        <f aca="false">IF(Tasks[[#This Row],[Task Name]]="","",MAX(1,N(Tasks[[#This Row],[Level]])))</f>
        <v/>
      </c>
      <c r="CC63" s="43" t="n">
        <f aca="false">ROW()-ROW(Tasks[[#Headers],[ID]])</f>
        <v>58</v>
      </c>
      <c r="CD63" s="43" t="n">
        <f aca="false">IF(OR(Tasks[[#This Row],[Task Name]]="",Tasks[[#This Row],[_Level]]&lt;=1),0,IFERROR(LOOKUP(2,1/(Tasks[[#Headers],[_Level]]:Tasks[[#This Row],[_Level]]=Tasks[[#This Row],[_Level]]-1),ROW(Tasks[[#Headers],[_Level]]:Tasks[[#This Row],[_Level]])),0))</f>
        <v>0</v>
      </c>
      <c r="CE63" s="43" t="n">
        <f aca="false">IFERROR(N(INDEX(Tasks[_Level],Tasks[[#This Row],[_Row]]+1)),0)</f>
        <v>0</v>
      </c>
      <c r="CF63" s="90" t="b">
        <f aca="false">AND(Tasks[[#This Row],[Task Name]]&lt;&gt;"",Tasks[[#This Row],[_NextLevel]]&gt;Tasks[[#This Row],[_Level]])</f>
        <v>0</v>
      </c>
      <c r="CG63" s="43" t="n">
        <f aca="false">IF(Tasks[[#This Row],[_IsSummary]],COUNTIF(Tasks[WBS],Tasks[[#This Row],[WBS]]&amp;".*"),0)</f>
        <v>0</v>
      </c>
      <c r="CH63" s="43" t="n">
        <f aca="false">IF(AND(Tasks[[#This Row],[Task Name]]&lt;&gt;"",NOT(Tasks[[#This Row],[_IsSummary]])),1,0)</f>
        <v>0</v>
      </c>
      <c r="CI63" s="43" t="n">
        <f aca="false">IF(N(Tasks[[#This Row],[_Pred1UID]])=0,0,IFERROR(MATCH(Tasks[[#This Row],[_Pred1UID]],Tasks[UID],0),-1))</f>
        <v>0</v>
      </c>
      <c r="CJ63" s="43" t="n">
        <f aca="false">IF(N(Tasks[[#This Row],[_Pred2UID]])=0,0,IFERROR(MATCH(Tasks[[#This Row],[_Pred2UID]],Tasks[UID],0),-1))</f>
        <v>0</v>
      </c>
      <c r="CK63" s="43" t="n">
        <f aca="false">IF(N(Tasks[[#This Row],[_Pred3UID]])=0,0,IFERROR(MATCH(Tasks[[#This Row],[_Pred3UID]],Tasks[UID],0),-1))</f>
        <v>0</v>
      </c>
      <c r="CL63" s="43" t="n">
        <f aca="false">IF(N(Tasks[[#This Row],[_Pred4UID]])=0,0,IFERROR(MATCH(Tasks[[#This Row],[_Pred4UID]],Tasks[UID],0),-1))</f>
        <v>0</v>
      </c>
      <c r="CM6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3" s="91" t="n">
        <f aca="false">IF(OR(Tasks[[#This Row],[_ConstraintCode]]=2,Tasks[[#This Row],[_ConstraintCode]]=3,Tasks[[#This Row],[_ConstraintCode]]=4,Tasks[[#This Row],[_ConstraintCode]]=6),Tasks[[#This Row],[_ConstraintStart]],0)</f>
        <v>0</v>
      </c>
      <c r="CP63" s="91" t="n">
        <f aca="false">IF(OR(Tasks[[#This Row],[_ConstraintCode]]=2,Tasks[[#This Row],[_ConstraintCode]]=3,Tasks[[#This Row],[_ConstraintCode]]=5,Tasks[[#This Row],[_ConstraintCode]]=7),Tasks[[#This Row],[_ConstraintStart]],2958465)</f>
        <v>2958465</v>
      </c>
      <c r="CQ6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3" s="91" t="str">
        <f aca="false">IF(NOT(Tasks[[#This Row],[_IsLeaf]]=1),"",IF(N(Tasks[[#This Row],[_Days]])&lt;=0,Tasks[[#This Row],[_LeafCalcStart]],WORKDAY.INTL(Tasks[[#This Row],[_LeafCalcStart]],Tasks[[#This Row],[_Days]]-1,WorkWeek,Holidays)))</f>
        <v/>
      </c>
      <c r="CS6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3" s="43" t="str">
        <f aca="false">IF(Tasks[[#This Row],[_Predecessors]]="","",TRIM(MID(SUBSTITUTE(SUBSTITUTE(SUBSTITUTE(UPPER(Tasks[[#This Row],[_Predecessors]]),";",",")," ",""),",",REPT(" ",99)),1,99)))</f>
        <v/>
      </c>
      <c r="CV63" s="43" t="str">
        <f aca="false">IF(Tasks[[#This Row],[_Pred1Text]]="","",IFERROR(VALUE(LEFT(Tasks[[#This Row],[_Pred1Text]],MIN(FIND("F",Tasks[[#This Row],[_Pred1Text]]&amp;"F"),FIND("S",Tasks[[#This Row],[_Pred1Text]]&amp;"S"),FIND("+",Tasks[[#This Row],[_Pred1Text]]&amp;"+"),FIND("-",Tasks[[#This Row],[_Pred1Text]]&amp;"-"))-1)),""))</f>
        <v/>
      </c>
      <c r="CW6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3" s="43" t="str">
        <f aca="false">IF(Tasks[[#This Row],[_Pred1Text]]="","",TRIM(MID(SUBSTITUTE(SUBSTITUTE(SUBSTITUTE(UPPER(Tasks[[#This Row],[_Predecessors]]),";",",")," ",""),",",REPT(" ",99)),100,99)))</f>
        <v/>
      </c>
      <c r="CZ63" s="43" t="str">
        <f aca="false">IF(Tasks[[#This Row],[_Pred2Text]]="","",IFERROR(VALUE(LEFT(Tasks[[#This Row],[_Pred2Text]],MIN(FIND("F",Tasks[[#This Row],[_Pred2Text]]&amp;"F"),FIND("S",Tasks[[#This Row],[_Pred2Text]]&amp;"S"),FIND("+",Tasks[[#This Row],[_Pred2Text]]&amp;"+"),FIND("-",Tasks[[#This Row],[_Pred2Text]]&amp;"-"))-1)),""))</f>
        <v/>
      </c>
      <c r="DA6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3" s="43" t="str">
        <f aca="false">IF(Tasks[[#This Row],[_Pred2Text]]="","",TRIM(MID(SUBSTITUTE(SUBSTITUTE(SUBSTITUTE(UPPER(Tasks[[#This Row],[_Predecessors]]),";",",")," ",""),",",REPT(" ",99)),199,99)))</f>
        <v/>
      </c>
      <c r="DD63" s="43" t="str">
        <f aca="false">IF(Tasks[[#This Row],[_Pred3Text]]="","",IFERROR(VALUE(LEFT(Tasks[[#This Row],[_Pred3Text]],MIN(FIND("F",Tasks[[#This Row],[_Pred3Text]]&amp;"F"),FIND("S",Tasks[[#This Row],[_Pred3Text]]&amp;"S"),FIND("+",Tasks[[#This Row],[_Pred3Text]]&amp;"+"),FIND("-",Tasks[[#This Row],[_Pred3Text]]&amp;"-"))-1)),""))</f>
        <v/>
      </c>
      <c r="DE6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3" s="43" t="str">
        <f aca="false">IF(Tasks[[#This Row],[_Pred3Text]]="","",TRIM(MID(SUBSTITUTE(SUBSTITUTE(SUBSTITUTE(UPPER(Tasks[[#This Row],[_Predecessors]]),";",",")," ",""),",",REPT(" ",99)),298,99)))</f>
        <v/>
      </c>
      <c r="DH63" s="43" t="str">
        <f aca="false">IF(Tasks[[#This Row],[_Pred4Text]]="","",IFERROR(VALUE(LEFT(Tasks[[#This Row],[_Pred4Text]],MIN(FIND("F",Tasks[[#This Row],[_Pred4Text]]&amp;"F"),FIND("S",Tasks[[#This Row],[_Pred4Text]]&amp;"S"),FIND("+",Tasks[[#This Row],[_Pred4Text]]&amp;"+"),FIND("-",Tasks[[#This Row],[_Pred4Text]]&amp;"-"))-1)),""))</f>
        <v/>
      </c>
      <c r="DI6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3" s="43" t="str">
        <f aca="false">IF(OR(Tasks[[#This Row],[Task Name]]="",Tasks[[#This Row],[_Resources]]=""),"",TRIM(MID(SUBSTITUTE(Tasks[[#This Row],[_Resources]],",",REPT(" ",99)),1,99)))</f>
        <v/>
      </c>
      <c r="DL63" s="43" t="str">
        <f aca="false">IF(Tasks[[#This Row],[_Res1Text]]="","",TRIM(MID(SUBSTITUTE(Tasks[[#This Row],[_Resources]],",",REPT(" ",99)),100,99)))</f>
        <v/>
      </c>
      <c r="DM63" s="43" t="str">
        <f aca="false">IF(Tasks[[#This Row],[_Res2Text]]="","",TRIM(MID(SUBSTITUTE(Tasks[[#This Row],[_Resources]],",",REPT(" ",99)),199,99)))</f>
        <v/>
      </c>
      <c r="DN63" s="43" t="str">
        <f aca="false">IF(Tasks[[#This Row],[_Res3Text]]="","",TRIM(MID(SUBSTITUTE(Tasks[[#This Row],[_Resources]],",",REPT(" ",99)),298,99)))</f>
        <v/>
      </c>
      <c r="DO63" s="43" t="n">
        <f aca="false">IF(Tasks[[#This Row],[_Res1Text]]="",0,IFERROR(MATCH(TRIM(LEFT(Tasks[[#This Row],[_Res1Text]],FIND("[",Tasks[[#This Row],[_Res1Text]]&amp;"[")-1)),res_Name,0),IFERROR(MATCH(TRIM(LEFT(Tasks[[#This Row],[_Res1Text]],FIND("[",Tasks[[#This Row],[_Res1Text]]&amp;"[")-1)),res_Initials,0),0)))</f>
        <v>0</v>
      </c>
      <c r="DP63" s="43" t="n">
        <f aca="false">IF(Tasks[[#This Row],[_Res2Text]]="",0,IFERROR(MATCH(TRIM(LEFT(Tasks[[#This Row],[_Res2Text]],FIND("[",Tasks[[#This Row],[_Res2Text]]&amp;"[")-1)),res_Name,0),IFERROR(MATCH(TRIM(LEFT(Tasks[[#This Row],[_Res2Text]],FIND("[",Tasks[[#This Row],[_Res2Text]]&amp;"[")-1)),res_Initials,0),0)))</f>
        <v>0</v>
      </c>
      <c r="DQ63" s="43" t="n">
        <f aca="false">IF(Tasks[[#This Row],[_Res3Text]]="",0,IFERROR(MATCH(TRIM(LEFT(Tasks[[#This Row],[_Res3Text]],FIND("[",Tasks[[#This Row],[_Res3Text]]&amp;"[")-1)),res_Name,0),IFERROR(MATCH(TRIM(LEFT(Tasks[[#This Row],[_Res3Text]],FIND("[",Tasks[[#This Row],[_Res3Text]]&amp;"[")-1)),res_Initials,0),0)))</f>
        <v>0</v>
      </c>
      <c r="DR63" s="43" t="n">
        <f aca="false">IF(Tasks[[#This Row],[_Res4Text]]="",0,IFERROR(MATCH(TRIM(LEFT(Tasks[[#This Row],[_Res4Text]],FIND("[",Tasks[[#This Row],[_Res4Text]]&amp;"[")-1)),res_Name,0),IFERROR(MATCH(TRIM(LEFT(Tasks[[#This Row],[_Res4Text]],FIND("[",Tasks[[#This Row],[_Res4Text]]&amp;"[")-1)),res_Initials,0),0)))</f>
        <v>0</v>
      </c>
      <c r="DS63" s="43" t="str">
        <f aca="false">IF(Tasks[[#This Row],[_Res1Text]]="","",IF(Tasks[[#This Row],[_Res1Row]]&gt;0,INDEX(res_Name,Tasks[[#This Row],[_Res1Row]]),TRIM(LEFT(Tasks[[#This Row],[_Res1Text]],FIND("[",Tasks[[#This Row],[_Res1Text]]&amp;"[")-1))))</f>
        <v/>
      </c>
      <c r="DT6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3" s="43" t="n">
        <f aca="false">IF(NOT(Tasks[[#This Row],[_IsLeaf]]=1),0,(Tasks[[#This Row],[_Resource1]]&lt;&gt;"")+(Tasks[[#This Row],[_Res2]]&lt;&gt;"")+(Tasks[[#This Row],[_Res3]]&lt;&gt;"")+(Tasks[[#This Row],[_Res4]]&lt;&gt;""))</f>
        <v>0</v>
      </c>
      <c r="DV63" s="43" t="str">
        <f aca="false">IF(Tasks[[#This Row],[_Res2Text]]="","",IF(Tasks[[#This Row],[_Res2Row]]&gt;0,INDEX(res_Name,Tasks[[#This Row],[_Res2Row]]),TRIM(LEFT(Tasks[[#This Row],[_Res2Text]],FIND("[",Tasks[[#This Row],[_Res2Text]]&amp;"[")-1))))</f>
        <v/>
      </c>
      <c r="DW6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3" s="43" t="n">
        <f aca="false">IF(OR(NOT(Tasks[[#This Row],[_IsLeaf]]=1),Tasks[[#This Row],[_Res2Row]]=0),0,N(Tasks[[#This Row],[_Days]])*HoursPerDay*IF(Tasks[[#This Row],[_Res2Units]]="",DefaultUnits,Tasks[[#This Row],[_Res2Units]]))</f>
        <v>0</v>
      </c>
      <c r="DY63" s="43" t="n">
        <f aca="false">IF(AND(AND(Tasks[[#This Row],[_IsLeaf]]=1,Tasks[[#This Row],[_LeafTotalWork]]&gt;0),Tasks[[#This Row],[_Res2Work]]&gt;0),Tasks[[#This Row],[_Res2Work]]/(Tasks[[#This Row],[_FinishWorkday]]-Tasks[[#This Row],[_StartWorkday]]+1),0)</f>
        <v>0</v>
      </c>
      <c r="DZ63" s="43" t="n">
        <f aca="false">Tasks[[#This Row],[_Res2WorkPerWD]]*MAX(0,Tasks[[#This Row],[_StartWorkday]]-1)</f>
        <v>0</v>
      </c>
      <c r="EA63" s="43" t="n">
        <f aca="false">Tasks[[#This Row],[_Res2Work]]*Tasks[[#This Row],[_LeafProgress]]</f>
        <v>0</v>
      </c>
      <c r="EB63" s="43" t="str">
        <f aca="false">IF(Tasks[[#This Row],[_Res3Text]]="","",IF(Tasks[[#This Row],[_Res3Row]]&gt;0,INDEX(res_Name,Tasks[[#This Row],[_Res3Row]]),TRIM(LEFT(Tasks[[#This Row],[_Res3Text]],FIND("[",Tasks[[#This Row],[_Res3Text]]&amp;"[")-1))))</f>
        <v/>
      </c>
      <c r="EC6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3" s="43" t="n">
        <f aca="false">IF(OR(NOT(Tasks[[#This Row],[_IsLeaf]]=1),Tasks[[#This Row],[_Res3Row]]=0),0,N(Tasks[[#This Row],[_Days]])*HoursPerDay*IF(Tasks[[#This Row],[_Res3Units]]="",DefaultUnits,Tasks[[#This Row],[_Res3Units]]))</f>
        <v>0</v>
      </c>
      <c r="EE63" s="43" t="n">
        <f aca="false">IF(AND(AND(Tasks[[#This Row],[_IsLeaf]]=1,Tasks[[#This Row],[_LeafTotalWork]]&gt;0),Tasks[[#This Row],[_Res3Work]]&gt;0),Tasks[[#This Row],[_Res3Work]]/(Tasks[[#This Row],[_FinishWorkday]]-Tasks[[#This Row],[_StartWorkday]]+1),0)</f>
        <v>0</v>
      </c>
      <c r="EF63" s="43" t="n">
        <f aca="false">Tasks[[#This Row],[_Res3WorkPerWD]]*MAX(0,Tasks[[#This Row],[_StartWorkday]]-1)</f>
        <v>0</v>
      </c>
      <c r="EG63" s="43" t="n">
        <f aca="false">Tasks[[#This Row],[_Res3Work]]*Tasks[[#This Row],[_LeafProgress]]</f>
        <v>0</v>
      </c>
      <c r="EH63" s="43" t="str">
        <f aca="false">IF(Tasks[[#This Row],[_Res4Text]]="","",IF(Tasks[[#This Row],[_Res4Row]]&gt;0,INDEX(res_Name,Tasks[[#This Row],[_Res4Row]]),TRIM(LEFT(Tasks[[#This Row],[_Res4Text]],FIND("[",Tasks[[#This Row],[_Res4Text]]&amp;"[")-1))))</f>
        <v/>
      </c>
      <c r="EI6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3" s="43" t="n">
        <f aca="false">IF(OR(NOT(Tasks[[#This Row],[_IsLeaf]]=1),Tasks[[#This Row],[_Res4Row]]=0),0,N(Tasks[[#This Row],[_Days]])*HoursPerDay*IF(Tasks[[#This Row],[_Res4Units]]="",DefaultUnits,Tasks[[#This Row],[_Res4Units]]))</f>
        <v>0</v>
      </c>
      <c r="EK63" s="43" t="n">
        <f aca="false">IF(AND(AND(Tasks[[#This Row],[_IsLeaf]]=1,Tasks[[#This Row],[_LeafTotalWork]]&gt;0),Tasks[[#This Row],[_Res4Work]]&gt;0),Tasks[[#This Row],[_Res4Work]]/(Tasks[[#This Row],[_FinishWorkday]]-Tasks[[#This Row],[_StartWorkday]]+1),0)</f>
        <v>0</v>
      </c>
      <c r="EL63" s="43" t="n">
        <f aca="false">Tasks[[#This Row],[_Res4WorkPerWD]]*MAX(0,Tasks[[#This Row],[_StartWorkday]]-1)</f>
        <v>0</v>
      </c>
      <c r="EM63" s="43" t="n">
        <f aca="false">Tasks[[#This Row],[_Res4Work]]*Tasks[[#This Row],[_LeafProgress]]</f>
        <v>0</v>
      </c>
      <c r="EN63" s="43" t="n">
        <f aca="false">IF(ISNUMBER(Tasks[[#This Row],[% Complete]]),Tasks[[#This Row],[% Complete]],IF(Tasks[[#This Row],[Stage]]="",0,IFERROR(INDEX(stg_Pct,MATCH(Tasks[[#This Row],[Stage]],stg_Name,0)),0)))</f>
        <v>0</v>
      </c>
      <c r="EO63" s="43" t="n">
        <f aca="false">IF(NOT(Tasks[[#This Row],[_IsLeaf]]=1),0,IF(N(Tasks[[#This Row],[Actual Finish]])&gt;0,1,MIN(1,Tasks[[#This Row],[_Pct]])))</f>
        <v>0</v>
      </c>
      <c r="EP63" s="43" t="n">
        <f aca="false">IF(OR(NOT(Tasks[[#This Row],[_IsLeaf]]=1),Tasks[[#This Row],[_Res1Row]]=0),0,N(Tasks[[#This Row],[_Days]])*HoursPerDay*IF(Tasks[[#This Row],[_Units1]]="",DefaultUnits,Tasks[[#This Row],[_Units1]]))</f>
        <v>0</v>
      </c>
      <c r="EQ63" s="43" t="n">
        <f aca="false">Tasks[[#This Row],[_LeafWork]]+Tasks[[#This Row],[_Res2Work]]+Tasks[[#This Row],[_Res3Work]]+Tasks[[#This Row],[_Res4Work]]</f>
        <v>0</v>
      </c>
      <c r="ER6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3" s="43" t="n">
        <f aca="false">IF(NOT(Tasks[[#This Row],[_IsLeaf]]=1),0,MAX(_xlfn.MAXIFS(Tasks[_Row],Tasks[_Pred1UID],Tasks[[#This Row],[UID]]),_xlfn.MAXIFS(Tasks[_Row],Tasks[_Pred2UID],Tasks[[#This Row],[UID]]),_xlfn.MAXIFS(Tasks[_Row],Tasks[_Pred3UID],Tasks[[#This Row],[UID]]),_xlfn.MAXIFS(Tasks[_Row],Tasks[_Pred4UID],Tasks[[#This Row],[UID]])))</f>
        <v>0</v>
      </c>
      <c r="FA6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3" s="91" t="str">
        <f aca="false">IF(NOT(Tasks[[#This Row],[_IsLeaf]]=1),"",IF(N(Tasks[[#This Row],[_Days]])&lt;=0,Tasks[[#This Row],[_LeafLateFinish]],WORKDAY.INTL(Tasks[[#This Row],[_LeafLateFinish]],-(Tasks[[#This Row],[_Days]]-1),WorkWeek,Holidays)))</f>
        <v/>
      </c>
      <c r="FD6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3" s="90" t="b">
        <f aca="false">AND(Tasks[[#This Row],[_IsLeaf]]=1,Tasks[[#This Row],[_LeafProgress]]&lt;1,N(Tasks[[#This Row],[_LeafTotalSlack]])&lt;=CriticalSlackDays)</f>
        <v>0</v>
      </c>
      <c r="FF63" s="43" t="n">
        <f aca="false">IF(AND(Tasks[[#This Row],[_IsLeaf]]=1,Tasks[[#This Row],[_ConstraintCode]]=1,Tasks[[#This Row],[Mode]]&lt;&gt;"Manual",N(Tasks[[#This Row],[Actual Start]])=0),MAX(0,N(Tasks[[#This Row],[Free Slack]])),0)</f>
        <v>0</v>
      </c>
      <c r="FG63" s="91" t="str">
        <f aca="false">IF(NOT(Tasks[[#This Row],[_IsLeaf]]=1),"",IF(Tasks[[#This Row],[_AlapShift]]=0,Tasks[[#This Row],[_LeafCalcStart]],WORKDAY.INTL(Tasks[[#This Row],[_LeafCalcStart]],Tasks[[#This Row],[_AlapShift]],WorkWeek,Holidays)))</f>
        <v/>
      </c>
      <c r="FH63" s="91" t="str">
        <f aca="false">IF(NOT(Tasks[[#This Row],[_IsLeaf]]=1),"",IF(Tasks[[#This Row],[_AlapShift]]=0,Tasks[[#This Row],[_LeafCalcFinish]],WORKDAY.INTL(Tasks[[#This Row],[_LeafCalcFinish]],Tasks[[#This Row],[_AlapShift]],WorkWeek,Holidays)))</f>
        <v/>
      </c>
      <c r="FI63" s="91" t="str">
        <f aca="false">IF(NOT(Tasks[[#This Row],[_IsLeaf]]=1),"",IF(Tasks[[#This Row],[_AlapShift]]=0,Tasks[[#This Row],[_LeafFcstStart]],WORKDAY.INTL(Tasks[[#This Row],[_LeafFcstStart]],Tasks[[#This Row],[_AlapShift]],WorkWeek,Holidays)))</f>
        <v/>
      </c>
      <c r="FJ63" s="91" t="str">
        <f aca="false">IF(NOT(Tasks[[#This Row],[_IsLeaf]]=1),"",IF(Tasks[[#This Row],[_AlapShift]]=0,Tasks[[#This Row],[_LeafFcstFinish]],WORKDAY.INTL(Tasks[[#This Row],[_LeafFcstFinish]],Tasks[[#This Row],[_AlapShift]],WorkWeek,Holidays)))</f>
        <v/>
      </c>
      <c r="FK63" s="91" t="str">
        <f aca="false">IF(Tasks[[#This Row],[Task Name]]="","",IF(Tasks[[#This Row],[_IsSummary]],MIN(INDEX(Tasks[_ShownCalcStart],Tasks[[#This Row],[_Row]]+1):INDEX(Tasks[_ShownCalcStart],Tasks[[#This Row],[_Row]]+Tasks[[#This Row],[_Descendants]])),Tasks[[#This Row],[_ShownCalcStart]]))</f>
        <v/>
      </c>
      <c r="FL63" s="91" t="str">
        <f aca="false">IF(Tasks[[#This Row],[Task Name]]="","",IF(Tasks[[#This Row],[_IsSummary]],MAX(INDEX(Tasks[_ShownCalcFinish],Tasks[[#This Row],[_Row]]+1):INDEX(Tasks[_ShownCalcFinish],Tasks[[#This Row],[_Row]]+Tasks[[#This Row],[_Descendants]])),Tasks[[#This Row],[_ShownCalcFinish]]))</f>
        <v/>
      </c>
      <c r="FM6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3" s="43" t="n">
        <f aca="false">IF(AND(Tasks[[#This Row],[_IsLeaf]]=1,Tasks[[#This Row],[_LeafTotalWork]]&gt;0),NETWORKDAYS.INTL(ProjectStart,Tasks[[#This Row],[_ShownFcstStart]],WorkWeek,Holidays),0)</f>
        <v>0</v>
      </c>
      <c r="FZ63" s="43" t="n">
        <f aca="false">IF(AND(Tasks[[#This Row],[_IsLeaf]]=1,Tasks[[#This Row],[_LeafTotalWork]]&gt;0),MAX(Tasks[[#This Row],[_StartWorkday]],NETWORKDAYS.INTL(ProjectStart,Tasks[[#This Row],[_ShownFcstFinish]],WorkWeek,Holidays)),0)</f>
        <v>0</v>
      </c>
      <c r="GA63" s="43" t="n">
        <f aca="false">IF(AND(Tasks[[#This Row],[_IsLeaf]]=1,Tasks[[#This Row],[_LeafTotalWork]]&gt;0),Tasks[[#This Row],[_LeafWork]]/(Tasks[[#This Row],[_FinishWorkday]]-Tasks[[#This Row],[_StartWorkday]]+1),0)</f>
        <v>0</v>
      </c>
      <c r="GB63" s="43" t="n">
        <f aca="false">Tasks[[#This Row],[_WorkPerWorkday]]*(Tasks[[#This Row],[_StartWorkday]]-1)</f>
        <v>-0</v>
      </c>
      <c r="GC63" s="43" t="n">
        <f aca="false">IF(Tasks[[#This Row],[_IsLeaf]]=1,MAX(N(Tasks[[#This Row],[_Days]]),0.1),0)</f>
        <v>0</v>
      </c>
      <c r="GD63" s="43" t="n">
        <f aca="false">Tasks[[#This Row],[_WeightDur]]*Tasks[[#This Row],[_LeafProgress]]</f>
        <v>0</v>
      </c>
      <c r="GE63" s="43" t="n">
        <f aca="false">Tasks[[#This Row],[_WeightDur]]*Tasks[[#This Row],[_PlannedPct]]</f>
        <v>0</v>
      </c>
      <c r="GF6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3" s="43" t="str">
        <f aca="false">IF(AND(Tasks[[#This Row],[_IsLeaf]]=1,N(Tasks[[#This Row],[_Days]])=0,Tasks[[#This Row],[_LeafProgress]]&lt;1),Tasks[[#This Row],[_ShownFcstFinish]]+Tasks[[#This Row],[_Row]]/100000,"")</f>
        <v/>
      </c>
      <c r="GH6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3" s="43" t="str">
        <f aca="false">IF(Tasks[[#This Row],[Task Name]]="","",LEFT(Tasks[[#This Row],[WBS]],FIND(".",Tasks[[#This Row],[WBS]]&amp;".")-1))</f>
        <v/>
      </c>
      <c r="GJ63" s="43" t="str">
        <f aca="false">IF(AND(Tasks[[#This Row],[Task Name]]&lt;&gt;"",Tasks[[#This Row],[_Level]]=1),Tasks[[#This Row],[_Row]],"")</f>
        <v/>
      </c>
      <c r="GK63" s="43" t="str">
        <f aca="false">IF(AND(Tasks[[#This Row],[_IsLeaf]]=1,N(Tasks[[#This Row],[_Days]])=0),Tasks[[#This Row],[Planned Finish]]+Tasks[[#This Row],[_Row]]/100000,"")</f>
        <v/>
      </c>
      <c r="GL63" s="43" t="str">
        <f aca="false">IF(AND(Tasks[[#This Row],[_IsLeaf]]=1,Tasks[[#This Row],[_LeafProgress]]&lt;1,OR(N(Tasks[[#This Row],[Finish Var]])&gt;0,Tasks[[#This Row],[Status]]="Late Start")),MAX(0,Tasks[[#This Row],[Finish Var]])+1-Tasks[[#This Row],[_Row]]/1000000,"")</f>
        <v/>
      </c>
      <c r="GM63" s="43" t="str">
        <f aca="false">IF(AND(Tasks[[#This Row],[_IsLeaf]]=1,N(Tasks[[#This Row],[Actual Start]])=0,Tasks[[#This Row],[_ShownFcstStart]]&gt;=StatusDate,Tasks[[#This Row],[_ShownFcstStart]]&lt;=LookaheadEnd),Tasks[[#This Row],[_ShownFcstStart]]+Tasks[[#This Row],[_Row]]/100000,"")</f>
        <v/>
      </c>
      <c r="GN63" s="43" t="str">
        <f aca="false">IF(AND(Tasks[[#This Row],[_IsLeaf]]=1,Tasks[[#This Row],[_LeafProgress]]&lt;1,Tasks[[#This Row],[_ShownFcstFinish]]&gt;=StatusDate,Tasks[[#This Row],[_ShownFcstFinish]]&lt;=LookaheadEnd),Tasks[[#This Row],[_ShownFcstFinish]]+Tasks[[#This Row],[_Row]]/100000,"")</f>
        <v/>
      </c>
      <c r="GO63" s="43" t="str">
        <f aca="false">IF(Tasks[[#This Row],[_LeafCritical]],Tasks[[#This Row],[_ShownFcstStart]]+Tasks[[#This Row],[_Row]]/100000,"")</f>
        <v/>
      </c>
      <c r="GP63" s="43" t="n">
        <f aca="false">Tasks[[#This Row],[_LeafWork]]*Tasks[[#This Row],[_LeafProgress]]</f>
        <v>0</v>
      </c>
      <c r="GQ63" s="91" t="str">
        <f aca="false">IF(AND(Tasks[[#This Row],[_IsLeaf]]=1,Tasks[[#This Row],[_LeafProgress]]&gt;=1),IF(N(Tasks[[#This Row],[Actual Finish]])&gt;0,Tasks[[#This Row],[Actual Finish]],Tasks[[#This Row],[_ShownFcstFinish]]),"")</f>
        <v/>
      </c>
      <c r="GR63" s="43" t="n">
        <f aca="false">IF(Tasks[[#This Row],[_IsLeaf]]=1,N(Tasks[[#This Row],[Story Points]]),0)</f>
        <v>0</v>
      </c>
      <c r="GS63" s="43" t="str">
        <f aca="false">""</f>
        <v/>
      </c>
      <c r="GT63" s="90" t="b">
        <f aca="false">IF(Tasks[[#This Row],[Task Name]]="",FALSE(),AND(Tasks[[#This Row],[_IsLeaf]]=1,N(Tasks[[#This Row],[_Days]])=0))</f>
        <v>0</v>
      </c>
      <c r="GU63" s="91" t="n">
        <f aca="false">IF(Tasks[[#This Row],[Task Name]]="",0,IF(AND(Tasks[[#This Row],[_IsLeaf]]=1,NOT(Tasks[[#This Row],[_IsMilestone]]),N(Tasks[[#This Row],[Progress]])&gt;0),Tasks[[#This Row],[Start]],0))</f>
        <v>0</v>
      </c>
      <c r="GV63" s="91" t="n">
        <f aca="false">IF(Tasks[[#This Row],[_DoneFrom]]=0,0,IF(Tasks[[#This Row],[Progress]]&gt;=1,Tasks[[#This Row],[Finish]],MAX(Tasks[[#This Row],[_DoneFrom]],Tasks[[#This Row],[Start]]+ROUND((Tasks[[#This Row],[Finish]]-Tasks[[#This Row],[Start]]+1)*Tasks[[#This Row],[Progress]],0)-1)))</f>
        <v>0</v>
      </c>
      <c r="GW63" s="91" t="n">
        <f aca="false">IF(Tasks[[#This Row],[Task Name]]="",0,IF(OR(NOT(Tasks[[#This Row],[_IsLeaf]]=1),Tasks[[#This Row],[_IsMilestone]],N(Tasks[[#This Row],[Progress]])&gt;=1),0,IF(Tasks[[#This Row],[_DoneTo]]&gt;0,Tasks[[#This Row],[_DoneTo]]+1,Tasks[[#This Row],[Start]])))</f>
        <v>0</v>
      </c>
      <c r="GX63" s="91" t="n">
        <f aca="false">IF(Tasks[[#This Row],[_RemFrom]]=0,0,Tasks[[#This Row],[Finish]])</f>
        <v>0</v>
      </c>
      <c r="GY63" s="90" t="b">
        <f aca="false">IF(Tasks[[#This Row],[Task Name]]="",FALSE(),OR(NOT(BaselineSet),N(Tasks[[#This Row],[Baseline Start]])&gt;0))</f>
        <v>0</v>
      </c>
      <c r="GZ6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3" s="92" t="str">
        <f aca="false">IF(Tasks[[#This Row],[_IsLeaf]]=1,Tasks[[#This Row],[_Row]],"")</f>
        <v/>
      </c>
      <c r="HD63" s="92" t="str">
        <f aca="false">IFERROR(INDEX(Tasks[UID],SMALL(Tasks[_PickKey],Tasks[[#This Row],[_Row]]))&amp;" "&amp;INDEX(Tasks[Task Name],SMALL(Tasks[_PickKey],Tasks[[#This Row],[_Row]])),"")</f>
        <v/>
      </c>
      <c r="HE63" s="43" t="str">
        <f aca="false">IF(Tasks[[#This Row],[Task Name]]="","",IF(Tasks[[#This Row],[_IsSummary]],NETWORKDAYS.INTL(Tasks[[#This Row],[Start]],Tasks[[#This Row],[Finish]],WorkWeek,Holidays),N(Tasks[[#This Row],[_Days]])))</f>
        <v/>
      </c>
      <c r="HF63" s="43" t="n">
        <f aca="false">IF(Tasks[[#This Row],[Expected]]="",0,((Tasks[[#This Row],[Pessimistic]]-Tasks[[#This Row],[Optimistic]])/6)^2)</f>
        <v>0</v>
      </c>
      <c r="HG63" s="43" t="n">
        <f aca="false">IF(Tasks[[#This Row],[Expected]]="",0,Tasks[[#This Row],[Expected]]-N(Tasks[[#This Row],[_Days]]))</f>
        <v>0</v>
      </c>
    </row>
    <row r="64" customFormat="false" ht="15" hidden="false" customHeight="false" outlineLevel="0" collapsed="false">
      <c r="A64" s="21" t="str">
        <f aca="false">IF(Tasks[[#This Row],[Task Name]]="","",COUNTA(Tasks[[#Headers],[Task Name]]:Tasks[[#This Row],[Task Name]])-1)</f>
        <v/>
      </c>
      <c r="B64" s="22" t="n">
        <v>72</v>
      </c>
      <c r="C64" s="22"/>
      <c r="D64" s="23"/>
      <c r="E64" s="22"/>
      <c r="F64" s="23"/>
      <c r="G64" s="22"/>
      <c r="H64" s="22"/>
      <c r="I64" s="23"/>
      <c r="J64" s="22"/>
      <c r="K64" s="22"/>
      <c r="L64" s="23"/>
      <c r="M64" s="22"/>
      <c r="N64" s="22"/>
      <c r="O64" s="23"/>
      <c r="P64" s="22"/>
      <c r="Q64" s="22"/>
      <c r="R64" s="23"/>
      <c r="S64" s="23"/>
      <c r="T64" s="84"/>
      <c r="U64" s="23"/>
      <c r="V64" s="84"/>
      <c r="W64" s="23"/>
      <c r="X64" s="84"/>
      <c r="Y64" s="23"/>
      <c r="Z64" s="84"/>
      <c r="AA64" s="23"/>
      <c r="AB64" s="23"/>
      <c r="AC64" s="7"/>
      <c r="AD64" s="7"/>
      <c r="AE64" s="63" t="str">
        <f aca="false">IF(Tasks[[#This Row],[Task Name]]="","",IF(Tasks[[#This Row],[_IsSummary]],MIN(INDEX(Tasks[_ShownFcstStart],Tasks[[#This Row],[_Row]]+1):INDEX(Tasks[_ShownFcstStart],Tasks[[#This Row],[_Row]]+Tasks[[#This Row],[_Descendants]])),Tasks[[#This Row],[_ShownFcstStart]]))</f>
        <v/>
      </c>
      <c r="AF64" s="63" t="str">
        <f aca="false">IF(Tasks[[#This Row],[Task Name]]="","",IF(Tasks[[#This Row],[_IsSummary]],MAX(INDEX(Tasks[_ShownFcstFinish],Tasks[[#This Row],[_Row]]+1):INDEX(Tasks[_ShownFcstFinish],Tasks[[#This Row],[_Row]]+Tasks[[#This Row],[_Descendants]])),Tasks[[#This Row],[_ShownFcstFinish]]))</f>
        <v/>
      </c>
      <c r="AG64" s="21" t="str">
        <f aca="false">""</f>
        <v/>
      </c>
      <c r="AH64" s="23"/>
      <c r="AI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4" s="7"/>
      <c r="AK64" s="22"/>
      <c r="AL64" s="23"/>
      <c r="AM64" s="7"/>
      <c r="AN64" s="47" t="str">
        <f aca="false">IF(Tasks[[#This Row],[Task Name]]="","",IF(Tasks[[#This Row],[Finish]]&gt;=Tasks[[#This Row],[Planned Finish]],NETWORKDAYS.INTL(Tasks[[#This Row],[Planned Finish]],Tasks[[#This Row],[Finish]],WorkWeek,Holidays)-1,1-NETWORKDAYS.INTL(Tasks[[#This Row],[Finish]],Tasks[[#This Row],[Planned Finish]],WorkWeek,Holidays)))</f>
        <v/>
      </c>
      <c r="AO64" s="21" t="str">
        <f aca="false">IF(Tasks[[#This Row],[Task Name]]="","",IF(Tasks[[#This Row],[Progress]]&gt;=1,"Complete",IF(OR(N(Tasks[[#This Row],[Actual Start]])&gt;0,Tasks[[#This Row],[Progress]]&gt;0),IF(Tasks[[#This Row],[Finish Var]]&gt;0,"Behind","In Progress"),IF(Tasks[[#This Row],[Planned Start]]&lt;StatusDate,"Late Start","Not Started"))))</f>
        <v/>
      </c>
      <c r="AP64" s="21" t="str">
        <f aca="false">IF(Tasks[[#This Row],[Task Name]]="","",IF(IF(Tasks[[#This Row],[_IsSummary]],COUNTIF(INDEX(Tasks[_LeafCritical],Tasks[[#This Row],[_Row]]+1):INDEX(Tasks[_LeafCritical],Tasks[[#This Row],[_Row]]+Tasks[[#This Row],[_Descendants]]),TRUE())&gt;0,Tasks[[#This Row],[_LeafCritical]]),"Yes",""))</f>
        <v/>
      </c>
      <c r="AQ64" s="63" t="str">
        <f aca="false">IF(Tasks[[#This Row],[Task Name]]="","",IF(N(Tasks[[#This Row],[Baseline Start]])&gt;0,Tasks[[#This Row],[Baseline Start]],Tasks[[#This Row],[_CalcStart]]))</f>
        <v/>
      </c>
      <c r="AR64" s="63" t="str">
        <f aca="false">IF(Tasks[[#This Row],[Task Name]]="","",IF(N(Tasks[[#This Row],[Baseline Finish]])&gt;0,Tasks[[#This Row],[Baseline Finish]],Tasks[[#This Row],[_CalcFinish]]))</f>
        <v/>
      </c>
      <c r="AS64" s="47" t="str">
        <f aca="false">IF(Tasks[[#This Row],[Task Name]]="","",IF(Tasks[[#This Row],[Start]]&gt;=Tasks[[#This Row],[Planned Start]],NETWORKDAYS.INTL(Tasks[[#This Row],[Planned Start]],Tasks[[#This Row],[Start]],WorkWeek,Holidays)-1,1-NETWORKDAYS.INTL(Tasks[[#This Row],[Start]],Tasks[[#This Row],[Planned Start]],WorkWeek,Holidays)))</f>
        <v/>
      </c>
      <c r="AT64" s="63" t="str">
        <f aca="false">IF(Tasks[[#This Row],[Task Name]]="","",IF(Tasks[[#This Row],[_IsSummary]],MIN(INDEX(Tasks[_LeafLateStart],Tasks[[#This Row],[_Row]]+1):INDEX(Tasks[_LeafLateStart],Tasks[[#This Row],[_Row]]+Tasks[[#This Row],[_Descendants]])),Tasks[[#This Row],[_LeafLateStart]]))</f>
        <v/>
      </c>
      <c r="AU64" s="63" t="str">
        <f aca="false">IF(Tasks[[#This Row],[Task Name]]="","",IF(Tasks[[#This Row],[_IsSummary]],MAX(INDEX(Tasks[_LeafLateFinish],Tasks[[#This Row],[_Row]]+1):INDEX(Tasks[_LeafLateFinish],Tasks[[#This Row],[_Row]]+Tasks[[#This Row],[_Descendants]])),Tasks[[#This Row],[_LeafLateFinish]]))</f>
        <v/>
      </c>
      <c r="AV64" s="47" t="str">
        <f aca="false">IF(Tasks[[#This Row],[Task Name]]="","",IF(Tasks[[#This Row],[_IsSummary]],MIN(INDEX(Tasks[_LeafTotalSlack],Tasks[[#This Row],[_Row]]+1):INDEX(Tasks[_LeafTotalSlack],Tasks[[#This Row],[_Row]]+Tasks[[#This Row],[_Descendants]])),Tasks[[#This Row],[_LeafTotalSlack]]))</f>
        <v/>
      </c>
      <c r="AW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5"/>
      <c r="BA6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1" t="str">
        <f aca="false">IF(Tasks[[#This Row],[Task Name]]="","",IF(Tasks[[#This Row],[_Level]]&lt;=OutlineShowLevel,"Yes","No"))</f>
        <v/>
      </c>
      <c r="BE64" s="86" t="str">
        <f aca="false">IF(Tasks[[#This Row],[Task Name]]="","",IF(Tasks[[#This Row],[_IsSummary]],SUM(INDEX(Tasks[_LeafTotalWork],Tasks[[#This Row],[_Row]]+1):INDEX(Tasks[_LeafTotalWork],Tasks[[#This Row],[_Row]]+Tasks[[#This Row],[_Descendants]])),Tasks[[#This Row],[_LeafTotalWork]]))</f>
        <v/>
      </c>
      <c r="BF64" s="23"/>
      <c r="BG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4" s="21" t="str">
        <f aca="false">""</f>
        <v/>
      </c>
      <c r="BI64" s="87"/>
      <c r="BJ64" s="22"/>
      <c r="BK64" s="47" t="str">
        <f aca="false">IF(OR(Tasks[[#This Row],[Task Name]]="",Tasks[[#This Row],[Baseline Duration]]=""),"",Tasks[[#This Row],[_SpanDays]]-N(Tasks[[#This Row],[Baseline Duration]]))</f>
        <v/>
      </c>
      <c r="BL64" s="86" t="str">
        <f aca="false">IF(OR(Tasks[[#This Row],[Task Name]]="",Tasks[[#This Row],[Baseline Work]]=""),"",Tasks[[#This Row],[Work]]-N(Tasks[[#This Row],[Baseline Work]]))</f>
        <v/>
      </c>
      <c r="BM64" s="63" t="str">
        <f aca="false">IF(Tasks[[#This Row],[Task Name]]="","",IF(OR(TakeBaseline="Yes",N(Tasks[[#This Row],[Baseline Start]])=0),Tasks[[#This Row],[Start]],Tasks[[#This Row],[Baseline Start]]))</f>
        <v/>
      </c>
      <c r="BN64" s="63" t="str">
        <f aca="false">IF(Tasks[[#This Row],[Task Name]]="","",IF(OR(TakeBaseline="Yes",N(Tasks[[#This Row],[Baseline Finish]])=0),Tasks[[#This Row],[Finish]],Tasks[[#This Row],[Baseline Finish]]))</f>
        <v/>
      </c>
      <c r="BO64" s="21" t="str">
        <f aca="false">IF(Tasks[[#This Row],[Task Name]]="","",IF(OR(TakeBaseline="Yes",N(Tasks[[#This Row],[Baseline Duration]])=0),Tasks[[#This Row],[_SpanDays]],Tasks[[#This Row],[Baseline Duration]]))</f>
        <v/>
      </c>
      <c r="BP64" s="86" t="str">
        <f aca="false">IF(Tasks[[#This Row],[Task Name]]="","",IF(OR(TakeBaseline="Yes",N(Tasks[[#This Row],[Baseline Work]])=0),Tasks[[#This Row],[Work]],Tasks[[#This Row],[Baseline Work]]))</f>
        <v/>
      </c>
      <c r="BQ64" s="7"/>
      <c r="BR64" s="7"/>
      <c r="BS64" s="22"/>
      <c r="BT64" s="88"/>
      <c r="BU64" s="23"/>
      <c r="BV64" s="23"/>
      <c r="BW64" s="23"/>
      <c r="BX64" s="89" t="str">
        <f aca="false">IF(AND(Tasks[[#This Row],[_IsLeaf]]=1,ISNUMBER(Tasks[[#This Row],[Optimistic]]),ISNUMBER(Tasks[[#This Row],[Pessimistic]])),ROUND((Tasks[[#This Row],[Optimistic]]+4*N(Tasks[[#This Row],[_Days]])+Tasks[[#This Row],[Pessimistic]])/6,1),"")</f>
        <v/>
      </c>
      <c r="BY64" s="87"/>
      <c r="BZ64" s="87"/>
      <c r="CA64" s="22"/>
      <c r="CB64" s="43" t="str">
        <f aca="false">IF(Tasks[[#This Row],[Task Name]]="","",MAX(1,N(Tasks[[#This Row],[Level]])))</f>
        <v/>
      </c>
      <c r="CC64" s="43" t="n">
        <f aca="false">ROW()-ROW(Tasks[[#Headers],[ID]])</f>
        <v>59</v>
      </c>
      <c r="CD64" s="43" t="n">
        <f aca="false">IF(OR(Tasks[[#This Row],[Task Name]]="",Tasks[[#This Row],[_Level]]&lt;=1),0,IFERROR(LOOKUP(2,1/(Tasks[[#Headers],[_Level]]:Tasks[[#This Row],[_Level]]=Tasks[[#This Row],[_Level]]-1),ROW(Tasks[[#Headers],[_Level]]:Tasks[[#This Row],[_Level]])),0))</f>
        <v>0</v>
      </c>
      <c r="CE64" s="43" t="n">
        <f aca="false">IFERROR(N(INDEX(Tasks[_Level],Tasks[[#This Row],[_Row]]+1)),0)</f>
        <v>0</v>
      </c>
      <c r="CF64" s="90" t="b">
        <f aca="false">AND(Tasks[[#This Row],[Task Name]]&lt;&gt;"",Tasks[[#This Row],[_NextLevel]]&gt;Tasks[[#This Row],[_Level]])</f>
        <v>0</v>
      </c>
      <c r="CG64" s="43" t="n">
        <f aca="false">IF(Tasks[[#This Row],[_IsSummary]],COUNTIF(Tasks[WBS],Tasks[[#This Row],[WBS]]&amp;".*"),0)</f>
        <v>0</v>
      </c>
      <c r="CH64" s="43" t="n">
        <f aca="false">IF(AND(Tasks[[#This Row],[Task Name]]&lt;&gt;"",NOT(Tasks[[#This Row],[_IsSummary]])),1,0)</f>
        <v>0</v>
      </c>
      <c r="CI64" s="43" t="n">
        <f aca="false">IF(N(Tasks[[#This Row],[_Pred1UID]])=0,0,IFERROR(MATCH(Tasks[[#This Row],[_Pred1UID]],Tasks[UID],0),-1))</f>
        <v>0</v>
      </c>
      <c r="CJ64" s="43" t="n">
        <f aca="false">IF(N(Tasks[[#This Row],[_Pred2UID]])=0,0,IFERROR(MATCH(Tasks[[#This Row],[_Pred2UID]],Tasks[UID],0),-1))</f>
        <v>0</v>
      </c>
      <c r="CK64" s="43" t="n">
        <f aca="false">IF(N(Tasks[[#This Row],[_Pred3UID]])=0,0,IFERROR(MATCH(Tasks[[#This Row],[_Pred3UID]],Tasks[UID],0),-1))</f>
        <v>0</v>
      </c>
      <c r="CL64" s="43" t="n">
        <f aca="false">IF(N(Tasks[[#This Row],[_Pred4UID]])=0,0,IFERROR(MATCH(Tasks[[#This Row],[_Pred4UID]],Tasks[UID],0),-1))</f>
        <v>0</v>
      </c>
      <c r="CM6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4" s="91" t="n">
        <f aca="false">IF(OR(Tasks[[#This Row],[_ConstraintCode]]=2,Tasks[[#This Row],[_ConstraintCode]]=3,Tasks[[#This Row],[_ConstraintCode]]=4,Tasks[[#This Row],[_ConstraintCode]]=6),Tasks[[#This Row],[_ConstraintStart]],0)</f>
        <v>0</v>
      </c>
      <c r="CP64" s="91" t="n">
        <f aca="false">IF(OR(Tasks[[#This Row],[_ConstraintCode]]=2,Tasks[[#This Row],[_ConstraintCode]]=3,Tasks[[#This Row],[_ConstraintCode]]=5,Tasks[[#This Row],[_ConstraintCode]]=7),Tasks[[#This Row],[_ConstraintStart]],2958465)</f>
        <v>2958465</v>
      </c>
      <c r="CQ6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4" s="91" t="str">
        <f aca="false">IF(NOT(Tasks[[#This Row],[_IsLeaf]]=1),"",IF(N(Tasks[[#This Row],[_Days]])&lt;=0,Tasks[[#This Row],[_LeafCalcStart]],WORKDAY.INTL(Tasks[[#This Row],[_LeafCalcStart]],Tasks[[#This Row],[_Days]]-1,WorkWeek,Holidays)))</f>
        <v/>
      </c>
      <c r="CS6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4" s="43" t="str">
        <f aca="false">IF(Tasks[[#This Row],[_Predecessors]]="","",TRIM(MID(SUBSTITUTE(SUBSTITUTE(SUBSTITUTE(UPPER(Tasks[[#This Row],[_Predecessors]]),";",",")," ",""),",",REPT(" ",99)),1,99)))</f>
        <v/>
      </c>
      <c r="CV64" s="43" t="str">
        <f aca="false">IF(Tasks[[#This Row],[_Pred1Text]]="","",IFERROR(VALUE(LEFT(Tasks[[#This Row],[_Pred1Text]],MIN(FIND("F",Tasks[[#This Row],[_Pred1Text]]&amp;"F"),FIND("S",Tasks[[#This Row],[_Pred1Text]]&amp;"S"),FIND("+",Tasks[[#This Row],[_Pred1Text]]&amp;"+"),FIND("-",Tasks[[#This Row],[_Pred1Text]]&amp;"-"))-1)),""))</f>
        <v/>
      </c>
      <c r="CW6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4" s="43" t="str">
        <f aca="false">IF(Tasks[[#This Row],[_Pred1Text]]="","",TRIM(MID(SUBSTITUTE(SUBSTITUTE(SUBSTITUTE(UPPER(Tasks[[#This Row],[_Predecessors]]),";",",")," ",""),",",REPT(" ",99)),100,99)))</f>
        <v/>
      </c>
      <c r="CZ64" s="43" t="str">
        <f aca="false">IF(Tasks[[#This Row],[_Pred2Text]]="","",IFERROR(VALUE(LEFT(Tasks[[#This Row],[_Pred2Text]],MIN(FIND("F",Tasks[[#This Row],[_Pred2Text]]&amp;"F"),FIND("S",Tasks[[#This Row],[_Pred2Text]]&amp;"S"),FIND("+",Tasks[[#This Row],[_Pred2Text]]&amp;"+"),FIND("-",Tasks[[#This Row],[_Pred2Text]]&amp;"-"))-1)),""))</f>
        <v/>
      </c>
      <c r="DA6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4" s="43" t="str">
        <f aca="false">IF(Tasks[[#This Row],[_Pred2Text]]="","",TRIM(MID(SUBSTITUTE(SUBSTITUTE(SUBSTITUTE(UPPER(Tasks[[#This Row],[_Predecessors]]),";",",")," ",""),",",REPT(" ",99)),199,99)))</f>
        <v/>
      </c>
      <c r="DD64" s="43" t="str">
        <f aca="false">IF(Tasks[[#This Row],[_Pred3Text]]="","",IFERROR(VALUE(LEFT(Tasks[[#This Row],[_Pred3Text]],MIN(FIND("F",Tasks[[#This Row],[_Pred3Text]]&amp;"F"),FIND("S",Tasks[[#This Row],[_Pred3Text]]&amp;"S"),FIND("+",Tasks[[#This Row],[_Pred3Text]]&amp;"+"),FIND("-",Tasks[[#This Row],[_Pred3Text]]&amp;"-"))-1)),""))</f>
        <v/>
      </c>
      <c r="DE6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4" s="43" t="str">
        <f aca="false">IF(Tasks[[#This Row],[_Pred3Text]]="","",TRIM(MID(SUBSTITUTE(SUBSTITUTE(SUBSTITUTE(UPPER(Tasks[[#This Row],[_Predecessors]]),";",",")," ",""),",",REPT(" ",99)),298,99)))</f>
        <v/>
      </c>
      <c r="DH64" s="43" t="str">
        <f aca="false">IF(Tasks[[#This Row],[_Pred4Text]]="","",IFERROR(VALUE(LEFT(Tasks[[#This Row],[_Pred4Text]],MIN(FIND("F",Tasks[[#This Row],[_Pred4Text]]&amp;"F"),FIND("S",Tasks[[#This Row],[_Pred4Text]]&amp;"S"),FIND("+",Tasks[[#This Row],[_Pred4Text]]&amp;"+"),FIND("-",Tasks[[#This Row],[_Pred4Text]]&amp;"-"))-1)),""))</f>
        <v/>
      </c>
      <c r="DI6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4" s="43" t="str">
        <f aca="false">IF(OR(Tasks[[#This Row],[Task Name]]="",Tasks[[#This Row],[_Resources]]=""),"",TRIM(MID(SUBSTITUTE(Tasks[[#This Row],[_Resources]],",",REPT(" ",99)),1,99)))</f>
        <v/>
      </c>
      <c r="DL64" s="43" t="str">
        <f aca="false">IF(Tasks[[#This Row],[_Res1Text]]="","",TRIM(MID(SUBSTITUTE(Tasks[[#This Row],[_Resources]],",",REPT(" ",99)),100,99)))</f>
        <v/>
      </c>
      <c r="DM64" s="43" t="str">
        <f aca="false">IF(Tasks[[#This Row],[_Res2Text]]="","",TRIM(MID(SUBSTITUTE(Tasks[[#This Row],[_Resources]],",",REPT(" ",99)),199,99)))</f>
        <v/>
      </c>
      <c r="DN64" s="43" t="str">
        <f aca="false">IF(Tasks[[#This Row],[_Res3Text]]="","",TRIM(MID(SUBSTITUTE(Tasks[[#This Row],[_Resources]],",",REPT(" ",99)),298,99)))</f>
        <v/>
      </c>
      <c r="DO64" s="43" t="n">
        <f aca="false">IF(Tasks[[#This Row],[_Res1Text]]="",0,IFERROR(MATCH(TRIM(LEFT(Tasks[[#This Row],[_Res1Text]],FIND("[",Tasks[[#This Row],[_Res1Text]]&amp;"[")-1)),res_Name,0),IFERROR(MATCH(TRIM(LEFT(Tasks[[#This Row],[_Res1Text]],FIND("[",Tasks[[#This Row],[_Res1Text]]&amp;"[")-1)),res_Initials,0),0)))</f>
        <v>0</v>
      </c>
      <c r="DP64" s="43" t="n">
        <f aca="false">IF(Tasks[[#This Row],[_Res2Text]]="",0,IFERROR(MATCH(TRIM(LEFT(Tasks[[#This Row],[_Res2Text]],FIND("[",Tasks[[#This Row],[_Res2Text]]&amp;"[")-1)),res_Name,0),IFERROR(MATCH(TRIM(LEFT(Tasks[[#This Row],[_Res2Text]],FIND("[",Tasks[[#This Row],[_Res2Text]]&amp;"[")-1)),res_Initials,0),0)))</f>
        <v>0</v>
      </c>
      <c r="DQ64" s="43" t="n">
        <f aca="false">IF(Tasks[[#This Row],[_Res3Text]]="",0,IFERROR(MATCH(TRIM(LEFT(Tasks[[#This Row],[_Res3Text]],FIND("[",Tasks[[#This Row],[_Res3Text]]&amp;"[")-1)),res_Name,0),IFERROR(MATCH(TRIM(LEFT(Tasks[[#This Row],[_Res3Text]],FIND("[",Tasks[[#This Row],[_Res3Text]]&amp;"[")-1)),res_Initials,0),0)))</f>
        <v>0</v>
      </c>
      <c r="DR64" s="43" t="n">
        <f aca="false">IF(Tasks[[#This Row],[_Res4Text]]="",0,IFERROR(MATCH(TRIM(LEFT(Tasks[[#This Row],[_Res4Text]],FIND("[",Tasks[[#This Row],[_Res4Text]]&amp;"[")-1)),res_Name,0),IFERROR(MATCH(TRIM(LEFT(Tasks[[#This Row],[_Res4Text]],FIND("[",Tasks[[#This Row],[_Res4Text]]&amp;"[")-1)),res_Initials,0),0)))</f>
        <v>0</v>
      </c>
      <c r="DS64" s="43" t="str">
        <f aca="false">IF(Tasks[[#This Row],[_Res1Text]]="","",IF(Tasks[[#This Row],[_Res1Row]]&gt;0,INDEX(res_Name,Tasks[[#This Row],[_Res1Row]]),TRIM(LEFT(Tasks[[#This Row],[_Res1Text]],FIND("[",Tasks[[#This Row],[_Res1Text]]&amp;"[")-1))))</f>
        <v/>
      </c>
      <c r="DT6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4" s="43" t="n">
        <f aca="false">IF(NOT(Tasks[[#This Row],[_IsLeaf]]=1),0,(Tasks[[#This Row],[_Resource1]]&lt;&gt;"")+(Tasks[[#This Row],[_Res2]]&lt;&gt;"")+(Tasks[[#This Row],[_Res3]]&lt;&gt;"")+(Tasks[[#This Row],[_Res4]]&lt;&gt;""))</f>
        <v>0</v>
      </c>
      <c r="DV64" s="43" t="str">
        <f aca="false">IF(Tasks[[#This Row],[_Res2Text]]="","",IF(Tasks[[#This Row],[_Res2Row]]&gt;0,INDEX(res_Name,Tasks[[#This Row],[_Res2Row]]),TRIM(LEFT(Tasks[[#This Row],[_Res2Text]],FIND("[",Tasks[[#This Row],[_Res2Text]]&amp;"[")-1))))</f>
        <v/>
      </c>
      <c r="DW6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4" s="43" t="n">
        <f aca="false">IF(OR(NOT(Tasks[[#This Row],[_IsLeaf]]=1),Tasks[[#This Row],[_Res2Row]]=0),0,N(Tasks[[#This Row],[_Days]])*HoursPerDay*IF(Tasks[[#This Row],[_Res2Units]]="",DefaultUnits,Tasks[[#This Row],[_Res2Units]]))</f>
        <v>0</v>
      </c>
      <c r="DY64" s="43" t="n">
        <f aca="false">IF(AND(AND(Tasks[[#This Row],[_IsLeaf]]=1,Tasks[[#This Row],[_LeafTotalWork]]&gt;0),Tasks[[#This Row],[_Res2Work]]&gt;0),Tasks[[#This Row],[_Res2Work]]/(Tasks[[#This Row],[_FinishWorkday]]-Tasks[[#This Row],[_StartWorkday]]+1),0)</f>
        <v>0</v>
      </c>
      <c r="DZ64" s="43" t="n">
        <f aca="false">Tasks[[#This Row],[_Res2WorkPerWD]]*MAX(0,Tasks[[#This Row],[_StartWorkday]]-1)</f>
        <v>0</v>
      </c>
      <c r="EA64" s="43" t="n">
        <f aca="false">Tasks[[#This Row],[_Res2Work]]*Tasks[[#This Row],[_LeafProgress]]</f>
        <v>0</v>
      </c>
      <c r="EB64" s="43" t="str">
        <f aca="false">IF(Tasks[[#This Row],[_Res3Text]]="","",IF(Tasks[[#This Row],[_Res3Row]]&gt;0,INDEX(res_Name,Tasks[[#This Row],[_Res3Row]]),TRIM(LEFT(Tasks[[#This Row],[_Res3Text]],FIND("[",Tasks[[#This Row],[_Res3Text]]&amp;"[")-1))))</f>
        <v/>
      </c>
      <c r="EC6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4" s="43" t="n">
        <f aca="false">IF(OR(NOT(Tasks[[#This Row],[_IsLeaf]]=1),Tasks[[#This Row],[_Res3Row]]=0),0,N(Tasks[[#This Row],[_Days]])*HoursPerDay*IF(Tasks[[#This Row],[_Res3Units]]="",DefaultUnits,Tasks[[#This Row],[_Res3Units]]))</f>
        <v>0</v>
      </c>
      <c r="EE64" s="43" t="n">
        <f aca="false">IF(AND(AND(Tasks[[#This Row],[_IsLeaf]]=1,Tasks[[#This Row],[_LeafTotalWork]]&gt;0),Tasks[[#This Row],[_Res3Work]]&gt;0),Tasks[[#This Row],[_Res3Work]]/(Tasks[[#This Row],[_FinishWorkday]]-Tasks[[#This Row],[_StartWorkday]]+1),0)</f>
        <v>0</v>
      </c>
      <c r="EF64" s="43" t="n">
        <f aca="false">Tasks[[#This Row],[_Res3WorkPerWD]]*MAX(0,Tasks[[#This Row],[_StartWorkday]]-1)</f>
        <v>0</v>
      </c>
      <c r="EG64" s="43" t="n">
        <f aca="false">Tasks[[#This Row],[_Res3Work]]*Tasks[[#This Row],[_LeafProgress]]</f>
        <v>0</v>
      </c>
      <c r="EH64" s="43" t="str">
        <f aca="false">IF(Tasks[[#This Row],[_Res4Text]]="","",IF(Tasks[[#This Row],[_Res4Row]]&gt;0,INDEX(res_Name,Tasks[[#This Row],[_Res4Row]]),TRIM(LEFT(Tasks[[#This Row],[_Res4Text]],FIND("[",Tasks[[#This Row],[_Res4Text]]&amp;"[")-1))))</f>
        <v/>
      </c>
      <c r="EI6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4" s="43" t="n">
        <f aca="false">IF(OR(NOT(Tasks[[#This Row],[_IsLeaf]]=1),Tasks[[#This Row],[_Res4Row]]=0),0,N(Tasks[[#This Row],[_Days]])*HoursPerDay*IF(Tasks[[#This Row],[_Res4Units]]="",DefaultUnits,Tasks[[#This Row],[_Res4Units]]))</f>
        <v>0</v>
      </c>
      <c r="EK64" s="43" t="n">
        <f aca="false">IF(AND(AND(Tasks[[#This Row],[_IsLeaf]]=1,Tasks[[#This Row],[_LeafTotalWork]]&gt;0),Tasks[[#This Row],[_Res4Work]]&gt;0),Tasks[[#This Row],[_Res4Work]]/(Tasks[[#This Row],[_FinishWorkday]]-Tasks[[#This Row],[_StartWorkday]]+1),0)</f>
        <v>0</v>
      </c>
      <c r="EL64" s="43" t="n">
        <f aca="false">Tasks[[#This Row],[_Res4WorkPerWD]]*MAX(0,Tasks[[#This Row],[_StartWorkday]]-1)</f>
        <v>0</v>
      </c>
      <c r="EM64" s="43" t="n">
        <f aca="false">Tasks[[#This Row],[_Res4Work]]*Tasks[[#This Row],[_LeafProgress]]</f>
        <v>0</v>
      </c>
      <c r="EN64" s="43" t="n">
        <f aca="false">IF(ISNUMBER(Tasks[[#This Row],[% Complete]]),Tasks[[#This Row],[% Complete]],IF(Tasks[[#This Row],[Stage]]="",0,IFERROR(INDEX(stg_Pct,MATCH(Tasks[[#This Row],[Stage]],stg_Name,0)),0)))</f>
        <v>0</v>
      </c>
      <c r="EO64" s="43" t="n">
        <f aca="false">IF(NOT(Tasks[[#This Row],[_IsLeaf]]=1),0,IF(N(Tasks[[#This Row],[Actual Finish]])&gt;0,1,MIN(1,Tasks[[#This Row],[_Pct]])))</f>
        <v>0</v>
      </c>
      <c r="EP64" s="43" t="n">
        <f aca="false">IF(OR(NOT(Tasks[[#This Row],[_IsLeaf]]=1),Tasks[[#This Row],[_Res1Row]]=0),0,N(Tasks[[#This Row],[_Days]])*HoursPerDay*IF(Tasks[[#This Row],[_Units1]]="",DefaultUnits,Tasks[[#This Row],[_Units1]]))</f>
        <v>0</v>
      </c>
      <c r="EQ64" s="43" t="n">
        <f aca="false">Tasks[[#This Row],[_LeafWork]]+Tasks[[#This Row],[_Res2Work]]+Tasks[[#This Row],[_Res3Work]]+Tasks[[#This Row],[_Res4Work]]</f>
        <v>0</v>
      </c>
      <c r="ER6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4" s="43" t="n">
        <f aca="false">IF(NOT(Tasks[[#This Row],[_IsLeaf]]=1),0,MAX(_xlfn.MAXIFS(Tasks[_Row],Tasks[_Pred1UID],Tasks[[#This Row],[UID]]),_xlfn.MAXIFS(Tasks[_Row],Tasks[_Pred2UID],Tasks[[#This Row],[UID]]),_xlfn.MAXIFS(Tasks[_Row],Tasks[_Pred3UID],Tasks[[#This Row],[UID]]),_xlfn.MAXIFS(Tasks[_Row],Tasks[_Pred4UID],Tasks[[#This Row],[UID]])))</f>
        <v>0</v>
      </c>
      <c r="FA6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4" s="91" t="str">
        <f aca="false">IF(NOT(Tasks[[#This Row],[_IsLeaf]]=1),"",IF(N(Tasks[[#This Row],[_Days]])&lt;=0,Tasks[[#This Row],[_LeafLateFinish]],WORKDAY.INTL(Tasks[[#This Row],[_LeafLateFinish]],-(Tasks[[#This Row],[_Days]]-1),WorkWeek,Holidays)))</f>
        <v/>
      </c>
      <c r="FD6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4" s="90" t="b">
        <f aca="false">AND(Tasks[[#This Row],[_IsLeaf]]=1,Tasks[[#This Row],[_LeafProgress]]&lt;1,N(Tasks[[#This Row],[_LeafTotalSlack]])&lt;=CriticalSlackDays)</f>
        <v>0</v>
      </c>
      <c r="FF64" s="43" t="n">
        <f aca="false">IF(AND(Tasks[[#This Row],[_IsLeaf]]=1,Tasks[[#This Row],[_ConstraintCode]]=1,Tasks[[#This Row],[Mode]]&lt;&gt;"Manual",N(Tasks[[#This Row],[Actual Start]])=0),MAX(0,N(Tasks[[#This Row],[Free Slack]])),0)</f>
        <v>0</v>
      </c>
      <c r="FG64" s="91" t="str">
        <f aca="false">IF(NOT(Tasks[[#This Row],[_IsLeaf]]=1),"",IF(Tasks[[#This Row],[_AlapShift]]=0,Tasks[[#This Row],[_LeafCalcStart]],WORKDAY.INTL(Tasks[[#This Row],[_LeafCalcStart]],Tasks[[#This Row],[_AlapShift]],WorkWeek,Holidays)))</f>
        <v/>
      </c>
      <c r="FH64" s="91" t="str">
        <f aca="false">IF(NOT(Tasks[[#This Row],[_IsLeaf]]=1),"",IF(Tasks[[#This Row],[_AlapShift]]=0,Tasks[[#This Row],[_LeafCalcFinish]],WORKDAY.INTL(Tasks[[#This Row],[_LeafCalcFinish]],Tasks[[#This Row],[_AlapShift]],WorkWeek,Holidays)))</f>
        <v/>
      </c>
      <c r="FI64" s="91" t="str">
        <f aca="false">IF(NOT(Tasks[[#This Row],[_IsLeaf]]=1),"",IF(Tasks[[#This Row],[_AlapShift]]=0,Tasks[[#This Row],[_LeafFcstStart]],WORKDAY.INTL(Tasks[[#This Row],[_LeafFcstStart]],Tasks[[#This Row],[_AlapShift]],WorkWeek,Holidays)))</f>
        <v/>
      </c>
      <c r="FJ64" s="91" t="str">
        <f aca="false">IF(NOT(Tasks[[#This Row],[_IsLeaf]]=1),"",IF(Tasks[[#This Row],[_AlapShift]]=0,Tasks[[#This Row],[_LeafFcstFinish]],WORKDAY.INTL(Tasks[[#This Row],[_LeafFcstFinish]],Tasks[[#This Row],[_AlapShift]],WorkWeek,Holidays)))</f>
        <v/>
      </c>
      <c r="FK64" s="91" t="str">
        <f aca="false">IF(Tasks[[#This Row],[Task Name]]="","",IF(Tasks[[#This Row],[_IsSummary]],MIN(INDEX(Tasks[_ShownCalcStart],Tasks[[#This Row],[_Row]]+1):INDEX(Tasks[_ShownCalcStart],Tasks[[#This Row],[_Row]]+Tasks[[#This Row],[_Descendants]])),Tasks[[#This Row],[_ShownCalcStart]]))</f>
        <v/>
      </c>
      <c r="FL64" s="91" t="str">
        <f aca="false">IF(Tasks[[#This Row],[Task Name]]="","",IF(Tasks[[#This Row],[_IsSummary]],MAX(INDEX(Tasks[_ShownCalcFinish],Tasks[[#This Row],[_Row]]+1):INDEX(Tasks[_ShownCalcFinish],Tasks[[#This Row],[_Row]]+Tasks[[#This Row],[_Descendants]])),Tasks[[#This Row],[_ShownCalcFinish]]))</f>
        <v/>
      </c>
      <c r="FM6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4" s="43" t="n">
        <f aca="false">IF(AND(Tasks[[#This Row],[_IsLeaf]]=1,Tasks[[#This Row],[_LeafTotalWork]]&gt;0),NETWORKDAYS.INTL(ProjectStart,Tasks[[#This Row],[_ShownFcstStart]],WorkWeek,Holidays),0)</f>
        <v>0</v>
      </c>
      <c r="FZ64" s="43" t="n">
        <f aca="false">IF(AND(Tasks[[#This Row],[_IsLeaf]]=1,Tasks[[#This Row],[_LeafTotalWork]]&gt;0),MAX(Tasks[[#This Row],[_StartWorkday]],NETWORKDAYS.INTL(ProjectStart,Tasks[[#This Row],[_ShownFcstFinish]],WorkWeek,Holidays)),0)</f>
        <v>0</v>
      </c>
      <c r="GA64" s="43" t="n">
        <f aca="false">IF(AND(Tasks[[#This Row],[_IsLeaf]]=1,Tasks[[#This Row],[_LeafTotalWork]]&gt;0),Tasks[[#This Row],[_LeafWork]]/(Tasks[[#This Row],[_FinishWorkday]]-Tasks[[#This Row],[_StartWorkday]]+1),0)</f>
        <v>0</v>
      </c>
      <c r="GB64" s="43" t="n">
        <f aca="false">Tasks[[#This Row],[_WorkPerWorkday]]*(Tasks[[#This Row],[_StartWorkday]]-1)</f>
        <v>-0</v>
      </c>
      <c r="GC64" s="43" t="n">
        <f aca="false">IF(Tasks[[#This Row],[_IsLeaf]]=1,MAX(N(Tasks[[#This Row],[_Days]]),0.1),0)</f>
        <v>0</v>
      </c>
      <c r="GD64" s="43" t="n">
        <f aca="false">Tasks[[#This Row],[_WeightDur]]*Tasks[[#This Row],[_LeafProgress]]</f>
        <v>0</v>
      </c>
      <c r="GE64" s="43" t="n">
        <f aca="false">Tasks[[#This Row],[_WeightDur]]*Tasks[[#This Row],[_PlannedPct]]</f>
        <v>0</v>
      </c>
      <c r="GF6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4" s="43" t="str">
        <f aca="false">IF(AND(Tasks[[#This Row],[_IsLeaf]]=1,N(Tasks[[#This Row],[_Days]])=0,Tasks[[#This Row],[_LeafProgress]]&lt;1),Tasks[[#This Row],[_ShownFcstFinish]]+Tasks[[#This Row],[_Row]]/100000,"")</f>
        <v/>
      </c>
      <c r="GH6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4" s="43" t="str">
        <f aca="false">IF(Tasks[[#This Row],[Task Name]]="","",LEFT(Tasks[[#This Row],[WBS]],FIND(".",Tasks[[#This Row],[WBS]]&amp;".")-1))</f>
        <v/>
      </c>
      <c r="GJ64" s="43" t="str">
        <f aca="false">IF(AND(Tasks[[#This Row],[Task Name]]&lt;&gt;"",Tasks[[#This Row],[_Level]]=1),Tasks[[#This Row],[_Row]],"")</f>
        <v/>
      </c>
      <c r="GK64" s="43" t="str">
        <f aca="false">IF(AND(Tasks[[#This Row],[_IsLeaf]]=1,N(Tasks[[#This Row],[_Days]])=0),Tasks[[#This Row],[Planned Finish]]+Tasks[[#This Row],[_Row]]/100000,"")</f>
        <v/>
      </c>
      <c r="GL64" s="43" t="str">
        <f aca="false">IF(AND(Tasks[[#This Row],[_IsLeaf]]=1,Tasks[[#This Row],[_LeafProgress]]&lt;1,OR(N(Tasks[[#This Row],[Finish Var]])&gt;0,Tasks[[#This Row],[Status]]="Late Start")),MAX(0,Tasks[[#This Row],[Finish Var]])+1-Tasks[[#This Row],[_Row]]/1000000,"")</f>
        <v/>
      </c>
      <c r="GM64" s="43" t="str">
        <f aca="false">IF(AND(Tasks[[#This Row],[_IsLeaf]]=1,N(Tasks[[#This Row],[Actual Start]])=0,Tasks[[#This Row],[_ShownFcstStart]]&gt;=StatusDate,Tasks[[#This Row],[_ShownFcstStart]]&lt;=LookaheadEnd),Tasks[[#This Row],[_ShownFcstStart]]+Tasks[[#This Row],[_Row]]/100000,"")</f>
        <v/>
      </c>
      <c r="GN64" s="43" t="str">
        <f aca="false">IF(AND(Tasks[[#This Row],[_IsLeaf]]=1,Tasks[[#This Row],[_LeafProgress]]&lt;1,Tasks[[#This Row],[_ShownFcstFinish]]&gt;=StatusDate,Tasks[[#This Row],[_ShownFcstFinish]]&lt;=LookaheadEnd),Tasks[[#This Row],[_ShownFcstFinish]]+Tasks[[#This Row],[_Row]]/100000,"")</f>
        <v/>
      </c>
      <c r="GO64" s="43" t="str">
        <f aca="false">IF(Tasks[[#This Row],[_LeafCritical]],Tasks[[#This Row],[_ShownFcstStart]]+Tasks[[#This Row],[_Row]]/100000,"")</f>
        <v/>
      </c>
      <c r="GP64" s="43" t="n">
        <f aca="false">Tasks[[#This Row],[_LeafWork]]*Tasks[[#This Row],[_LeafProgress]]</f>
        <v>0</v>
      </c>
      <c r="GQ64" s="91" t="str">
        <f aca="false">IF(AND(Tasks[[#This Row],[_IsLeaf]]=1,Tasks[[#This Row],[_LeafProgress]]&gt;=1),IF(N(Tasks[[#This Row],[Actual Finish]])&gt;0,Tasks[[#This Row],[Actual Finish]],Tasks[[#This Row],[_ShownFcstFinish]]),"")</f>
        <v/>
      </c>
      <c r="GR64" s="43" t="n">
        <f aca="false">IF(Tasks[[#This Row],[_IsLeaf]]=1,N(Tasks[[#This Row],[Story Points]]),0)</f>
        <v>0</v>
      </c>
      <c r="GS64" s="43" t="str">
        <f aca="false">""</f>
        <v/>
      </c>
      <c r="GT64" s="90" t="b">
        <f aca="false">IF(Tasks[[#This Row],[Task Name]]="",FALSE(),AND(Tasks[[#This Row],[_IsLeaf]]=1,N(Tasks[[#This Row],[_Days]])=0))</f>
        <v>0</v>
      </c>
      <c r="GU64" s="91" t="n">
        <f aca="false">IF(Tasks[[#This Row],[Task Name]]="",0,IF(AND(Tasks[[#This Row],[_IsLeaf]]=1,NOT(Tasks[[#This Row],[_IsMilestone]]),N(Tasks[[#This Row],[Progress]])&gt;0),Tasks[[#This Row],[Start]],0))</f>
        <v>0</v>
      </c>
      <c r="GV64" s="91" t="n">
        <f aca="false">IF(Tasks[[#This Row],[_DoneFrom]]=0,0,IF(Tasks[[#This Row],[Progress]]&gt;=1,Tasks[[#This Row],[Finish]],MAX(Tasks[[#This Row],[_DoneFrom]],Tasks[[#This Row],[Start]]+ROUND((Tasks[[#This Row],[Finish]]-Tasks[[#This Row],[Start]]+1)*Tasks[[#This Row],[Progress]],0)-1)))</f>
        <v>0</v>
      </c>
      <c r="GW64" s="91" t="n">
        <f aca="false">IF(Tasks[[#This Row],[Task Name]]="",0,IF(OR(NOT(Tasks[[#This Row],[_IsLeaf]]=1),Tasks[[#This Row],[_IsMilestone]],N(Tasks[[#This Row],[Progress]])&gt;=1),0,IF(Tasks[[#This Row],[_DoneTo]]&gt;0,Tasks[[#This Row],[_DoneTo]]+1,Tasks[[#This Row],[Start]])))</f>
        <v>0</v>
      </c>
      <c r="GX64" s="91" t="n">
        <f aca="false">IF(Tasks[[#This Row],[_RemFrom]]=0,0,Tasks[[#This Row],[Finish]])</f>
        <v>0</v>
      </c>
      <c r="GY64" s="90" t="b">
        <f aca="false">IF(Tasks[[#This Row],[Task Name]]="",FALSE(),OR(NOT(BaselineSet),N(Tasks[[#This Row],[Baseline Start]])&gt;0))</f>
        <v>0</v>
      </c>
      <c r="GZ6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4" s="92" t="str">
        <f aca="false">IF(Tasks[[#This Row],[_IsLeaf]]=1,Tasks[[#This Row],[_Row]],"")</f>
        <v/>
      </c>
      <c r="HD64" s="92" t="str">
        <f aca="false">IFERROR(INDEX(Tasks[UID],SMALL(Tasks[_PickKey],Tasks[[#This Row],[_Row]]))&amp;" "&amp;INDEX(Tasks[Task Name],SMALL(Tasks[_PickKey],Tasks[[#This Row],[_Row]])),"")</f>
        <v/>
      </c>
      <c r="HE64" s="43" t="str">
        <f aca="false">IF(Tasks[[#This Row],[Task Name]]="","",IF(Tasks[[#This Row],[_IsSummary]],NETWORKDAYS.INTL(Tasks[[#This Row],[Start]],Tasks[[#This Row],[Finish]],WorkWeek,Holidays),N(Tasks[[#This Row],[_Days]])))</f>
        <v/>
      </c>
      <c r="HF64" s="43" t="n">
        <f aca="false">IF(Tasks[[#This Row],[Expected]]="",0,((Tasks[[#This Row],[Pessimistic]]-Tasks[[#This Row],[Optimistic]])/6)^2)</f>
        <v>0</v>
      </c>
      <c r="HG64" s="43" t="n">
        <f aca="false">IF(Tasks[[#This Row],[Expected]]="",0,Tasks[[#This Row],[Expected]]-N(Tasks[[#This Row],[_Days]]))</f>
        <v>0</v>
      </c>
    </row>
    <row r="65" customFormat="false" ht="15" hidden="false" customHeight="false" outlineLevel="0" collapsed="false">
      <c r="A65" s="21" t="str">
        <f aca="false">IF(Tasks[[#This Row],[Task Name]]="","",COUNTA(Tasks[[#Headers],[Task Name]]:Tasks[[#This Row],[Task Name]])-1)</f>
        <v/>
      </c>
      <c r="B65" s="22" t="n">
        <v>73</v>
      </c>
      <c r="C65" s="22"/>
      <c r="D65" s="23"/>
      <c r="E65" s="22"/>
      <c r="F65" s="23"/>
      <c r="G65" s="22"/>
      <c r="H65" s="22"/>
      <c r="I65" s="23"/>
      <c r="J65" s="22"/>
      <c r="K65" s="22"/>
      <c r="L65" s="23"/>
      <c r="M65" s="22"/>
      <c r="N65" s="22"/>
      <c r="O65" s="23"/>
      <c r="P65" s="22"/>
      <c r="Q65" s="22"/>
      <c r="R65" s="23"/>
      <c r="S65" s="23"/>
      <c r="T65" s="84"/>
      <c r="U65" s="23"/>
      <c r="V65" s="84"/>
      <c r="W65" s="23"/>
      <c r="X65" s="84"/>
      <c r="Y65" s="23"/>
      <c r="Z65" s="84"/>
      <c r="AA65" s="23"/>
      <c r="AB65" s="23"/>
      <c r="AC65" s="7"/>
      <c r="AD65" s="7"/>
      <c r="AE65" s="63" t="str">
        <f aca="false">IF(Tasks[[#This Row],[Task Name]]="","",IF(Tasks[[#This Row],[_IsSummary]],MIN(INDEX(Tasks[_ShownFcstStart],Tasks[[#This Row],[_Row]]+1):INDEX(Tasks[_ShownFcstStart],Tasks[[#This Row],[_Row]]+Tasks[[#This Row],[_Descendants]])),Tasks[[#This Row],[_ShownFcstStart]]))</f>
        <v/>
      </c>
      <c r="AF65" s="63" t="str">
        <f aca="false">IF(Tasks[[#This Row],[Task Name]]="","",IF(Tasks[[#This Row],[_IsSummary]],MAX(INDEX(Tasks[_ShownFcstFinish],Tasks[[#This Row],[_Row]]+1):INDEX(Tasks[_ShownFcstFinish],Tasks[[#This Row],[_Row]]+Tasks[[#This Row],[_Descendants]])),Tasks[[#This Row],[_ShownFcstFinish]]))</f>
        <v/>
      </c>
      <c r="AG65" s="21" t="str">
        <f aca="false">""</f>
        <v/>
      </c>
      <c r="AH65" s="23"/>
      <c r="AI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5" s="7"/>
      <c r="AK65" s="22"/>
      <c r="AL65" s="23"/>
      <c r="AM65" s="7"/>
      <c r="AN65" s="47" t="str">
        <f aca="false">IF(Tasks[[#This Row],[Task Name]]="","",IF(Tasks[[#This Row],[Finish]]&gt;=Tasks[[#This Row],[Planned Finish]],NETWORKDAYS.INTL(Tasks[[#This Row],[Planned Finish]],Tasks[[#This Row],[Finish]],WorkWeek,Holidays)-1,1-NETWORKDAYS.INTL(Tasks[[#This Row],[Finish]],Tasks[[#This Row],[Planned Finish]],WorkWeek,Holidays)))</f>
        <v/>
      </c>
      <c r="AO65" s="21" t="str">
        <f aca="false">IF(Tasks[[#This Row],[Task Name]]="","",IF(Tasks[[#This Row],[Progress]]&gt;=1,"Complete",IF(OR(N(Tasks[[#This Row],[Actual Start]])&gt;0,Tasks[[#This Row],[Progress]]&gt;0),IF(Tasks[[#This Row],[Finish Var]]&gt;0,"Behind","In Progress"),IF(Tasks[[#This Row],[Planned Start]]&lt;StatusDate,"Late Start","Not Started"))))</f>
        <v/>
      </c>
      <c r="AP65" s="21" t="str">
        <f aca="false">IF(Tasks[[#This Row],[Task Name]]="","",IF(IF(Tasks[[#This Row],[_IsSummary]],COUNTIF(INDEX(Tasks[_LeafCritical],Tasks[[#This Row],[_Row]]+1):INDEX(Tasks[_LeafCritical],Tasks[[#This Row],[_Row]]+Tasks[[#This Row],[_Descendants]]),TRUE())&gt;0,Tasks[[#This Row],[_LeafCritical]]),"Yes",""))</f>
        <v/>
      </c>
      <c r="AQ65" s="63" t="str">
        <f aca="false">IF(Tasks[[#This Row],[Task Name]]="","",IF(N(Tasks[[#This Row],[Baseline Start]])&gt;0,Tasks[[#This Row],[Baseline Start]],Tasks[[#This Row],[_CalcStart]]))</f>
        <v/>
      </c>
      <c r="AR65" s="63" t="str">
        <f aca="false">IF(Tasks[[#This Row],[Task Name]]="","",IF(N(Tasks[[#This Row],[Baseline Finish]])&gt;0,Tasks[[#This Row],[Baseline Finish]],Tasks[[#This Row],[_CalcFinish]]))</f>
        <v/>
      </c>
      <c r="AS65" s="47" t="str">
        <f aca="false">IF(Tasks[[#This Row],[Task Name]]="","",IF(Tasks[[#This Row],[Start]]&gt;=Tasks[[#This Row],[Planned Start]],NETWORKDAYS.INTL(Tasks[[#This Row],[Planned Start]],Tasks[[#This Row],[Start]],WorkWeek,Holidays)-1,1-NETWORKDAYS.INTL(Tasks[[#This Row],[Start]],Tasks[[#This Row],[Planned Start]],WorkWeek,Holidays)))</f>
        <v/>
      </c>
      <c r="AT65" s="63" t="str">
        <f aca="false">IF(Tasks[[#This Row],[Task Name]]="","",IF(Tasks[[#This Row],[_IsSummary]],MIN(INDEX(Tasks[_LeafLateStart],Tasks[[#This Row],[_Row]]+1):INDEX(Tasks[_LeafLateStart],Tasks[[#This Row],[_Row]]+Tasks[[#This Row],[_Descendants]])),Tasks[[#This Row],[_LeafLateStart]]))</f>
        <v/>
      </c>
      <c r="AU65" s="63" t="str">
        <f aca="false">IF(Tasks[[#This Row],[Task Name]]="","",IF(Tasks[[#This Row],[_IsSummary]],MAX(INDEX(Tasks[_LeafLateFinish],Tasks[[#This Row],[_Row]]+1):INDEX(Tasks[_LeafLateFinish],Tasks[[#This Row],[_Row]]+Tasks[[#This Row],[_Descendants]])),Tasks[[#This Row],[_LeafLateFinish]]))</f>
        <v/>
      </c>
      <c r="AV65" s="47" t="str">
        <f aca="false">IF(Tasks[[#This Row],[Task Name]]="","",IF(Tasks[[#This Row],[_IsSummary]],MIN(INDEX(Tasks[_LeafTotalSlack],Tasks[[#This Row],[_Row]]+1):INDEX(Tasks[_LeafTotalSlack],Tasks[[#This Row],[_Row]]+Tasks[[#This Row],[_Descendants]])),Tasks[[#This Row],[_LeafTotalSlack]]))</f>
        <v/>
      </c>
      <c r="AW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5"/>
      <c r="BA6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1" t="str">
        <f aca="false">IF(Tasks[[#This Row],[Task Name]]="","",IF(Tasks[[#This Row],[_Level]]&lt;=OutlineShowLevel,"Yes","No"))</f>
        <v/>
      </c>
      <c r="BE65" s="86" t="str">
        <f aca="false">IF(Tasks[[#This Row],[Task Name]]="","",IF(Tasks[[#This Row],[_IsSummary]],SUM(INDEX(Tasks[_LeafTotalWork],Tasks[[#This Row],[_Row]]+1):INDEX(Tasks[_LeafTotalWork],Tasks[[#This Row],[_Row]]+Tasks[[#This Row],[_Descendants]])),Tasks[[#This Row],[_LeafTotalWork]]))</f>
        <v/>
      </c>
      <c r="BF65" s="23"/>
      <c r="BG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5" s="21" t="str">
        <f aca="false">""</f>
        <v/>
      </c>
      <c r="BI65" s="87"/>
      <c r="BJ65" s="22"/>
      <c r="BK65" s="47" t="str">
        <f aca="false">IF(OR(Tasks[[#This Row],[Task Name]]="",Tasks[[#This Row],[Baseline Duration]]=""),"",Tasks[[#This Row],[_SpanDays]]-N(Tasks[[#This Row],[Baseline Duration]]))</f>
        <v/>
      </c>
      <c r="BL65" s="86" t="str">
        <f aca="false">IF(OR(Tasks[[#This Row],[Task Name]]="",Tasks[[#This Row],[Baseline Work]]=""),"",Tasks[[#This Row],[Work]]-N(Tasks[[#This Row],[Baseline Work]]))</f>
        <v/>
      </c>
      <c r="BM65" s="63" t="str">
        <f aca="false">IF(Tasks[[#This Row],[Task Name]]="","",IF(OR(TakeBaseline="Yes",N(Tasks[[#This Row],[Baseline Start]])=0),Tasks[[#This Row],[Start]],Tasks[[#This Row],[Baseline Start]]))</f>
        <v/>
      </c>
      <c r="BN65" s="63" t="str">
        <f aca="false">IF(Tasks[[#This Row],[Task Name]]="","",IF(OR(TakeBaseline="Yes",N(Tasks[[#This Row],[Baseline Finish]])=0),Tasks[[#This Row],[Finish]],Tasks[[#This Row],[Baseline Finish]]))</f>
        <v/>
      </c>
      <c r="BO65" s="21" t="str">
        <f aca="false">IF(Tasks[[#This Row],[Task Name]]="","",IF(OR(TakeBaseline="Yes",N(Tasks[[#This Row],[Baseline Duration]])=0),Tasks[[#This Row],[_SpanDays]],Tasks[[#This Row],[Baseline Duration]]))</f>
        <v/>
      </c>
      <c r="BP65" s="86" t="str">
        <f aca="false">IF(Tasks[[#This Row],[Task Name]]="","",IF(OR(TakeBaseline="Yes",N(Tasks[[#This Row],[Baseline Work]])=0),Tasks[[#This Row],[Work]],Tasks[[#This Row],[Baseline Work]]))</f>
        <v/>
      </c>
      <c r="BQ65" s="7"/>
      <c r="BR65" s="7"/>
      <c r="BS65" s="22"/>
      <c r="BT65" s="88"/>
      <c r="BU65" s="23"/>
      <c r="BV65" s="23"/>
      <c r="BW65" s="23"/>
      <c r="BX65" s="89" t="str">
        <f aca="false">IF(AND(Tasks[[#This Row],[_IsLeaf]]=1,ISNUMBER(Tasks[[#This Row],[Optimistic]]),ISNUMBER(Tasks[[#This Row],[Pessimistic]])),ROUND((Tasks[[#This Row],[Optimistic]]+4*N(Tasks[[#This Row],[_Days]])+Tasks[[#This Row],[Pessimistic]])/6,1),"")</f>
        <v/>
      </c>
      <c r="BY65" s="87"/>
      <c r="BZ65" s="87"/>
      <c r="CA65" s="22"/>
      <c r="CB65" s="43" t="str">
        <f aca="false">IF(Tasks[[#This Row],[Task Name]]="","",MAX(1,N(Tasks[[#This Row],[Level]])))</f>
        <v/>
      </c>
      <c r="CC65" s="43" t="n">
        <f aca="false">ROW()-ROW(Tasks[[#Headers],[ID]])</f>
        <v>60</v>
      </c>
      <c r="CD65" s="43" t="n">
        <f aca="false">IF(OR(Tasks[[#This Row],[Task Name]]="",Tasks[[#This Row],[_Level]]&lt;=1),0,IFERROR(LOOKUP(2,1/(Tasks[[#Headers],[_Level]]:Tasks[[#This Row],[_Level]]=Tasks[[#This Row],[_Level]]-1),ROW(Tasks[[#Headers],[_Level]]:Tasks[[#This Row],[_Level]])),0))</f>
        <v>0</v>
      </c>
      <c r="CE65" s="43" t="n">
        <f aca="false">IFERROR(N(INDEX(Tasks[_Level],Tasks[[#This Row],[_Row]]+1)),0)</f>
        <v>0</v>
      </c>
      <c r="CF65" s="90" t="b">
        <f aca="false">AND(Tasks[[#This Row],[Task Name]]&lt;&gt;"",Tasks[[#This Row],[_NextLevel]]&gt;Tasks[[#This Row],[_Level]])</f>
        <v>0</v>
      </c>
      <c r="CG65" s="43" t="n">
        <f aca="false">IF(Tasks[[#This Row],[_IsSummary]],COUNTIF(Tasks[WBS],Tasks[[#This Row],[WBS]]&amp;".*"),0)</f>
        <v>0</v>
      </c>
      <c r="CH65" s="43" t="n">
        <f aca="false">IF(AND(Tasks[[#This Row],[Task Name]]&lt;&gt;"",NOT(Tasks[[#This Row],[_IsSummary]])),1,0)</f>
        <v>0</v>
      </c>
      <c r="CI65" s="43" t="n">
        <f aca="false">IF(N(Tasks[[#This Row],[_Pred1UID]])=0,0,IFERROR(MATCH(Tasks[[#This Row],[_Pred1UID]],Tasks[UID],0),-1))</f>
        <v>0</v>
      </c>
      <c r="CJ65" s="43" t="n">
        <f aca="false">IF(N(Tasks[[#This Row],[_Pred2UID]])=0,0,IFERROR(MATCH(Tasks[[#This Row],[_Pred2UID]],Tasks[UID],0),-1))</f>
        <v>0</v>
      </c>
      <c r="CK65" s="43" t="n">
        <f aca="false">IF(N(Tasks[[#This Row],[_Pred3UID]])=0,0,IFERROR(MATCH(Tasks[[#This Row],[_Pred3UID]],Tasks[UID],0),-1))</f>
        <v>0</v>
      </c>
      <c r="CL65" s="43" t="n">
        <f aca="false">IF(N(Tasks[[#This Row],[_Pred4UID]])=0,0,IFERROR(MATCH(Tasks[[#This Row],[_Pred4UID]],Tasks[UID],0),-1))</f>
        <v>0</v>
      </c>
      <c r="CM6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5" s="91" t="n">
        <f aca="false">IF(OR(Tasks[[#This Row],[_ConstraintCode]]=2,Tasks[[#This Row],[_ConstraintCode]]=3,Tasks[[#This Row],[_ConstraintCode]]=4,Tasks[[#This Row],[_ConstraintCode]]=6),Tasks[[#This Row],[_ConstraintStart]],0)</f>
        <v>0</v>
      </c>
      <c r="CP65" s="91" t="n">
        <f aca="false">IF(OR(Tasks[[#This Row],[_ConstraintCode]]=2,Tasks[[#This Row],[_ConstraintCode]]=3,Tasks[[#This Row],[_ConstraintCode]]=5,Tasks[[#This Row],[_ConstraintCode]]=7),Tasks[[#This Row],[_ConstraintStart]],2958465)</f>
        <v>2958465</v>
      </c>
      <c r="CQ6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5" s="91" t="str">
        <f aca="false">IF(NOT(Tasks[[#This Row],[_IsLeaf]]=1),"",IF(N(Tasks[[#This Row],[_Days]])&lt;=0,Tasks[[#This Row],[_LeafCalcStart]],WORKDAY.INTL(Tasks[[#This Row],[_LeafCalcStart]],Tasks[[#This Row],[_Days]]-1,WorkWeek,Holidays)))</f>
        <v/>
      </c>
      <c r="CS6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5" s="43" t="str">
        <f aca="false">IF(Tasks[[#This Row],[_Predecessors]]="","",TRIM(MID(SUBSTITUTE(SUBSTITUTE(SUBSTITUTE(UPPER(Tasks[[#This Row],[_Predecessors]]),";",",")," ",""),",",REPT(" ",99)),1,99)))</f>
        <v/>
      </c>
      <c r="CV65" s="43" t="str">
        <f aca="false">IF(Tasks[[#This Row],[_Pred1Text]]="","",IFERROR(VALUE(LEFT(Tasks[[#This Row],[_Pred1Text]],MIN(FIND("F",Tasks[[#This Row],[_Pred1Text]]&amp;"F"),FIND("S",Tasks[[#This Row],[_Pred1Text]]&amp;"S"),FIND("+",Tasks[[#This Row],[_Pred1Text]]&amp;"+"),FIND("-",Tasks[[#This Row],[_Pred1Text]]&amp;"-"))-1)),""))</f>
        <v/>
      </c>
      <c r="CW6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5" s="43" t="str">
        <f aca="false">IF(Tasks[[#This Row],[_Pred1Text]]="","",TRIM(MID(SUBSTITUTE(SUBSTITUTE(SUBSTITUTE(UPPER(Tasks[[#This Row],[_Predecessors]]),";",",")," ",""),",",REPT(" ",99)),100,99)))</f>
        <v/>
      </c>
      <c r="CZ65" s="43" t="str">
        <f aca="false">IF(Tasks[[#This Row],[_Pred2Text]]="","",IFERROR(VALUE(LEFT(Tasks[[#This Row],[_Pred2Text]],MIN(FIND("F",Tasks[[#This Row],[_Pred2Text]]&amp;"F"),FIND("S",Tasks[[#This Row],[_Pred2Text]]&amp;"S"),FIND("+",Tasks[[#This Row],[_Pred2Text]]&amp;"+"),FIND("-",Tasks[[#This Row],[_Pred2Text]]&amp;"-"))-1)),""))</f>
        <v/>
      </c>
      <c r="DA6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5" s="43" t="str">
        <f aca="false">IF(Tasks[[#This Row],[_Pred2Text]]="","",TRIM(MID(SUBSTITUTE(SUBSTITUTE(SUBSTITUTE(UPPER(Tasks[[#This Row],[_Predecessors]]),";",",")," ",""),",",REPT(" ",99)),199,99)))</f>
        <v/>
      </c>
      <c r="DD65" s="43" t="str">
        <f aca="false">IF(Tasks[[#This Row],[_Pred3Text]]="","",IFERROR(VALUE(LEFT(Tasks[[#This Row],[_Pred3Text]],MIN(FIND("F",Tasks[[#This Row],[_Pred3Text]]&amp;"F"),FIND("S",Tasks[[#This Row],[_Pred3Text]]&amp;"S"),FIND("+",Tasks[[#This Row],[_Pred3Text]]&amp;"+"),FIND("-",Tasks[[#This Row],[_Pred3Text]]&amp;"-"))-1)),""))</f>
        <v/>
      </c>
      <c r="DE6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5" s="43" t="str">
        <f aca="false">IF(Tasks[[#This Row],[_Pred3Text]]="","",TRIM(MID(SUBSTITUTE(SUBSTITUTE(SUBSTITUTE(UPPER(Tasks[[#This Row],[_Predecessors]]),";",",")," ",""),",",REPT(" ",99)),298,99)))</f>
        <v/>
      </c>
      <c r="DH65" s="43" t="str">
        <f aca="false">IF(Tasks[[#This Row],[_Pred4Text]]="","",IFERROR(VALUE(LEFT(Tasks[[#This Row],[_Pred4Text]],MIN(FIND("F",Tasks[[#This Row],[_Pred4Text]]&amp;"F"),FIND("S",Tasks[[#This Row],[_Pred4Text]]&amp;"S"),FIND("+",Tasks[[#This Row],[_Pred4Text]]&amp;"+"),FIND("-",Tasks[[#This Row],[_Pred4Text]]&amp;"-"))-1)),""))</f>
        <v/>
      </c>
      <c r="DI6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5" s="43" t="str">
        <f aca="false">IF(OR(Tasks[[#This Row],[Task Name]]="",Tasks[[#This Row],[_Resources]]=""),"",TRIM(MID(SUBSTITUTE(Tasks[[#This Row],[_Resources]],",",REPT(" ",99)),1,99)))</f>
        <v/>
      </c>
      <c r="DL65" s="43" t="str">
        <f aca="false">IF(Tasks[[#This Row],[_Res1Text]]="","",TRIM(MID(SUBSTITUTE(Tasks[[#This Row],[_Resources]],",",REPT(" ",99)),100,99)))</f>
        <v/>
      </c>
      <c r="DM65" s="43" t="str">
        <f aca="false">IF(Tasks[[#This Row],[_Res2Text]]="","",TRIM(MID(SUBSTITUTE(Tasks[[#This Row],[_Resources]],",",REPT(" ",99)),199,99)))</f>
        <v/>
      </c>
      <c r="DN65" s="43" t="str">
        <f aca="false">IF(Tasks[[#This Row],[_Res3Text]]="","",TRIM(MID(SUBSTITUTE(Tasks[[#This Row],[_Resources]],",",REPT(" ",99)),298,99)))</f>
        <v/>
      </c>
      <c r="DO65" s="43" t="n">
        <f aca="false">IF(Tasks[[#This Row],[_Res1Text]]="",0,IFERROR(MATCH(TRIM(LEFT(Tasks[[#This Row],[_Res1Text]],FIND("[",Tasks[[#This Row],[_Res1Text]]&amp;"[")-1)),res_Name,0),IFERROR(MATCH(TRIM(LEFT(Tasks[[#This Row],[_Res1Text]],FIND("[",Tasks[[#This Row],[_Res1Text]]&amp;"[")-1)),res_Initials,0),0)))</f>
        <v>0</v>
      </c>
      <c r="DP65" s="43" t="n">
        <f aca="false">IF(Tasks[[#This Row],[_Res2Text]]="",0,IFERROR(MATCH(TRIM(LEFT(Tasks[[#This Row],[_Res2Text]],FIND("[",Tasks[[#This Row],[_Res2Text]]&amp;"[")-1)),res_Name,0),IFERROR(MATCH(TRIM(LEFT(Tasks[[#This Row],[_Res2Text]],FIND("[",Tasks[[#This Row],[_Res2Text]]&amp;"[")-1)),res_Initials,0),0)))</f>
        <v>0</v>
      </c>
      <c r="DQ65" s="43" t="n">
        <f aca="false">IF(Tasks[[#This Row],[_Res3Text]]="",0,IFERROR(MATCH(TRIM(LEFT(Tasks[[#This Row],[_Res3Text]],FIND("[",Tasks[[#This Row],[_Res3Text]]&amp;"[")-1)),res_Name,0),IFERROR(MATCH(TRIM(LEFT(Tasks[[#This Row],[_Res3Text]],FIND("[",Tasks[[#This Row],[_Res3Text]]&amp;"[")-1)),res_Initials,0),0)))</f>
        <v>0</v>
      </c>
      <c r="DR65" s="43" t="n">
        <f aca="false">IF(Tasks[[#This Row],[_Res4Text]]="",0,IFERROR(MATCH(TRIM(LEFT(Tasks[[#This Row],[_Res4Text]],FIND("[",Tasks[[#This Row],[_Res4Text]]&amp;"[")-1)),res_Name,0),IFERROR(MATCH(TRIM(LEFT(Tasks[[#This Row],[_Res4Text]],FIND("[",Tasks[[#This Row],[_Res4Text]]&amp;"[")-1)),res_Initials,0),0)))</f>
        <v>0</v>
      </c>
      <c r="DS65" s="43" t="str">
        <f aca="false">IF(Tasks[[#This Row],[_Res1Text]]="","",IF(Tasks[[#This Row],[_Res1Row]]&gt;0,INDEX(res_Name,Tasks[[#This Row],[_Res1Row]]),TRIM(LEFT(Tasks[[#This Row],[_Res1Text]],FIND("[",Tasks[[#This Row],[_Res1Text]]&amp;"[")-1))))</f>
        <v/>
      </c>
      <c r="DT6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5" s="43" t="n">
        <f aca="false">IF(NOT(Tasks[[#This Row],[_IsLeaf]]=1),0,(Tasks[[#This Row],[_Resource1]]&lt;&gt;"")+(Tasks[[#This Row],[_Res2]]&lt;&gt;"")+(Tasks[[#This Row],[_Res3]]&lt;&gt;"")+(Tasks[[#This Row],[_Res4]]&lt;&gt;""))</f>
        <v>0</v>
      </c>
      <c r="DV65" s="43" t="str">
        <f aca="false">IF(Tasks[[#This Row],[_Res2Text]]="","",IF(Tasks[[#This Row],[_Res2Row]]&gt;0,INDEX(res_Name,Tasks[[#This Row],[_Res2Row]]),TRIM(LEFT(Tasks[[#This Row],[_Res2Text]],FIND("[",Tasks[[#This Row],[_Res2Text]]&amp;"[")-1))))</f>
        <v/>
      </c>
      <c r="DW6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5" s="43" t="n">
        <f aca="false">IF(OR(NOT(Tasks[[#This Row],[_IsLeaf]]=1),Tasks[[#This Row],[_Res2Row]]=0),0,N(Tasks[[#This Row],[_Days]])*HoursPerDay*IF(Tasks[[#This Row],[_Res2Units]]="",DefaultUnits,Tasks[[#This Row],[_Res2Units]]))</f>
        <v>0</v>
      </c>
      <c r="DY65" s="43" t="n">
        <f aca="false">IF(AND(AND(Tasks[[#This Row],[_IsLeaf]]=1,Tasks[[#This Row],[_LeafTotalWork]]&gt;0),Tasks[[#This Row],[_Res2Work]]&gt;0),Tasks[[#This Row],[_Res2Work]]/(Tasks[[#This Row],[_FinishWorkday]]-Tasks[[#This Row],[_StartWorkday]]+1),0)</f>
        <v>0</v>
      </c>
      <c r="DZ65" s="43" t="n">
        <f aca="false">Tasks[[#This Row],[_Res2WorkPerWD]]*MAX(0,Tasks[[#This Row],[_StartWorkday]]-1)</f>
        <v>0</v>
      </c>
      <c r="EA65" s="43" t="n">
        <f aca="false">Tasks[[#This Row],[_Res2Work]]*Tasks[[#This Row],[_LeafProgress]]</f>
        <v>0</v>
      </c>
      <c r="EB65" s="43" t="str">
        <f aca="false">IF(Tasks[[#This Row],[_Res3Text]]="","",IF(Tasks[[#This Row],[_Res3Row]]&gt;0,INDEX(res_Name,Tasks[[#This Row],[_Res3Row]]),TRIM(LEFT(Tasks[[#This Row],[_Res3Text]],FIND("[",Tasks[[#This Row],[_Res3Text]]&amp;"[")-1))))</f>
        <v/>
      </c>
      <c r="EC6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5" s="43" t="n">
        <f aca="false">IF(OR(NOT(Tasks[[#This Row],[_IsLeaf]]=1),Tasks[[#This Row],[_Res3Row]]=0),0,N(Tasks[[#This Row],[_Days]])*HoursPerDay*IF(Tasks[[#This Row],[_Res3Units]]="",DefaultUnits,Tasks[[#This Row],[_Res3Units]]))</f>
        <v>0</v>
      </c>
      <c r="EE65" s="43" t="n">
        <f aca="false">IF(AND(AND(Tasks[[#This Row],[_IsLeaf]]=1,Tasks[[#This Row],[_LeafTotalWork]]&gt;0),Tasks[[#This Row],[_Res3Work]]&gt;0),Tasks[[#This Row],[_Res3Work]]/(Tasks[[#This Row],[_FinishWorkday]]-Tasks[[#This Row],[_StartWorkday]]+1),0)</f>
        <v>0</v>
      </c>
      <c r="EF65" s="43" t="n">
        <f aca="false">Tasks[[#This Row],[_Res3WorkPerWD]]*MAX(0,Tasks[[#This Row],[_StartWorkday]]-1)</f>
        <v>0</v>
      </c>
      <c r="EG65" s="43" t="n">
        <f aca="false">Tasks[[#This Row],[_Res3Work]]*Tasks[[#This Row],[_LeafProgress]]</f>
        <v>0</v>
      </c>
      <c r="EH65" s="43" t="str">
        <f aca="false">IF(Tasks[[#This Row],[_Res4Text]]="","",IF(Tasks[[#This Row],[_Res4Row]]&gt;0,INDEX(res_Name,Tasks[[#This Row],[_Res4Row]]),TRIM(LEFT(Tasks[[#This Row],[_Res4Text]],FIND("[",Tasks[[#This Row],[_Res4Text]]&amp;"[")-1))))</f>
        <v/>
      </c>
      <c r="EI6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5" s="43" t="n">
        <f aca="false">IF(OR(NOT(Tasks[[#This Row],[_IsLeaf]]=1),Tasks[[#This Row],[_Res4Row]]=0),0,N(Tasks[[#This Row],[_Days]])*HoursPerDay*IF(Tasks[[#This Row],[_Res4Units]]="",DefaultUnits,Tasks[[#This Row],[_Res4Units]]))</f>
        <v>0</v>
      </c>
      <c r="EK65" s="43" t="n">
        <f aca="false">IF(AND(AND(Tasks[[#This Row],[_IsLeaf]]=1,Tasks[[#This Row],[_LeafTotalWork]]&gt;0),Tasks[[#This Row],[_Res4Work]]&gt;0),Tasks[[#This Row],[_Res4Work]]/(Tasks[[#This Row],[_FinishWorkday]]-Tasks[[#This Row],[_StartWorkday]]+1),0)</f>
        <v>0</v>
      </c>
      <c r="EL65" s="43" t="n">
        <f aca="false">Tasks[[#This Row],[_Res4WorkPerWD]]*MAX(0,Tasks[[#This Row],[_StartWorkday]]-1)</f>
        <v>0</v>
      </c>
      <c r="EM65" s="43" t="n">
        <f aca="false">Tasks[[#This Row],[_Res4Work]]*Tasks[[#This Row],[_LeafProgress]]</f>
        <v>0</v>
      </c>
      <c r="EN65" s="43" t="n">
        <f aca="false">IF(ISNUMBER(Tasks[[#This Row],[% Complete]]),Tasks[[#This Row],[% Complete]],IF(Tasks[[#This Row],[Stage]]="",0,IFERROR(INDEX(stg_Pct,MATCH(Tasks[[#This Row],[Stage]],stg_Name,0)),0)))</f>
        <v>0</v>
      </c>
      <c r="EO65" s="43" t="n">
        <f aca="false">IF(NOT(Tasks[[#This Row],[_IsLeaf]]=1),0,IF(N(Tasks[[#This Row],[Actual Finish]])&gt;0,1,MIN(1,Tasks[[#This Row],[_Pct]])))</f>
        <v>0</v>
      </c>
      <c r="EP65" s="43" t="n">
        <f aca="false">IF(OR(NOT(Tasks[[#This Row],[_IsLeaf]]=1),Tasks[[#This Row],[_Res1Row]]=0),0,N(Tasks[[#This Row],[_Days]])*HoursPerDay*IF(Tasks[[#This Row],[_Units1]]="",DefaultUnits,Tasks[[#This Row],[_Units1]]))</f>
        <v>0</v>
      </c>
      <c r="EQ65" s="43" t="n">
        <f aca="false">Tasks[[#This Row],[_LeafWork]]+Tasks[[#This Row],[_Res2Work]]+Tasks[[#This Row],[_Res3Work]]+Tasks[[#This Row],[_Res4Work]]</f>
        <v>0</v>
      </c>
      <c r="ER6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5" s="43" t="n">
        <f aca="false">IF(NOT(Tasks[[#This Row],[_IsLeaf]]=1),0,MAX(_xlfn.MAXIFS(Tasks[_Row],Tasks[_Pred1UID],Tasks[[#This Row],[UID]]),_xlfn.MAXIFS(Tasks[_Row],Tasks[_Pred2UID],Tasks[[#This Row],[UID]]),_xlfn.MAXIFS(Tasks[_Row],Tasks[_Pred3UID],Tasks[[#This Row],[UID]]),_xlfn.MAXIFS(Tasks[_Row],Tasks[_Pred4UID],Tasks[[#This Row],[UID]])))</f>
        <v>0</v>
      </c>
      <c r="FA6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5" s="91" t="str">
        <f aca="false">IF(NOT(Tasks[[#This Row],[_IsLeaf]]=1),"",IF(N(Tasks[[#This Row],[_Days]])&lt;=0,Tasks[[#This Row],[_LeafLateFinish]],WORKDAY.INTL(Tasks[[#This Row],[_LeafLateFinish]],-(Tasks[[#This Row],[_Days]]-1),WorkWeek,Holidays)))</f>
        <v/>
      </c>
      <c r="FD6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5" s="90" t="b">
        <f aca="false">AND(Tasks[[#This Row],[_IsLeaf]]=1,Tasks[[#This Row],[_LeafProgress]]&lt;1,N(Tasks[[#This Row],[_LeafTotalSlack]])&lt;=CriticalSlackDays)</f>
        <v>0</v>
      </c>
      <c r="FF65" s="43" t="n">
        <f aca="false">IF(AND(Tasks[[#This Row],[_IsLeaf]]=1,Tasks[[#This Row],[_ConstraintCode]]=1,Tasks[[#This Row],[Mode]]&lt;&gt;"Manual",N(Tasks[[#This Row],[Actual Start]])=0),MAX(0,N(Tasks[[#This Row],[Free Slack]])),0)</f>
        <v>0</v>
      </c>
      <c r="FG65" s="91" t="str">
        <f aca="false">IF(NOT(Tasks[[#This Row],[_IsLeaf]]=1),"",IF(Tasks[[#This Row],[_AlapShift]]=0,Tasks[[#This Row],[_LeafCalcStart]],WORKDAY.INTL(Tasks[[#This Row],[_LeafCalcStart]],Tasks[[#This Row],[_AlapShift]],WorkWeek,Holidays)))</f>
        <v/>
      </c>
      <c r="FH65" s="91" t="str">
        <f aca="false">IF(NOT(Tasks[[#This Row],[_IsLeaf]]=1),"",IF(Tasks[[#This Row],[_AlapShift]]=0,Tasks[[#This Row],[_LeafCalcFinish]],WORKDAY.INTL(Tasks[[#This Row],[_LeafCalcFinish]],Tasks[[#This Row],[_AlapShift]],WorkWeek,Holidays)))</f>
        <v/>
      </c>
      <c r="FI65" s="91" t="str">
        <f aca="false">IF(NOT(Tasks[[#This Row],[_IsLeaf]]=1),"",IF(Tasks[[#This Row],[_AlapShift]]=0,Tasks[[#This Row],[_LeafFcstStart]],WORKDAY.INTL(Tasks[[#This Row],[_LeafFcstStart]],Tasks[[#This Row],[_AlapShift]],WorkWeek,Holidays)))</f>
        <v/>
      </c>
      <c r="FJ65" s="91" t="str">
        <f aca="false">IF(NOT(Tasks[[#This Row],[_IsLeaf]]=1),"",IF(Tasks[[#This Row],[_AlapShift]]=0,Tasks[[#This Row],[_LeafFcstFinish]],WORKDAY.INTL(Tasks[[#This Row],[_LeafFcstFinish]],Tasks[[#This Row],[_AlapShift]],WorkWeek,Holidays)))</f>
        <v/>
      </c>
      <c r="FK65" s="91" t="str">
        <f aca="false">IF(Tasks[[#This Row],[Task Name]]="","",IF(Tasks[[#This Row],[_IsSummary]],MIN(INDEX(Tasks[_ShownCalcStart],Tasks[[#This Row],[_Row]]+1):INDEX(Tasks[_ShownCalcStart],Tasks[[#This Row],[_Row]]+Tasks[[#This Row],[_Descendants]])),Tasks[[#This Row],[_ShownCalcStart]]))</f>
        <v/>
      </c>
      <c r="FL65" s="91" t="str">
        <f aca="false">IF(Tasks[[#This Row],[Task Name]]="","",IF(Tasks[[#This Row],[_IsSummary]],MAX(INDEX(Tasks[_ShownCalcFinish],Tasks[[#This Row],[_Row]]+1):INDEX(Tasks[_ShownCalcFinish],Tasks[[#This Row],[_Row]]+Tasks[[#This Row],[_Descendants]])),Tasks[[#This Row],[_ShownCalcFinish]]))</f>
        <v/>
      </c>
      <c r="FM6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5" s="43" t="n">
        <f aca="false">IF(AND(Tasks[[#This Row],[_IsLeaf]]=1,Tasks[[#This Row],[_LeafTotalWork]]&gt;0),NETWORKDAYS.INTL(ProjectStart,Tasks[[#This Row],[_ShownFcstStart]],WorkWeek,Holidays),0)</f>
        <v>0</v>
      </c>
      <c r="FZ65" s="43" t="n">
        <f aca="false">IF(AND(Tasks[[#This Row],[_IsLeaf]]=1,Tasks[[#This Row],[_LeafTotalWork]]&gt;0),MAX(Tasks[[#This Row],[_StartWorkday]],NETWORKDAYS.INTL(ProjectStart,Tasks[[#This Row],[_ShownFcstFinish]],WorkWeek,Holidays)),0)</f>
        <v>0</v>
      </c>
      <c r="GA65" s="43" t="n">
        <f aca="false">IF(AND(Tasks[[#This Row],[_IsLeaf]]=1,Tasks[[#This Row],[_LeafTotalWork]]&gt;0),Tasks[[#This Row],[_LeafWork]]/(Tasks[[#This Row],[_FinishWorkday]]-Tasks[[#This Row],[_StartWorkday]]+1),0)</f>
        <v>0</v>
      </c>
      <c r="GB65" s="43" t="n">
        <f aca="false">Tasks[[#This Row],[_WorkPerWorkday]]*(Tasks[[#This Row],[_StartWorkday]]-1)</f>
        <v>-0</v>
      </c>
      <c r="GC65" s="43" t="n">
        <f aca="false">IF(Tasks[[#This Row],[_IsLeaf]]=1,MAX(N(Tasks[[#This Row],[_Days]]),0.1),0)</f>
        <v>0</v>
      </c>
      <c r="GD65" s="43" t="n">
        <f aca="false">Tasks[[#This Row],[_WeightDur]]*Tasks[[#This Row],[_LeafProgress]]</f>
        <v>0</v>
      </c>
      <c r="GE65" s="43" t="n">
        <f aca="false">Tasks[[#This Row],[_WeightDur]]*Tasks[[#This Row],[_PlannedPct]]</f>
        <v>0</v>
      </c>
      <c r="GF6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5" s="43" t="str">
        <f aca="false">IF(AND(Tasks[[#This Row],[_IsLeaf]]=1,N(Tasks[[#This Row],[_Days]])=0,Tasks[[#This Row],[_LeafProgress]]&lt;1),Tasks[[#This Row],[_ShownFcstFinish]]+Tasks[[#This Row],[_Row]]/100000,"")</f>
        <v/>
      </c>
      <c r="GH6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5" s="43" t="str">
        <f aca="false">IF(Tasks[[#This Row],[Task Name]]="","",LEFT(Tasks[[#This Row],[WBS]],FIND(".",Tasks[[#This Row],[WBS]]&amp;".")-1))</f>
        <v/>
      </c>
      <c r="GJ65" s="43" t="str">
        <f aca="false">IF(AND(Tasks[[#This Row],[Task Name]]&lt;&gt;"",Tasks[[#This Row],[_Level]]=1),Tasks[[#This Row],[_Row]],"")</f>
        <v/>
      </c>
      <c r="GK65" s="43" t="str">
        <f aca="false">IF(AND(Tasks[[#This Row],[_IsLeaf]]=1,N(Tasks[[#This Row],[_Days]])=0),Tasks[[#This Row],[Planned Finish]]+Tasks[[#This Row],[_Row]]/100000,"")</f>
        <v/>
      </c>
      <c r="GL65" s="43" t="str">
        <f aca="false">IF(AND(Tasks[[#This Row],[_IsLeaf]]=1,Tasks[[#This Row],[_LeafProgress]]&lt;1,OR(N(Tasks[[#This Row],[Finish Var]])&gt;0,Tasks[[#This Row],[Status]]="Late Start")),MAX(0,Tasks[[#This Row],[Finish Var]])+1-Tasks[[#This Row],[_Row]]/1000000,"")</f>
        <v/>
      </c>
      <c r="GM65" s="43" t="str">
        <f aca="false">IF(AND(Tasks[[#This Row],[_IsLeaf]]=1,N(Tasks[[#This Row],[Actual Start]])=0,Tasks[[#This Row],[_ShownFcstStart]]&gt;=StatusDate,Tasks[[#This Row],[_ShownFcstStart]]&lt;=LookaheadEnd),Tasks[[#This Row],[_ShownFcstStart]]+Tasks[[#This Row],[_Row]]/100000,"")</f>
        <v/>
      </c>
      <c r="GN65" s="43" t="str">
        <f aca="false">IF(AND(Tasks[[#This Row],[_IsLeaf]]=1,Tasks[[#This Row],[_LeafProgress]]&lt;1,Tasks[[#This Row],[_ShownFcstFinish]]&gt;=StatusDate,Tasks[[#This Row],[_ShownFcstFinish]]&lt;=LookaheadEnd),Tasks[[#This Row],[_ShownFcstFinish]]+Tasks[[#This Row],[_Row]]/100000,"")</f>
        <v/>
      </c>
      <c r="GO65" s="43" t="str">
        <f aca="false">IF(Tasks[[#This Row],[_LeafCritical]],Tasks[[#This Row],[_ShownFcstStart]]+Tasks[[#This Row],[_Row]]/100000,"")</f>
        <v/>
      </c>
      <c r="GP65" s="43" t="n">
        <f aca="false">Tasks[[#This Row],[_LeafWork]]*Tasks[[#This Row],[_LeafProgress]]</f>
        <v>0</v>
      </c>
      <c r="GQ65" s="91" t="str">
        <f aca="false">IF(AND(Tasks[[#This Row],[_IsLeaf]]=1,Tasks[[#This Row],[_LeafProgress]]&gt;=1),IF(N(Tasks[[#This Row],[Actual Finish]])&gt;0,Tasks[[#This Row],[Actual Finish]],Tasks[[#This Row],[_ShownFcstFinish]]),"")</f>
        <v/>
      </c>
      <c r="GR65" s="43" t="n">
        <f aca="false">IF(Tasks[[#This Row],[_IsLeaf]]=1,N(Tasks[[#This Row],[Story Points]]),0)</f>
        <v>0</v>
      </c>
      <c r="GS65" s="43" t="str">
        <f aca="false">""</f>
        <v/>
      </c>
      <c r="GT65" s="90" t="b">
        <f aca="false">IF(Tasks[[#This Row],[Task Name]]="",FALSE(),AND(Tasks[[#This Row],[_IsLeaf]]=1,N(Tasks[[#This Row],[_Days]])=0))</f>
        <v>0</v>
      </c>
      <c r="GU65" s="91" t="n">
        <f aca="false">IF(Tasks[[#This Row],[Task Name]]="",0,IF(AND(Tasks[[#This Row],[_IsLeaf]]=1,NOT(Tasks[[#This Row],[_IsMilestone]]),N(Tasks[[#This Row],[Progress]])&gt;0),Tasks[[#This Row],[Start]],0))</f>
        <v>0</v>
      </c>
      <c r="GV65" s="91" t="n">
        <f aca="false">IF(Tasks[[#This Row],[_DoneFrom]]=0,0,IF(Tasks[[#This Row],[Progress]]&gt;=1,Tasks[[#This Row],[Finish]],MAX(Tasks[[#This Row],[_DoneFrom]],Tasks[[#This Row],[Start]]+ROUND((Tasks[[#This Row],[Finish]]-Tasks[[#This Row],[Start]]+1)*Tasks[[#This Row],[Progress]],0)-1)))</f>
        <v>0</v>
      </c>
      <c r="GW65" s="91" t="n">
        <f aca="false">IF(Tasks[[#This Row],[Task Name]]="",0,IF(OR(NOT(Tasks[[#This Row],[_IsLeaf]]=1),Tasks[[#This Row],[_IsMilestone]],N(Tasks[[#This Row],[Progress]])&gt;=1),0,IF(Tasks[[#This Row],[_DoneTo]]&gt;0,Tasks[[#This Row],[_DoneTo]]+1,Tasks[[#This Row],[Start]])))</f>
        <v>0</v>
      </c>
      <c r="GX65" s="91" t="n">
        <f aca="false">IF(Tasks[[#This Row],[_RemFrom]]=0,0,Tasks[[#This Row],[Finish]])</f>
        <v>0</v>
      </c>
      <c r="GY65" s="90" t="b">
        <f aca="false">IF(Tasks[[#This Row],[Task Name]]="",FALSE(),OR(NOT(BaselineSet),N(Tasks[[#This Row],[Baseline Start]])&gt;0))</f>
        <v>0</v>
      </c>
      <c r="GZ6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5" s="92" t="str">
        <f aca="false">IF(Tasks[[#This Row],[_IsLeaf]]=1,Tasks[[#This Row],[_Row]],"")</f>
        <v/>
      </c>
      <c r="HD65" s="92" t="str">
        <f aca="false">IFERROR(INDEX(Tasks[UID],SMALL(Tasks[_PickKey],Tasks[[#This Row],[_Row]]))&amp;" "&amp;INDEX(Tasks[Task Name],SMALL(Tasks[_PickKey],Tasks[[#This Row],[_Row]])),"")</f>
        <v/>
      </c>
      <c r="HE65" s="43" t="str">
        <f aca="false">IF(Tasks[[#This Row],[Task Name]]="","",IF(Tasks[[#This Row],[_IsSummary]],NETWORKDAYS.INTL(Tasks[[#This Row],[Start]],Tasks[[#This Row],[Finish]],WorkWeek,Holidays),N(Tasks[[#This Row],[_Days]])))</f>
        <v/>
      </c>
      <c r="HF65" s="43" t="n">
        <f aca="false">IF(Tasks[[#This Row],[Expected]]="",0,((Tasks[[#This Row],[Pessimistic]]-Tasks[[#This Row],[Optimistic]])/6)^2)</f>
        <v>0</v>
      </c>
      <c r="HG65" s="43" t="n">
        <f aca="false">IF(Tasks[[#This Row],[Expected]]="",0,Tasks[[#This Row],[Expected]]-N(Tasks[[#This Row],[_Days]]))</f>
        <v>0</v>
      </c>
    </row>
    <row r="66" customFormat="false" ht="15" hidden="false" customHeight="false" outlineLevel="0" collapsed="false">
      <c r="A66" s="21" t="str">
        <f aca="false">IF(Tasks[[#This Row],[Task Name]]="","",COUNTA(Tasks[[#Headers],[Task Name]]:Tasks[[#This Row],[Task Name]])-1)</f>
        <v/>
      </c>
      <c r="B66" s="22" t="n">
        <v>74</v>
      </c>
      <c r="C66" s="22"/>
      <c r="D66" s="23"/>
      <c r="E66" s="22"/>
      <c r="F66" s="23"/>
      <c r="G66" s="22"/>
      <c r="H66" s="22"/>
      <c r="I66" s="23"/>
      <c r="J66" s="22"/>
      <c r="K66" s="22"/>
      <c r="L66" s="23"/>
      <c r="M66" s="22"/>
      <c r="N66" s="22"/>
      <c r="O66" s="23"/>
      <c r="P66" s="22"/>
      <c r="Q66" s="22"/>
      <c r="R66" s="23"/>
      <c r="S66" s="23"/>
      <c r="T66" s="84"/>
      <c r="U66" s="23"/>
      <c r="V66" s="84"/>
      <c r="W66" s="23"/>
      <c r="X66" s="84"/>
      <c r="Y66" s="23"/>
      <c r="Z66" s="84"/>
      <c r="AA66" s="23"/>
      <c r="AB66" s="23"/>
      <c r="AC66" s="7"/>
      <c r="AD66" s="7"/>
      <c r="AE66" s="63" t="str">
        <f aca="false">IF(Tasks[[#This Row],[Task Name]]="","",IF(Tasks[[#This Row],[_IsSummary]],MIN(INDEX(Tasks[_ShownFcstStart],Tasks[[#This Row],[_Row]]+1):INDEX(Tasks[_ShownFcstStart],Tasks[[#This Row],[_Row]]+Tasks[[#This Row],[_Descendants]])),Tasks[[#This Row],[_ShownFcstStart]]))</f>
        <v/>
      </c>
      <c r="AF66" s="63" t="str">
        <f aca="false">IF(Tasks[[#This Row],[Task Name]]="","",IF(Tasks[[#This Row],[_IsSummary]],MAX(INDEX(Tasks[_ShownFcstFinish],Tasks[[#This Row],[_Row]]+1):INDEX(Tasks[_ShownFcstFinish],Tasks[[#This Row],[_Row]]+Tasks[[#This Row],[_Descendants]])),Tasks[[#This Row],[_ShownFcstFinish]]))</f>
        <v/>
      </c>
      <c r="AG66" s="21" t="str">
        <f aca="false">""</f>
        <v/>
      </c>
      <c r="AH66" s="23"/>
      <c r="AI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6" s="7"/>
      <c r="AK66" s="22"/>
      <c r="AL66" s="23"/>
      <c r="AM66" s="7"/>
      <c r="AN66" s="47" t="str">
        <f aca="false">IF(Tasks[[#This Row],[Task Name]]="","",IF(Tasks[[#This Row],[Finish]]&gt;=Tasks[[#This Row],[Planned Finish]],NETWORKDAYS.INTL(Tasks[[#This Row],[Planned Finish]],Tasks[[#This Row],[Finish]],WorkWeek,Holidays)-1,1-NETWORKDAYS.INTL(Tasks[[#This Row],[Finish]],Tasks[[#This Row],[Planned Finish]],WorkWeek,Holidays)))</f>
        <v/>
      </c>
      <c r="AO66" s="21" t="str">
        <f aca="false">IF(Tasks[[#This Row],[Task Name]]="","",IF(Tasks[[#This Row],[Progress]]&gt;=1,"Complete",IF(OR(N(Tasks[[#This Row],[Actual Start]])&gt;0,Tasks[[#This Row],[Progress]]&gt;0),IF(Tasks[[#This Row],[Finish Var]]&gt;0,"Behind","In Progress"),IF(Tasks[[#This Row],[Planned Start]]&lt;StatusDate,"Late Start","Not Started"))))</f>
        <v/>
      </c>
      <c r="AP66" s="21" t="str">
        <f aca="false">IF(Tasks[[#This Row],[Task Name]]="","",IF(IF(Tasks[[#This Row],[_IsSummary]],COUNTIF(INDEX(Tasks[_LeafCritical],Tasks[[#This Row],[_Row]]+1):INDEX(Tasks[_LeafCritical],Tasks[[#This Row],[_Row]]+Tasks[[#This Row],[_Descendants]]),TRUE())&gt;0,Tasks[[#This Row],[_LeafCritical]]),"Yes",""))</f>
        <v/>
      </c>
      <c r="AQ66" s="63" t="str">
        <f aca="false">IF(Tasks[[#This Row],[Task Name]]="","",IF(N(Tasks[[#This Row],[Baseline Start]])&gt;0,Tasks[[#This Row],[Baseline Start]],Tasks[[#This Row],[_CalcStart]]))</f>
        <v/>
      </c>
      <c r="AR66" s="63" t="str">
        <f aca="false">IF(Tasks[[#This Row],[Task Name]]="","",IF(N(Tasks[[#This Row],[Baseline Finish]])&gt;0,Tasks[[#This Row],[Baseline Finish]],Tasks[[#This Row],[_CalcFinish]]))</f>
        <v/>
      </c>
      <c r="AS66" s="47" t="str">
        <f aca="false">IF(Tasks[[#This Row],[Task Name]]="","",IF(Tasks[[#This Row],[Start]]&gt;=Tasks[[#This Row],[Planned Start]],NETWORKDAYS.INTL(Tasks[[#This Row],[Planned Start]],Tasks[[#This Row],[Start]],WorkWeek,Holidays)-1,1-NETWORKDAYS.INTL(Tasks[[#This Row],[Start]],Tasks[[#This Row],[Planned Start]],WorkWeek,Holidays)))</f>
        <v/>
      </c>
      <c r="AT66" s="63" t="str">
        <f aca="false">IF(Tasks[[#This Row],[Task Name]]="","",IF(Tasks[[#This Row],[_IsSummary]],MIN(INDEX(Tasks[_LeafLateStart],Tasks[[#This Row],[_Row]]+1):INDEX(Tasks[_LeafLateStart],Tasks[[#This Row],[_Row]]+Tasks[[#This Row],[_Descendants]])),Tasks[[#This Row],[_LeafLateStart]]))</f>
        <v/>
      </c>
      <c r="AU66" s="63" t="str">
        <f aca="false">IF(Tasks[[#This Row],[Task Name]]="","",IF(Tasks[[#This Row],[_IsSummary]],MAX(INDEX(Tasks[_LeafLateFinish],Tasks[[#This Row],[_Row]]+1):INDEX(Tasks[_LeafLateFinish],Tasks[[#This Row],[_Row]]+Tasks[[#This Row],[_Descendants]])),Tasks[[#This Row],[_LeafLateFinish]]))</f>
        <v/>
      </c>
      <c r="AV66" s="47" t="str">
        <f aca="false">IF(Tasks[[#This Row],[Task Name]]="","",IF(Tasks[[#This Row],[_IsSummary]],MIN(INDEX(Tasks[_LeafTotalSlack],Tasks[[#This Row],[_Row]]+1):INDEX(Tasks[_LeafTotalSlack],Tasks[[#This Row],[_Row]]+Tasks[[#This Row],[_Descendants]])),Tasks[[#This Row],[_LeafTotalSlack]]))</f>
        <v/>
      </c>
      <c r="AW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5"/>
      <c r="BA6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1" t="str">
        <f aca="false">IF(Tasks[[#This Row],[Task Name]]="","",IF(Tasks[[#This Row],[_Level]]&lt;=OutlineShowLevel,"Yes","No"))</f>
        <v/>
      </c>
      <c r="BE66" s="86" t="str">
        <f aca="false">IF(Tasks[[#This Row],[Task Name]]="","",IF(Tasks[[#This Row],[_IsSummary]],SUM(INDEX(Tasks[_LeafTotalWork],Tasks[[#This Row],[_Row]]+1):INDEX(Tasks[_LeafTotalWork],Tasks[[#This Row],[_Row]]+Tasks[[#This Row],[_Descendants]])),Tasks[[#This Row],[_LeafTotalWork]]))</f>
        <v/>
      </c>
      <c r="BF66" s="23"/>
      <c r="BG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6" s="21" t="str">
        <f aca="false">""</f>
        <v/>
      </c>
      <c r="BI66" s="87"/>
      <c r="BJ66" s="22"/>
      <c r="BK66" s="47" t="str">
        <f aca="false">IF(OR(Tasks[[#This Row],[Task Name]]="",Tasks[[#This Row],[Baseline Duration]]=""),"",Tasks[[#This Row],[_SpanDays]]-N(Tasks[[#This Row],[Baseline Duration]]))</f>
        <v/>
      </c>
      <c r="BL66" s="86" t="str">
        <f aca="false">IF(OR(Tasks[[#This Row],[Task Name]]="",Tasks[[#This Row],[Baseline Work]]=""),"",Tasks[[#This Row],[Work]]-N(Tasks[[#This Row],[Baseline Work]]))</f>
        <v/>
      </c>
      <c r="BM66" s="63" t="str">
        <f aca="false">IF(Tasks[[#This Row],[Task Name]]="","",IF(OR(TakeBaseline="Yes",N(Tasks[[#This Row],[Baseline Start]])=0),Tasks[[#This Row],[Start]],Tasks[[#This Row],[Baseline Start]]))</f>
        <v/>
      </c>
      <c r="BN66" s="63" t="str">
        <f aca="false">IF(Tasks[[#This Row],[Task Name]]="","",IF(OR(TakeBaseline="Yes",N(Tasks[[#This Row],[Baseline Finish]])=0),Tasks[[#This Row],[Finish]],Tasks[[#This Row],[Baseline Finish]]))</f>
        <v/>
      </c>
      <c r="BO66" s="21" t="str">
        <f aca="false">IF(Tasks[[#This Row],[Task Name]]="","",IF(OR(TakeBaseline="Yes",N(Tasks[[#This Row],[Baseline Duration]])=0),Tasks[[#This Row],[_SpanDays]],Tasks[[#This Row],[Baseline Duration]]))</f>
        <v/>
      </c>
      <c r="BP66" s="86" t="str">
        <f aca="false">IF(Tasks[[#This Row],[Task Name]]="","",IF(OR(TakeBaseline="Yes",N(Tasks[[#This Row],[Baseline Work]])=0),Tasks[[#This Row],[Work]],Tasks[[#This Row],[Baseline Work]]))</f>
        <v/>
      </c>
      <c r="BQ66" s="7"/>
      <c r="BR66" s="7"/>
      <c r="BS66" s="22"/>
      <c r="BT66" s="88"/>
      <c r="BU66" s="23"/>
      <c r="BV66" s="23"/>
      <c r="BW66" s="23"/>
      <c r="BX66" s="89" t="str">
        <f aca="false">IF(AND(Tasks[[#This Row],[_IsLeaf]]=1,ISNUMBER(Tasks[[#This Row],[Optimistic]]),ISNUMBER(Tasks[[#This Row],[Pessimistic]])),ROUND((Tasks[[#This Row],[Optimistic]]+4*N(Tasks[[#This Row],[_Days]])+Tasks[[#This Row],[Pessimistic]])/6,1),"")</f>
        <v/>
      </c>
      <c r="BY66" s="87"/>
      <c r="BZ66" s="87"/>
      <c r="CA66" s="22"/>
      <c r="CB66" s="43" t="str">
        <f aca="false">IF(Tasks[[#This Row],[Task Name]]="","",MAX(1,N(Tasks[[#This Row],[Level]])))</f>
        <v/>
      </c>
      <c r="CC66" s="43" t="n">
        <f aca="false">ROW()-ROW(Tasks[[#Headers],[ID]])</f>
        <v>61</v>
      </c>
      <c r="CD66" s="43" t="n">
        <f aca="false">IF(OR(Tasks[[#This Row],[Task Name]]="",Tasks[[#This Row],[_Level]]&lt;=1),0,IFERROR(LOOKUP(2,1/(Tasks[[#Headers],[_Level]]:Tasks[[#This Row],[_Level]]=Tasks[[#This Row],[_Level]]-1),ROW(Tasks[[#Headers],[_Level]]:Tasks[[#This Row],[_Level]])),0))</f>
        <v>0</v>
      </c>
      <c r="CE66" s="43" t="n">
        <f aca="false">IFERROR(N(INDEX(Tasks[_Level],Tasks[[#This Row],[_Row]]+1)),0)</f>
        <v>0</v>
      </c>
      <c r="CF66" s="90" t="b">
        <f aca="false">AND(Tasks[[#This Row],[Task Name]]&lt;&gt;"",Tasks[[#This Row],[_NextLevel]]&gt;Tasks[[#This Row],[_Level]])</f>
        <v>0</v>
      </c>
      <c r="CG66" s="43" t="n">
        <f aca="false">IF(Tasks[[#This Row],[_IsSummary]],COUNTIF(Tasks[WBS],Tasks[[#This Row],[WBS]]&amp;".*"),0)</f>
        <v>0</v>
      </c>
      <c r="CH66" s="43" t="n">
        <f aca="false">IF(AND(Tasks[[#This Row],[Task Name]]&lt;&gt;"",NOT(Tasks[[#This Row],[_IsSummary]])),1,0)</f>
        <v>0</v>
      </c>
      <c r="CI66" s="43" t="n">
        <f aca="false">IF(N(Tasks[[#This Row],[_Pred1UID]])=0,0,IFERROR(MATCH(Tasks[[#This Row],[_Pred1UID]],Tasks[UID],0),-1))</f>
        <v>0</v>
      </c>
      <c r="CJ66" s="43" t="n">
        <f aca="false">IF(N(Tasks[[#This Row],[_Pred2UID]])=0,0,IFERROR(MATCH(Tasks[[#This Row],[_Pred2UID]],Tasks[UID],0),-1))</f>
        <v>0</v>
      </c>
      <c r="CK66" s="43" t="n">
        <f aca="false">IF(N(Tasks[[#This Row],[_Pred3UID]])=0,0,IFERROR(MATCH(Tasks[[#This Row],[_Pred3UID]],Tasks[UID],0),-1))</f>
        <v>0</v>
      </c>
      <c r="CL66" s="43" t="n">
        <f aca="false">IF(N(Tasks[[#This Row],[_Pred4UID]])=0,0,IFERROR(MATCH(Tasks[[#This Row],[_Pred4UID]],Tasks[UID],0),-1))</f>
        <v>0</v>
      </c>
      <c r="CM6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6" s="91" t="n">
        <f aca="false">IF(OR(Tasks[[#This Row],[_ConstraintCode]]=2,Tasks[[#This Row],[_ConstraintCode]]=3,Tasks[[#This Row],[_ConstraintCode]]=4,Tasks[[#This Row],[_ConstraintCode]]=6),Tasks[[#This Row],[_ConstraintStart]],0)</f>
        <v>0</v>
      </c>
      <c r="CP66" s="91" t="n">
        <f aca="false">IF(OR(Tasks[[#This Row],[_ConstraintCode]]=2,Tasks[[#This Row],[_ConstraintCode]]=3,Tasks[[#This Row],[_ConstraintCode]]=5,Tasks[[#This Row],[_ConstraintCode]]=7),Tasks[[#This Row],[_ConstraintStart]],2958465)</f>
        <v>2958465</v>
      </c>
      <c r="CQ6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6" s="91" t="str">
        <f aca="false">IF(NOT(Tasks[[#This Row],[_IsLeaf]]=1),"",IF(N(Tasks[[#This Row],[_Days]])&lt;=0,Tasks[[#This Row],[_LeafCalcStart]],WORKDAY.INTL(Tasks[[#This Row],[_LeafCalcStart]],Tasks[[#This Row],[_Days]]-1,WorkWeek,Holidays)))</f>
        <v/>
      </c>
      <c r="CS6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6" s="43" t="str">
        <f aca="false">IF(Tasks[[#This Row],[_Predecessors]]="","",TRIM(MID(SUBSTITUTE(SUBSTITUTE(SUBSTITUTE(UPPER(Tasks[[#This Row],[_Predecessors]]),";",",")," ",""),",",REPT(" ",99)),1,99)))</f>
        <v/>
      </c>
      <c r="CV66" s="43" t="str">
        <f aca="false">IF(Tasks[[#This Row],[_Pred1Text]]="","",IFERROR(VALUE(LEFT(Tasks[[#This Row],[_Pred1Text]],MIN(FIND("F",Tasks[[#This Row],[_Pred1Text]]&amp;"F"),FIND("S",Tasks[[#This Row],[_Pred1Text]]&amp;"S"),FIND("+",Tasks[[#This Row],[_Pred1Text]]&amp;"+"),FIND("-",Tasks[[#This Row],[_Pred1Text]]&amp;"-"))-1)),""))</f>
        <v/>
      </c>
      <c r="CW6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6" s="43" t="str">
        <f aca="false">IF(Tasks[[#This Row],[_Pred1Text]]="","",TRIM(MID(SUBSTITUTE(SUBSTITUTE(SUBSTITUTE(UPPER(Tasks[[#This Row],[_Predecessors]]),";",",")," ",""),",",REPT(" ",99)),100,99)))</f>
        <v/>
      </c>
      <c r="CZ66" s="43" t="str">
        <f aca="false">IF(Tasks[[#This Row],[_Pred2Text]]="","",IFERROR(VALUE(LEFT(Tasks[[#This Row],[_Pred2Text]],MIN(FIND("F",Tasks[[#This Row],[_Pred2Text]]&amp;"F"),FIND("S",Tasks[[#This Row],[_Pred2Text]]&amp;"S"),FIND("+",Tasks[[#This Row],[_Pred2Text]]&amp;"+"),FIND("-",Tasks[[#This Row],[_Pred2Text]]&amp;"-"))-1)),""))</f>
        <v/>
      </c>
      <c r="DA6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6" s="43" t="str">
        <f aca="false">IF(Tasks[[#This Row],[_Pred2Text]]="","",TRIM(MID(SUBSTITUTE(SUBSTITUTE(SUBSTITUTE(UPPER(Tasks[[#This Row],[_Predecessors]]),";",",")," ",""),",",REPT(" ",99)),199,99)))</f>
        <v/>
      </c>
      <c r="DD66" s="43" t="str">
        <f aca="false">IF(Tasks[[#This Row],[_Pred3Text]]="","",IFERROR(VALUE(LEFT(Tasks[[#This Row],[_Pred3Text]],MIN(FIND("F",Tasks[[#This Row],[_Pred3Text]]&amp;"F"),FIND("S",Tasks[[#This Row],[_Pred3Text]]&amp;"S"),FIND("+",Tasks[[#This Row],[_Pred3Text]]&amp;"+"),FIND("-",Tasks[[#This Row],[_Pred3Text]]&amp;"-"))-1)),""))</f>
        <v/>
      </c>
      <c r="DE6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6" s="43" t="str">
        <f aca="false">IF(Tasks[[#This Row],[_Pred3Text]]="","",TRIM(MID(SUBSTITUTE(SUBSTITUTE(SUBSTITUTE(UPPER(Tasks[[#This Row],[_Predecessors]]),";",",")," ",""),",",REPT(" ",99)),298,99)))</f>
        <v/>
      </c>
      <c r="DH66" s="43" t="str">
        <f aca="false">IF(Tasks[[#This Row],[_Pred4Text]]="","",IFERROR(VALUE(LEFT(Tasks[[#This Row],[_Pred4Text]],MIN(FIND("F",Tasks[[#This Row],[_Pred4Text]]&amp;"F"),FIND("S",Tasks[[#This Row],[_Pred4Text]]&amp;"S"),FIND("+",Tasks[[#This Row],[_Pred4Text]]&amp;"+"),FIND("-",Tasks[[#This Row],[_Pred4Text]]&amp;"-"))-1)),""))</f>
        <v/>
      </c>
      <c r="DI6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6" s="43" t="str">
        <f aca="false">IF(OR(Tasks[[#This Row],[Task Name]]="",Tasks[[#This Row],[_Resources]]=""),"",TRIM(MID(SUBSTITUTE(Tasks[[#This Row],[_Resources]],",",REPT(" ",99)),1,99)))</f>
        <v/>
      </c>
      <c r="DL66" s="43" t="str">
        <f aca="false">IF(Tasks[[#This Row],[_Res1Text]]="","",TRIM(MID(SUBSTITUTE(Tasks[[#This Row],[_Resources]],",",REPT(" ",99)),100,99)))</f>
        <v/>
      </c>
      <c r="DM66" s="43" t="str">
        <f aca="false">IF(Tasks[[#This Row],[_Res2Text]]="","",TRIM(MID(SUBSTITUTE(Tasks[[#This Row],[_Resources]],",",REPT(" ",99)),199,99)))</f>
        <v/>
      </c>
      <c r="DN66" s="43" t="str">
        <f aca="false">IF(Tasks[[#This Row],[_Res3Text]]="","",TRIM(MID(SUBSTITUTE(Tasks[[#This Row],[_Resources]],",",REPT(" ",99)),298,99)))</f>
        <v/>
      </c>
      <c r="DO66" s="43" t="n">
        <f aca="false">IF(Tasks[[#This Row],[_Res1Text]]="",0,IFERROR(MATCH(TRIM(LEFT(Tasks[[#This Row],[_Res1Text]],FIND("[",Tasks[[#This Row],[_Res1Text]]&amp;"[")-1)),res_Name,0),IFERROR(MATCH(TRIM(LEFT(Tasks[[#This Row],[_Res1Text]],FIND("[",Tasks[[#This Row],[_Res1Text]]&amp;"[")-1)),res_Initials,0),0)))</f>
        <v>0</v>
      </c>
      <c r="DP66" s="43" t="n">
        <f aca="false">IF(Tasks[[#This Row],[_Res2Text]]="",0,IFERROR(MATCH(TRIM(LEFT(Tasks[[#This Row],[_Res2Text]],FIND("[",Tasks[[#This Row],[_Res2Text]]&amp;"[")-1)),res_Name,0),IFERROR(MATCH(TRIM(LEFT(Tasks[[#This Row],[_Res2Text]],FIND("[",Tasks[[#This Row],[_Res2Text]]&amp;"[")-1)),res_Initials,0),0)))</f>
        <v>0</v>
      </c>
      <c r="DQ66" s="43" t="n">
        <f aca="false">IF(Tasks[[#This Row],[_Res3Text]]="",0,IFERROR(MATCH(TRIM(LEFT(Tasks[[#This Row],[_Res3Text]],FIND("[",Tasks[[#This Row],[_Res3Text]]&amp;"[")-1)),res_Name,0),IFERROR(MATCH(TRIM(LEFT(Tasks[[#This Row],[_Res3Text]],FIND("[",Tasks[[#This Row],[_Res3Text]]&amp;"[")-1)),res_Initials,0),0)))</f>
        <v>0</v>
      </c>
      <c r="DR66" s="43" t="n">
        <f aca="false">IF(Tasks[[#This Row],[_Res4Text]]="",0,IFERROR(MATCH(TRIM(LEFT(Tasks[[#This Row],[_Res4Text]],FIND("[",Tasks[[#This Row],[_Res4Text]]&amp;"[")-1)),res_Name,0),IFERROR(MATCH(TRIM(LEFT(Tasks[[#This Row],[_Res4Text]],FIND("[",Tasks[[#This Row],[_Res4Text]]&amp;"[")-1)),res_Initials,0),0)))</f>
        <v>0</v>
      </c>
      <c r="DS66" s="43" t="str">
        <f aca="false">IF(Tasks[[#This Row],[_Res1Text]]="","",IF(Tasks[[#This Row],[_Res1Row]]&gt;0,INDEX(res_Name,Tasks[[#This Row],[_Res1Row]]),TRIM(LEFT(Tasks[[#This Row],[_Res1Text]],FIND("[",Tasks[[#This Row],[_Res1Text]]&amp;"[")-1))))</f>
        <v/>
      </c>
      <c r="DT6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6" s="43" t="n">
        <f aca="false">IF(NOT(Tasks[[#This Row],[_IsLeaf]]=1),0,(Tasks[[#This Row],[_Resource1]]&lt;&gt;"")+(Tasks[[#This Row],[_Res2]]&lt;&gt;"")+(Tasks[[#This Row],[_Res3]]&lt;&gt;"")+(Tasks[[#This Row],[_Res4]]&lt;&gt;""))</f>
        <v>0</v>
      </c>
      <c r="DV66" s="43" t="str">
        <f aca="false">IF(Tasks[[#This Row],[_Res2Text]]="","",IF(Tasks[[#This Row],[_Res2Row]]&gt;0,INDEX(res_Name,Tasks[[#This Row],[_Res2Row]]),TRIM(LEFT(Tasks[[#This Row],[_Res2Text]],FIND("[",Tasks[[#This Row],[_Res2Text]]&amp;"[")-1))))</f>
        <v/>
      </c>
      <c r="DW6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6" s="43" t="n">
        <f aca="false">IF(OR(NOT(Tasks[[#This Row],[_IsLeaf]]=1),Tasks[[#This Row],[_Res2Row]]=0),0,N(Tasks[[#This Row],[_Days]])*HoursPerDay*IF(Tasks[[#This Row],[_Res2Units]]="",DefaultUnits,Tasks[[#This Row],[_Res2Units]]))</f>
        <v>0</v>
      </c>
      <c r="DY66" s="43" t="n">
        <f aca="false">IF(AND(AND(Tasks[[#This Row],[_IsLeaf]]=1,Tasks[[#This Row],[_LeafTotalWork]]&gt;0),Tasks[[#This Row],[_Res2Work]]&gt;0),Tasks[[#This Row],[_Res2Work]]/(Tasks[[#This Row],[_FinishWorkday]]-Tasks[[#This Row],[_StartWorkday]]+1),0)</f>
        <v>0</v>
      </c>
      <c r="DZ66" s="43" t="n">
        <f aca="false">Tasks[[#This Row],[_Res2WorkPerWD]]*MAX(0,Tasks[[#This Row],[_StartWorkday]]-1)</f>
        <v>0</v>
      </c>
      <c r="EA66" s="43" t="n">
        <f aca="false">Tasks[[#This Row],[_Res2Work]]*Tasks[[#This Row],[_LeafProgress]]</f>
        <v>0</v>
      </c>
      <c r="EB66" s="43" t="str">
        <f aca="false">IF(Tasks[[#This Row],[_Res3Text]]="","",IF(Tasks[[#This Row],[_Res3Row]]&gt;0,INDEX(res_Name,Tasks[[#This Row],[_Res3Row]]),TRIM(LEFT(Tasks[[#This Row],[_Res3Text]],FIND("[",Tasks[[#This Row],[_Res3Text]]&amp;"[")-1))))</f>
        <v/>
      </c>
      <c r="EC6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6" s="43" t="n">
        <f aca="false">IF(OR(NOT(Tasks[[#This Row],[_IsLeaf]]=1),Tasks[[#This Row],[_Res3Row]]=0),0,N(Tasks[[#This Row],[_Days]])*HoursPerDay*IF(Tasks[[#This Row],[_Res3Units]]="",DefaultUnits,Tasks[[#This Row],[_Res3Units]]))</f>
        <v>0</v>
      </c>
      <c r="EE66" s="43" t="n">
        <f aca="false">IF(AND(AND(Tasks[[#This Row],[_IsLeaf]]=1,Tasks[[#This Row],[_LeafTotalWork]]&gt;0),Tasks[[#This Row],[_Res3Work]]&gt;0),Tasks[[#This Row],[_Res3Work]]/(Tasks[[#This Row],[_FinishWorkday]]-Tasks[[#This Row],[_StartWorkday]]+1),0)</f>
        <v>0</v>
      </c>
      <c r="EF66" s="43" t="n">
        <f aca="false">Tasks[[#This Row],[_Res3WorkPerWD]]*MAX(0,Tasks[[#This Row],[_StartWorkday]]-1)</f>
        <v>0</v>
      </c>
      <c r="EG66" s="43" t="n">
        <f aca="false">Tasks[[#This Row],[_Res3Work]]*Tasks[[#This Row],[_LeafProgress]]</f>
        <v>0</v>
      </c>
      <c r="EH66" s="43" t="str">
        <f aca="false">IF(Tasks[[#This Row],[_Res4Text]]="","",IF(Tasks[[#This Row],[_Res4Row]]&gt;0,INDEX(res_Name,Tasks[[#This Row],[_Res4Row]]),TRIM(LEFT(Tasks[[#This Row],[_Res4Text]],FIND("[",Tasks[[#This Row],[_Res4Text]]&amp;"[")-1))))</f>
        <v/>
      </c>
      <c r="EI6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6" s="43" t="n">
        <f aca="false">IF(OR(NOT(Tasks[[#This Row],[_IsLeaf]]=1),Tasks[[#This Row],[_Res4Row]]=0),0,N(Tasks[[#This Row],[_Days]])*HoursPerDay*IF(Tasks[[#This Row],[_Res4Units]]="",DefaultUnits,Tasks[[#This Row],[_Res4Units]]))</f>
        <v>0</v>
      </c>
      <c r="EK66" s="43" t="n">
        <f aca="false">IF(AND(AND(Tasks[[#This Row],[_IsLeaf]]=1,Tasks[[#This Row],[_LeafTotalWork]]&gt;0),Tasks[[#This Row],[_Res4Work]]&gt;0),Tasks[[#This Row],[_Res4Work]]/(Tasks[[#This Row],[_FinishWorkday]]-Tasks[[#This Row],[_StartWorkday]]+1),0)</f>
        <v>0</v>
      </c>
      <c r="EL66" s="43" t="n">
        <f aca="false">Tasks[[#This Row],[_Res4WorkPerWD]]*MAX(0,Tasks[[#This Row],[_StartWorkday]]-1)</f>
        <v>0</v>
      </c>
      <c r="EM66" s="43" t="n">
        <f aca="false">Tasks[[#This Row],[_Res4Work]]*Tasks[[#This Row],[_LeafProgress]]</f>
        <v>0</v>
      </c>
      <c r="EN66" s="43" t="n">
        <f aca="false">IF(ISNUMBER(Tasks[[#This Row],[% Complete]]),Tasks[[#This Row],[% Complete]],IF(Tasks[[#This Row],[Stage]]="",0,IFERROR(INDEX(stg_Pct,MATCH(Tasks[[#This Row],[Stage]],stg_Name,0)),0)))</f>
        <v>0</v>
      </c>
      <c r="EO66" s="43" t="n">
        <f aca="false">IF(NOT(Tasks[[#This Row],[_IsLeaf]]=1),0,IF(N(Tasks[[#This Row],[Actual Finish]])&gt;0,1,MIN(1,Tasks[[#This Row],[_Pct]])))</f>
        <v>0</v>
      </c>
      <c r="EP66" s="43" t="n">
        <f aca="false">IF(OR(NOT(Tasks[[#This Row],[_IsLeaf]]=1),Tasks[[#This Row],[_Res1Row]]=0),0,N(Tasks[[#This Row],[_Days]])*HoursPerDay*IF(Tasks[[#This Row],[_Units1]]="",DefaultUnits,Tasks[[#This Row],[_Units1]]))</f>
        <v>0</v>
      </c>
      <c r="EQ66" s="43" t="n">
        <f aca="false">Tasks[[#This Row],[_LeafWork]]+Tasks[[#This Row],[_Res2Work]]+Tasks[[#This Row],[_Res3Work]]+Tasks[[#This Row],[_Res4Work]]</f>
        <v>0</v>
      </c>
      <c r="ER6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6" s="43" t="n">
        <f aca="false">IF(NOT(Tasks[[#This Row],[_IsLeaf]]=1),0,MAX(_xlfn.MAXIFS(Tasks[_Row],Tasks[_Pred1UID],Tasks[[#This Row],[UID]]),_xlfn.MAXIFS(Tasks[_Row],Tasks[_Pred2UID],Tasks[[#This Row],[UID]]),_xlfn.MAXIFS(Tasks[_Row],Tasks[_Pred3UID],Tasks[[#This Row],[UID]]),_xlfn.MAXIFS(Tasks[_Row],Tasks[_Pred4UID],Tasks[[#This Row],[UID]])))</f>
        <v>0</v>
      </c>
      <c r="FA6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6" s="91" t="str">
        <f aca="false">IF(NOT(Tasks[[#This Row],[_IsLeaf]]=1),"",IF(N(Tasks[[#This Row],[_Days]])&lt;=0,Tasks[[#This Row],[_LeafLateFinish]],WORKDAY.INTL(Tasks[[#This Row],[_LeafLateFinish]],-(Tasks[[#This Row],[_Days]]-1),WorkWeek,Holidays)))</f>
        <v/>
      </c>
      <c r="FD6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6" s="90" t="b">
        <f aca="false">AND(Tasks[[#This Row],[_IsLeaf]]=1,Tasks[[#This Row],[_LeafProgress]]&lt;1,N(Tasks[[#This Row],[_LeafTotalSlack]])&lt;=CriticalSlackDays)</f>
        <v>0</v>
      </c>
      <c r="FF66" s="43" t="n">
        <f aca="false">IF(AND(Tasks[[#This Row],[_IsLeaf]]=1,Tasks[[#This Row],[_ConstraintCode]]=1,Tasks[[#This Row],[Mode]]&lt;&gt;"Manual",N(Tasks[[#This Row],[Actual Start]])=0),MAX(0,N(Tasks[[#This Row],[Free Slack]])),0)</f>
        <v>0</v>
      </c>
      <c r="FG66" s="91" t="str">
        <f aca="false">IF(NOT(Tasks[[#This Row],[_IsLeaf]]=1),"",IF(Tasks[[#This Row],[_AlapShift]]=0,Tasks[[#This Row],[_LeafCalcStart]],WORKDAY.INTL(Tasks[[#This Row],[_LeafCalcStart]],Tasks[[#This Row],[_AlapShift]],WorkWeek,Holidays)))</f>
        <v/>
      </c>
      <c r="FH66" s="91" t="str">
        <f aca="false">IF(NOT(Tasks[[#This Row],[_IsLeaf]]=1),"",IF(Tasks[[#This Row],[_AlapShift]]=0,Tasks[[#This Row],[_LeafCalcFinish]],WORKDAY.INTL(Tasks[[#This Row],[_LeafCalcFinish]],Tasks[[#This Row],[_AlapShift]],WorkWeek,Holidays)))</f>
        <v/>
      </c>
      <c r="FI66" s="91" t="str">
        <f aca="false">IF(NOT(Tasks[[#This Row],[_IsLeaf]]=1),"",IF(Tasks[[#This Row],[_AlapShift]]=0,Tasks[[#This Row],[_LeafFcstStart]],WORKDAY.INTL(Tasks[[#This Row],[_LeafFcstStart]],Tasks[[#This Row],[_AlapShift]],WorkWeek,Holidays)))</f>
        <v/>
      </c>
      <c r="FJ66" s="91" t="str">
        <f aca="false">IF(NOT(Tasks[[#This Row],[_IsLeaf]]=1),"",IF(Tasks[[#This Row],[_AlapShift]]=0,Tasks[[#This Row],[_LeafFcstFinish]],WORKDAY.INTL(Tasks[[#This Row],[_LeafFcstFinish]],Tasks[[#This Row],[_AlapShift]],WorkWeek,Holidays)))</f>
        <v/>
      </c>
      <c r="FK66" s="91" t="str">
        <f aca="false">IF(Tasks[[#This Row],[Task Name]]="","",IF(Tasks[[#This Row],[_IsSummary]],MIN(INDEX(Tasks[_ShownCalcStart],Tasks[[#This Row],[_Row]]+1):INDEX(Tasks[_ShownCalcStart],Tasks[[#This Row],[_Row]]+Tasks[[#This Row],[_Descendants]])),Tasks[[#This Row],[_ShownCalcStart]]))</f>
        <v/>
      </c>
      <c r="FL66" s="91" t="str">
        <f aca="false">IF(Tasks[[#This Row],[Task Name]]="","",IF(Tasks[[#This Row],[_IsSummary]],MAX(INDEX(Tasks[_ShownCalcFinish],Tasks[[#This Row],[_Row]]+1):INDEX(Tasks[_ShownCalcFinish],Tasks[[#This Row],[_Row]]+Tasks[[#This Row],[_Descendants]])),Tasks[[#This Row],[_ShownCalcFinish]]))</f>
        <v/>
      </c>
      <c r="FM6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6" s="43" t="n">
        <f aca="false">IF(AND(Tasks[[#This Row],[_IsLeaf]]=1,Tasks[[#This Row],[_LeafTotalWork]]&gt;0),NETWORKDAYS.INTL(ProjectStart,Tasks[[#This Row],[_ShownFcstStart]],WorkWeek,Holidays),0)</f>
        <v>0</v>
      </c>
      <c r="FZ66" s="43" t="n">
        <f aca="false">IF(AND(Tasks[[#This Row],[_IsLeaf]]=1,Tasks[[#This Row],[_LeafTotalWork]]&gt;0),MAX(Tasks[[#This Row],[_StartWorkday]],NETWORKDAYS.INTL(ProjectStart,Tasks[[#This Row],[_ShownFcstFinish]],WorkWeek,Holidays)),0)</f>
        <v>0</v>
      </c>
      <c r="GA66" s="43" t="n">
        <f aca="false">IF(AND(Tasks[[#This Row],[_IsLeaf]]=1,Tasks[[#This Row],[_LeafTotalWork]]&gt;0),Tasks[[#This Row],[_LeafWork]]/(Tasks[[#This Row],[_FinishWorkday]]-Tasks[[#This Row],[_StartWorkday]]+1),0)</f>
        <v>0</v>
      </c>
      <c r="GB66" s="43" t="n">
        <f aca="false">Tasks[[#This Row],[_WorkPerWorkday]]*(Tasks[[#This Row],[_StartWorkday]]-1)</f>
        <v>-0</v>
      </c>
      <c r="GC66" s="43" t="n">
        <f aca="false">IF(Tasks[[#This Row],[_IsLeaf]]=1,MAX(N(Tasks[[#This Row],[_Days]]),0.1),0)</f>
        <v>0</v>
      </c>
      <c r="GD66" s="43" t="n">
        <f aca="false">Tasks[[#This Row],[_WeightDur]]*Tasks[[#This Row],[_LeafProgress]]</f>
        <v>0</v>
      </c>
      <c r="GE66" s="43" t="n">
        <f aca="false">Tasks[[#This Row],[_WeightDur]]*Tasks[[#This Row],[_PlannedPct]]</f>
        <v>0</v>
      </c>
      <c r="GF6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6" s="43" t="str">
        <f aca="false">IF(AND(Tasks[[#This Row],[_IsLeaf]]=1,N(Tasks[[#This Row],[_Days]])=0,Tasks[[#This Row],[_LeafProgress]]&lt;1),Tasks[[#This Row],[_ShownFcstFinish]]+Tasks[[#This Row],[_Row]]/100000,"")</f>
        <v/>
      </c>
      <c r="GH6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6" s="43" t="str">
        <f aca="false">IF(Tasks[[#This Row],[Task Name]]="","",LEFT(Tasks[[#This Row],[WBS]],FIND(".",Tasks[[#This Row],[WBS]]&amp;".")-1))</f>
        <v/>
      </c>
      <c r="GJ66" s="43" t="str">
        <f aca="false">IF(AND(Tasks[[#This Row],[Task Name]]&lt;&gt;"",Tasks[[#This Row],[_Level]]=1),Tasks[[#This Row],[_Row]],"")</f>
        <v/>
      </c>
      <c r="GK66" s="43" t="str">
        <f aca="false">IF(AND(Tasks[[#This Row],[_IsLeaf]]=1,N(Tasks[[#This Row],[_Days]])=0),Tasks[[#This Row],[Planned Finish]]+Tasks[[#This Row],[_Row]]/100000,"")</f>
        <v/>
      </c>
      <c r="GL66" s="43" t="str">
        <f aca="false">IF(AND(Tasks[[#This Row],[_IsLeaf]]=1,Tasks[[#This Row],[_LeafProgress]]&lt;1,OR(N(Tasks[[#This Row],[Finish Var]])&gt;0,Tasks[[#This Row],[Status]]="Late Start")),MAX(0,Tasks[[#This Row],[Finish Var]])+1-Tasks[[#This Row],[_Row]]/1000000,"")</f>
        <v/>
      </c>
      <c r="GM66" s="43" t="str">
        <f aca="false">IF(AND(Tasks[[#This Row],[_IsLeaf]]=1,N(Tasks[[#This Row],[Actual Start]])=0,Tasks[[#This Row],[_ShownFcstStart]]&gt;=StatusDate,Tasks[[#This Row],[_ShownFcstStart]]&lt;=LookaheadEnd),Tasks[[#This Row],[_ShownFcstStart]]+Tasks[[#This Row],[_Row]]/100000,"")</f>
        <v/>
      </c>
      <c r="GN66" s="43" t="str">
        <f aca="false">IF(AND(Tasks[[#This Row],[_IsLeaf]]=1,Tasks[[#This Row],[_LeafProgress]]&lt;1,Tasks[[#This Row],[_ShownFcstFinish]]&gt;=StatusDate,Tasks[[#This Row],[_ShownFcstFinish]]&lt;=LookaheadEnd),Tasks[[#This Row],[_ShownFcstFinish]]+Tasks[[#This Row],[_Row]]/100000,"")</f>
        <v/>
      </c>
      <c r="GO66" s="43" t="str">
        <f aca="false">IF(Tasks[[#This Row],[_LeafCritical]],Tasks[[#This Row],[_ShownFcstStart]]+Tasks[[#This Row],[_Row]]/100000,"")</f>
        <v/>
      </c>
      <c r="GP66" s="43" t="n">
        <f aca="false">Tasks[[#This Row],[_LeafWork]]*Tasks[[#This Row],[_LeafProgress]]</f>
        <v>0</v>
      </c>
      <c r="GQ66" s="91" t="str">
        <f aca="false">IF(AND(Tasks[[#This Row],[_IsLeaf]]=1,Tasks[[#This Row],[_LeafProgress]]&gt;=1),IF(N(Tasks[[#This Row],[Actual Finish]])&gt;0,Tasks[[#This Row],[Actual Finish]],Tasks[[#This Row],[_ShownFcstFinish]]),"")</f>
        <v/>
      </c>
      <c r="GR66" s="43" t="n">
        <f aca="false">IF(Tasks[[#This Row],[_IsLeaf]]=1,N(Tasks[[#This Row],[Story Points]]),0)</f>
        <v>0</v>
      </c>
      <c r="GS66" s="43" t="str">
        <f aca="false">""</f>
        <v/>
      </c>
      <c r="GT66" s="90" t="b">
        <f aca="false">IF(Tasks[[#This Row],[Task Name]]="",FALSE(),AND(Tasks[[#This Row],[_IsLeaf]]=1,N(Tasks[[#This Row],[_Days]])=0))</f>
        <v>0</v>
      </c>
      <c r="GU66" s="91" t="n">
        <f aca="false">IF(Tasks[[#This Row],[Task Name]]="",0,IF(AND(Tasks[[#This Row],[_IsLeaf]]=1,NOT(Tasks[[#This Row],[_IsMilestone]]),N(Tasks[[#This Row],[Progress]])&gt;0),Tasks[[#This Row],[Start]],0))</f>
        <v>0</v>
      </c>
      <c r="GV66" s="91" t="n">
        <f aca="false">IF(Tasks[[#This Row],[_DoneFrom]]=0,0,IF(Tasks[[#This Row],[Progress]]&gt;=1,Tasks[[#This Row],[Finish]],MAX(Tasks[[#This Row],[_DoneFrom]],Tasks[[#This Row],[Start]]+ROUND((Tasks[[#This Row],[Finish]]-Tasks[[#This Row],[Start]]+1)*Tasks[[#This Row],[Progress]],0)-1)))</f>
        <v>0</v>
      </c>
      <c r="GW66" s="91" t="n">
        <f aca="false">IF(Tasks[[#This Row],[Task Name]]="",0,IF(OR(NOT(Tasks[[#This Row],[_IsLeaf]]=1),Tasks[[#This Row],[_IsMilestone]],N(Tasks[[#This Row],[Progress]])&gt;=1),0,IF(Tasks[[#This Row],[_DoneTo]]&gt;0,Tasks[[#This Row],[_DoneTo]]+1,Tasks[[#This Row],[Start]])))</f>
        <v>0</v>
      </c>
      <c r="GX66" s="91" t="n">
        <f aca="false">IF(Tasks[[#This Row],[_RemFrom]]=0,0,Tasks[[#This Row],[Finish]])</f>
        <v>0</v>
      </c>
      <c r="GY66" s="90" t="b">
        <f aca="false">IF(Tasks[[#This Row],[Task Name]]="",FALSE(),OR(NOT(BaselineSet),N(Tasks[[#This Row],[Baseline Start]])&gt;0))</f>
        <v>0</v>
      </c>
      <c r="GZ6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6" s="92" t="str">
        <f aca="false">IF(Tasks[[#This Row],[_IsLeaf]]=1,Tasks[[#This Row],[_Row]],"")</f>
        <v/>
      </c>
      <c r="HD66" s="92" t="str">
        <f aca="false">IFERROR(INDEX(Tasks[UID],SMALL(Tasks[_PickKey],Tasks[[#This Row],[_Row]]))&amp;" "&amp;INDEX(Tasks[Task Name],SMALL(Tasks[_PickKey],Tasks[[#This Row],[_Row]])),"")</f>
        <v/>
      </c>
      <c r="HE66" s="43" t="str">
        <f aca="false">IF(Tasks[[#This Row],[Task Name]]="","",IF(Tasks[[#This Row],[_IsSummary]],NETWORKDAYS.INTL(Tasks[[#This Row],[Start]],Tasks[[#This Row],[Finish]],WorkWeek,Holidays),N(Tasks[[#This Row],[_Days]])))</f>
        <v/>
      </c>
      <c r="HF66" s="43" t="n">
        <f aca="false">IF(Tasks[[#This Row],[Expected]]="",0,((Tasks[[#This Row],[Pessimistic]]-Tasks[[#This Row],[Optimistic]])/6)^2)</f>
        <v>0</v>
      </c>
      <c r="HG66" s="43" t="n">
        <f aca="false">IF(Tasks[[#This Row],[Expected]]="",0,Tasks[[#This Row],[Expected]]-N(Tasks[[#This Row],[_Days]]))</f>
        <v>0</v>
      </c>
    </row>
    <row r="67" customFormat="false" ht="15" hidden="false" customHeight="false" outlineLevel="0" collapsed="false">
      <c r="A67" s="21" t="str">
        <f aca="false">IF(Tasks[[#This Row],[Task Name]]="","",COUNTA(Tasks[[#Headers],[Task Name]]:Tasks[[#This Row],[Task Name]])-1)</f>
        <v/>
      </c>
      <c r="B67" s="22" t="n">
        <v>75</v>
      </c>
      <c r="C67" s="22"/>
      <c r="D67" s="23"/>
      <c r="E67" s="22"/>
      <c r="F67" s="23"/>
      <c r="G67" s="22"/>
      <c r="H67" s="22"/>
      <c r="I67" s="23"/>
      <c r="J67" s="22"/>
      <c r="K67" s="22"/>
      <c r="L67" s="23"/>
      <c r="M67" s="22"/>
      <c r="N67" s="22"/>
      <c r="O67" s="23"/>
      <c r="P67" s="22"/>
      <c r="Q67" s="22"/>
      <c r="R67" s="23"/>
      <c r="S67" s="23"/>
      <c r="T67" s="84"/>
      <c r="U67" s="23"/>
      <c r="V67" s="84"/>
      <c r="W67" s="23"/>
      <c r="X67" s="84"/>
      <c r="Y67" s="23"/>
      <c r="Z67" s="84"/>
      <c r="AA67" s="23"/>
      <c r="AB67" s="23"/>
      <c r="AC67" s="7"/>
      <c r="AD67" s="7"/>
      <c r="AE67" s="63" t="str">
        <f aca="false">IF(Tasks[[#This Row],[Task Name]]="","",IF(Tasks[[#This Row],[_IsSummary]],MIN(INDEX(Tasks[_ShownFcstStart],Tasks[[#This Row],[_Row]]+1):INDEX(Tasks[_ShownFcstStart],Tasks[[#This Row],[_Row]]+Tasks[[#This Row],[_Descendants]])),Tasks[[#This Row],[_ShownFcstStart]]))</f>
        <v/>
      </c>
      <c r="AF67" s="63" t="str">
        <f aca="false">IF(Tasks[[#This Row],[Task Name]]="","",IF(Tasks[[#This Row],[_IsSummary]],MAX(INDEX(Tasks[_ShownFcstFinish],Tasks[[#This Row],[_Row]]+1):INDEX(Tasks[_ShownFcstFinish],Tasks[[#This Row],[_Row]]+Tasks[[#This Row],[_Descendants]])),Tasks[[#This Row],[_ShownFcstFinish]]))</f>
        <v/>
      </c>
      <c r="AG67" s="21" t="str">
        <f aca="false">""</f>
        <v/>
      </c>
      <c r="AH67" s="23"/>
      <c r="AI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7" s="7"/>
      <c r="AK67" s="22"/>
      <c r="AL67" s="23"/>
      <c r="AM67" s="7"/>
      <c r="AN67" s="47" t="str">
        <f aca="false">IF(Tasks[[#This Row],[Task Name]]="","",IF(Tasks[[#This Row],[Finish]]&gt;=Tasks[[#This Row],[Planned Finish]],NETWORKDAYS.INTL(Tasks[[#This Row],[Planned Finish]],Tasks[[#This Row],[Finish]],WorkWeek,Holidays)-1,1-NETWORKDAYS.INTL(Tasks[[#This Row],[Finish]],Tasks[[#This Row],[Planned Finish]],WorkWeek,Holidays)))</f>
        <v/>
      </c>
      <c r="AO67" s="21" t="str">
        <f aca="false">IF(Tasks[[#This Row],[Task Name]]="","",IF(Tasks[[#This Row],[Progress]]&gt;=1,"Complete",IF(OR(N(Tasks[[#This Row],[Actual Start]])&gt;0,Tasks[[#This Row],[Progress]]&gt;0),IF(Tasks[[#This Row],[Finish Var]]&gt;0,"Behind","In Progress"),IF(Tasks[[#This Row],[Planned Start]]&lt;StatusDate,"Late Start","Not Started"))))</f>
        <v/>
      </c>
      <c r="AP67" s="21" t="str">
        <f aca="false">IF(Tasks[[#This Row],[Task Name]]="","",IF(IF(Tasks[[#This Row],[_IsSummary]],COUNTIF(INDEX(Tasks[_LeafCritical],Tasks[[#This Row],[_Row]]+1):INDEX(Tasks[_LeafCritical],Tasks[[#This Row],[_Row]]+Tasks[[#This Row],[_Descendants]]),TRUE())&gt;0,Tasks[[#This Row],[_LeafCritical]]),"Yes",""))</f>
        <v/>
      </c>
      <c r="AQ67" s="63" t="str">
        <f aca="false">IF(Tasks[[#This Row],[Task Name]]="","",IF(N(Tasks[[#This Row],[Baseline Start]])&gt;0,Tasks[[#This Row],[Baseline Start]],Tasks[[#This Row],[_CalcStart]]))</f>
        <v/>
      </c>
      <c r="AR67" s="63" t="str">
        <f aca="false">IF(Tasks[[#This Row],[Task Name]]="","",IF(N(Tasks[[#This Row],[Baseline Finish]])&gt;0,Tasks[[#This Row],[Baseline Finish]],Tasks[[#This Row],[_CalcFinish]]))</f>
        <v/>
      </c>
      <c r="AS67" s="47" t="str">
        <f aca="false">IF(Tasks[[#This Row],[Task Name]]="","",IF(Tasks[[#This Row],[Start]]&gt;=Tasks[[#This Row],[Planned Start]],NETWORKDAYS.INTL(Tasks[[#This Row],[Planned Start]],Tasks[[#This Row],[Start]],WorkWeek,Holidays)-1,1-NETWORKDAYS.INTL(Tasks[[#This Row],[Start]],Tasks[[#This Row],[Planned Start]],WorkWeek,Holidays)))</f>
        <v/>
      </c>
      <c r="AT67" s="63" t="str">
        <f aca="false">IF(Tasks[[#This Row],[Task Name]]="","",IF(Tasks[[#This Row],[_IsSummary]],MIN(INDEX(Tasks[_LeafLateStart],Tasks[[#This Row],[_Row]]+1):INDEX(Tasks[_LeafLateStart],Tasks[[#This Row],[_Row]]+Tasks[[#This Row],[_Descendants]])),Tasks[[#This Row],[_LeafLateStart]]))</f>
        <v/>
      </c>
      <c r="AU67" s="63" t="str">
        <f aca="false">IF(Tasks[[#This Row],[Task Name]]="","",IF(Tasks[[#This Row],[_IsSummary]],MAX(INDEX(Tasks[_LeafLateFinish],Tasks[[#This Row],[_Row]]+1):INDEX(Tasks[_LeafLateFinish],Tasks[[#This Row],[_Row]]+Tasks[[#This Row],[_Descendants]])),Tasks[[#This Row],[_LeafLateFinish]]))</f>
        <v/>
      </c>
      <c r="AV67" s="47" t="str">
        <f aca="false">IF(Tasks[[#This Row],[Task Name]]="","",IF(Tasks[[#This Row],[_IsSummary]],MIN(INDEX(Tasks[_LeafTotalSlack],Tasks[[#This Row],[_Row]]+1):INDEX(Tasks[_LeafTotalSlack],Tasks[[#This Row],[_Row]]+Tasks[[#This Row],[_Descendants]])),Tasks[[#This Row],[_LeafTotalSlack]]))</f>
        <v/>
      </c>
      <c r="AW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5"/>
      <c r="BA6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1" t="str">
        <f aca="false">IF(Tasks[[#This Row],[Task Name]]="","",IF(Tasks[[#This Row],[_Level]]&lt;=OutlineShowLevel,"Yes","No"))</f>
        <v/>
      </c>
      <c r="BE67" s="86" t="str">
        <f aca="false">IF(Tasks[[#This Row],[Task Name]]="","",IF(Tasks[[#This Row],[_IsSummary]],SUM(INDEX(Tasks[_LeafTotalWork],Tasks[[#This Row],[_Row]]+1):INDEX(Tasks[_LeafTotalWork],Tasks[[#This Row],[_Row]]+Tasks[[#This Row],[_Descendants]])),Tasks[[#This Row],[_LeafTotalWork]]))</f>
        <v/>
      </c>
      <c r="BF67" s="23"/>
      <c r="BG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7" s="21" t="str">
        <f aca="false">""</f>
        <v/>
      </c>
      <c r="BI67" s="87"/>
      <c r="BJ67" s="22"/>
      <c r="BK67" s="47" t="str">
        <f aca="false">IF(OR(Tasks[[#This Row],[Task Name]]="",Tasks[[#This Row],[Baseline Duration]]=""),"",Tasks[[#This Row],[_SpanDays]]-N(Tasks[[#This Row],[Baseline Duration]]))</f>
        <v/>
      </c>
      <c r="BL67" s="86" t="str">
        <f aca="false">IF(OR(Tasks[[#This Row],[Task Name]]="",Tasks[[#This Row],[Baseline Work]]=""),"",Tasks[[#This Row],[Work]]-N(Tasks[[#This Row],[Baseline Work]]))</f>
        <v/>
      </c>
      <c r="BM67" s="63" t="str">
        <f aca="false">IF(Tasks[[#This Row],[Task Name]]="","",IF(OR(TakeBaseline="Yes",N(Tasks[[#This Row],[Baseline Start]])=0),Tasks[[#This Row],[Start]],Tasks[[#This Row],[Baseline Start]]))</f>
        <v/>
      </c>
      <c r="BN67" s="63" t="str">
        <f aca="false">IF(Tasks[[#This Row],[Task Name]]="","",IF(OR(TakeBaseline="Yes",N(Tasks[[#This Row],[Baseline Finish]])=0),Tasks[[#This Row],[Finish]],Tasks[[#This Row],[Baseline Finish]]))</f>
        <v/>
      </c>
      <c r="BO67" s="21" t="str">
        <f aca="false">IF(Tasks[[#This Row],[Task Name]]="","",IF(OR(TakeBaseline="Yes",N(Tasks[[#This Row],[Baseline Duration]])=0),Tasks[[#This Row],[_SpanDays]],Tasks[[#This Row],[Baseline Duration]]))</f>
        <v/>
      </c>
      <c r="BP67" s="86" t="str">
        <f aca="false">IF(Tasks[[#This Row],[Task Name]]="","",IF(OR(TakeBaseline="Yes",N(Tasks[[#This Row],[Baseline Work]])=0),Tasks[[#This Row],[Work]],Tasks[[#This Row],[Baseline Work]]))</f>
        <v/>
      </c>
      <c r="BQ67" s="7"/>
      <c r="BR67" s="7"/>
      <c r="BS67" s="22"/>
      <c r="BT67" s="88"/>
      <c r="BU67" s="23"/>
      <c r="BV67" s="23"/>
      <c r="BW67" s="23"/>
      <c r="BX67" s="89" t="str">
        <f aca="false">IF(AND(Tasks[[#This Row],[_IsLeaf]]=1,ISNUMBER(Tasks[[#This Row],[Optimistic]]),ISNUMBER(Tasks[[#This Row],[Pessimistic]])),ROUND((Tasks[[#This Row],[Optimistic]]+4*N(Tasks[[#This Row],[_Days]])+Tasks[[#This Row],[Pessimistic]])/6,1),"")</f>
        <v/>
      </c>
      <c r="BY67" s="87"/>
      <c r="BZ67" s="87"/>
      <c r="CA67" s="22"/>
      <c r="CB67" s="43" t="str">
        <f aca="false">IF(Tasks[[#This Row],[Task Name]]="","",MAX(1,N(Tasks[[#This Row],[Level]])))</f>
        <v/>
      </c>
      <c r="CC67" s="43" t="n">
        <f aca="false">ROW()-ROW(Tasks[[#Headers],[ID]])</f>
        <v>62</v>
      </c>
      <c r="CD67" s="43" t="n">
        <f aca="false">IF(OR(Tasks[[#This Row],[Task Name]]="",Tasks[[#This Row],[_Level]]&lt;=1),0,IFERROR(LOOKUP(2,1/(Tasks[[#Headers],[_Level]]:Tasks[[#This Row],[_Level]]=Tasks[[#This Row],[_Level]]-1),ROW(Tasks[[#Headers],[_Level]]:Tasks[[#This Row],[_Level]])),0))</f>
        <v>0</v>
      </c>
      <c r="CE67" s="43" t="n">
        <f aca="false">IFERROR(N(INDEX(Tasks[_Level],Tasks[[#This Row],[_Row]]+1)),0)</f>
        <v>0</v>
      </c>
      <c r="CF67" s="90" t="b">
        <f aca="false">AND(Tasks[[#This Row],[Task Name]]&lt;&gt;"",Tasks[[#This Row],[_NextLevel]]&gt;Tasks[[#This Row],[_Level]])</f>
        <v>0</v>
      </c>
      <c r="CG67" s="43" t="n">
        <f aca="false">IF(Tasks[[#This Row],[_IsSummary]],COUNTIF(Tasks[WBS],Tasks[[#This Row],[WBS]]&amp;".*"),0)</f>
        <v>0</v>
      </c>
      <c r="CH67" s="43" t="n">
        <f aca="false">IF(AND(Tasks[[#This Row],[Task Name]]&lt;&gt;"",NOT(Tasks[[#This Row],[_IsSummary]])),1,0)</f>
        <v>0</v>
      </c>
      <c r="CI67" s="43" t="n">
        <f aca="false">IF(N(Tasks[[#This Row],[_Pred1UID]])=0,0,IFERROR(MATCH(Tasks[[#This Row],[_Pred1UID]],Tasks[UID],0),-1))</f>
        <v>0</v>
      </c>
      <c r="CJ67" s="43" t="n">
        <f aca="false">IF(N(Tasks[[#This Row],[_Pred2UID]])=0,0,IFERROR(MATCH(Tasks[[#This Row],[_Pred2UID]],Tasks[UID],0),-1))</f>
        <v>0</v>
      </c>
      <c r="CK67" s="43" t="n">
        <f aca="false">IF(N(Tasks[[#This Row],[_Pred3UID]])=0,0,IFERROR(MATCH(Tasks[[#This Row],[_Pred3UID]],Tasks[UID],0),-1))</f>
        <v>0</v>
      </c>
      <c r="CL67" s="43" t="n">
        <f aca="false">IF(N(Tasks[[#This Row],[_Pred4UID]])=0,0,IFERROR(MATCH(Tasks[[#This Row],[_Pred4UID]],Tasks[UID],0),-1))</f>
        <v>0</v>
      </c>
      <c r="CM6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7" s="91" t="n">
        <f aca="false">IF(OR(Tasks[[#This Row],[_ConstraintCode]]=2,Tasks[[#This Row],[_ConstraintCode]]=3,Tasks[[#This Row],[_ConstraintCode]]=4,Tasks[[#This Row],[_ConstraintCode]]=6),Tasks[[#This Row],[_ConstraintStart]],0)</f>
        <v>0</v>
      </c>
      <c r="CP67" s="91" t="n">
        <f aca="false">IF(OR(Tasks[[#This Row],[_ConstraintCode]]=2,Tasks[[#This Row],[_ConstraintCode]]=3,Tasks[[#This Row],[_ConstraintCode]]=5,Tasks[[#This Row],[_ConstraintCode]]=7),Tasks[[#This Row],[_ConstraintStart]],2958465)</f>
        <v>2958465</v>
      </c>
      <c r="CQ6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7" s="91" t="str">
        <f aca="false">IF(NOT(Tasks[[#This Row],[_IsLeaf]]=1),"",IF(N(Tasks[[#This Row],[_Days]])&lt;=0,Tasks[[#This Row],[_LeafCalcStart]],WORKDAY.INTL(Tasks[[#This Row],[_LeafCalcStart]],Tasks[[#This Row],[_Days]]-1,WorkWeek,Holidays)))</f>
        <v/>
      </c>
      <c r="CS6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7" s="43" t="str">
        <f aca="false">IF(Tasks[[#This Row],[_Predecessors]]="","",TRIM(MID(SUBSTITUTE(SUBSTITUTE(SUBSTITUTE(UPPER(Tasks[[#This Row],[_Predecessors]]),";",",")," ",""),",",REPT(" ",99)),1,99)))</f>
        <v/>
      </c>
      <c r="CV67" s="43" t="str">
        <f aca="false">IF(Tasks[[#This Row],[_Pred1Text]]="","",IFERROR(VALUE(LEFT(Tasks[[#This Row],[_Pred1Text]],MIN(FIND("F",Tasks[[#This Row],[_Pred1Text]]&amp;"F"),FIND("S",Tasks[[#This Row],[_Pred1Text]]&amp;"S"),FIND("+",Tasks[[#This Row],[_Pred1Text]]&amp;"+"),FIND("-",Tasks[[#This Row],[_Pred1Text]]&amp;"-"))-1)),""))</f>
        <v/>
      </c>
      <c r="CW6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7" s="43" t="str">
        <f aca="false">IF(Tasks[[#This Row],[_Pred1Text]]="","",TRIM(MID(SUBSTITUTE(SUBSTITUTE(SUBSTITUTE(UPPER(Tasks[[#This Row],[_Predecessors]]),";",",")," ",""),",",REPT(" ",99)),100,99)))</f>
        <v/>
      </c>
      <c r="CZ67" s="43" t="str">
        <f aca="false">IF(Tasks[[#This Row],[_Pred2Text]]="","",IFERROR(VALUE(LEFT(Tasks[[#This Row],[_Pred2Text]],MIN(FIND("F",Tasks[[#This Row],[_Pred2Text]]&amp;"F"),FIND("S",Tasks[[#This Row],[_Pred2Text]]&amp;"S"),FIND("+",Tasks[[#This Row],[_Pred2Text]]&amp;"+"),FIND("-",Tasks[[#This Row],[_Pred2Text]]&amp;"-"))-1)),""))</f>
        <v/>
      </c>
      <c r="DA6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7" s="43" t="str">
        <f aca="false">IF(Tasks[[#This Row],[_Pred2Text]]="","",TRIM(MID(SUBSTITUTE(SUBSTITUTE(SUBSTITUTE(UPPER(Tasks[[#This Row],[_Predecessors]]),";",",")," ",""),",",REPT(" ",99)),199,99)))</f>
        <v/>
      </c>
      <c r="DD67" s="43" t="str">
        <f aca="false">IF(Tasks[[#This Row],[_Pred3Text]]="","",IFERROR(VALUE(LEFT(Tasks[[#This Row],[_Pred3Text]],MIN(FIND("F",Tasks[[#This Row],[_Pred3Text]]&amp;"F"),FIND("S",Tasks[[#This Row],[_Pred3Text]]&amp;"S"),FIND("+",Tasks[[#This Row],[_Pred3Text]]&amp;"+"),FIND("-",Tasks[[#This Row],[_Pred3Text]]&amp;"-"))-1)),""))</f>
        <v/>
      </c>
      <c r="DE6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7" s="43" t="str">
        <f aca="false">IF(Tasks[[#This Row],[_Pred3Text]]="","",TRIM(MID(SUBSTITUTE(SUBSTITUTE(SUBSTITUTE(UPPER(Tasks[[#This Row],[_Predecessors]]),";",",")," ",""),",",REPT(" ",99)),298,99)))</f>
        <v/>
      </c>
      <c r="DH67" s="43" t="str">
        <f aca="false">IF(Tasks[[#This Row],[_Pred4Text]]="","",IFERROR(VALUE(LEFT(Tasks[[#This Row],[_Pred4Text]],MIN(FIND("F",Tasks[[#This Row],[_Pred4Text]]&amp;"F"),FIND("S",Tasks[[#This Row],[_Pred4Text]]&amp;"S"),FIND("+",Tasks[[#This Row],[_Pred4Text]]&amp;"+"),FIND("-",Tasks[[#This Row],[_Pred4Text]]&amp;"-"))-1)),""))</f>
        <v/>
      </c>
      <c r="DI6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7" s="43" t="str">
        <f aca="false">IF(OR(Tasks[[#This Row],[Task Name]]="",Tasks[[#This Row],[_Resources]]=""),"",TRIM(MID(SUBSTITUTE(Tasks[[#This Row],[_Resources]],",",REPT(" ",99)),1,99)))</f>
        <v/>
      </c>
      <c r="DL67" s="43" t="str">
        <f aca="false">IF(Tasks[[#This Row],[_Res1Text]]="","",TRIM(MID(SUBSTITUTE(Tasks[[#This Row],[_Resources]],",",REPT(" ",99)),100,99)))</f>
        <v/>
      </c>
      <c r="DM67" s="43" t="str">
        <f aca="false">IF(Tasks[[#This Row],[_Res2Text]]="","",TRIM(MID(SUBSTITUTE(Tasks[[#This Row],[_Resources]],",",REPT(" ",99)),199,99)))</f>
        <v/>
      </c>
      <c r="DN67" s="43" t="str">
        <f aca="false">IF(Tasks[[#This Row],[_Res3Text]]="","",TRIM(MID(SUBSTITUTE(Tasks[[#This Row],[_Resources]],",",REPT(" ",99)),298,99)))</f>
        <v/>
      </c>
      <c r="DO67" s="43" t="n">
        <f aca="false">IF(Tasks[[#This Row],[_Res1Text]]="",0,IFERROR(MATCH(TRIM(LEFT(Tasks[[#This Row],[_Res1Text]],FIND("[",Tasks[[#This Row],[_Res1Text]]&amp;"[")-1)),res_Name,0),IFERROR(MATCH(TRIM(LEFT(Tasks[[#This Row],[_Res1Text]],FIND("[",Tasks[[#This Row],[_Res1Text]]&amp;"[")-1)),res_Initials,0),0)))</f>
        <v>0</v>
      </c>
      <c r="DP67" s="43" t="n">
        <f aca="false">IF(Tasks[[#This Row],[_Res2Text]]="",0,IFERROR(MATCH(TRIM(LEFT(Tasks[[#This Row],[_Res2Text]],FIND("[",Tasks[[#This Row],[_Res2Text]]&amp;"[")-1)),res_Name,0),IFERROR(MATCH(TRIM(LEFT(Tasks[[#This Row],[_Res2Text]],FIND("[",Tasks[[#This Row],[_Res2Text]]&amp;"[")-1)),res_Initials,0),0)))</f>
        <v>0</v>
      </c>
      <c r="DQ67" s="43" t="n">
        <f aca="false">IF(Tasks[[#This Row],[_Res3Text]]="",0,IFERROR(MATCH(TRIM(LEFT(Tasks[[#This Row],[_Res3Text]],FIND("[",Tasks[[#This Row],[_Res3Text]]&amp;"[")-1)),res_Name,0),IFERROR(MATCH(TRIM(LEFT(Tasks[[#This Row],[_Res3Text]],FIND("[",Tasks[[#This Row],[_Res3Text]]&amp;"[")-1)),res_Initials,0),0)))</f>
        <v>0</v>
      </c>
      <c r="DR67" s="43" t="n">
        <f aca="false">IF(Tasks[[#This Row],[_Res4Text]]="",0,IFERROR(MATCH(TRIM(LEFT(Tasks[[#This Row],[_Res4Text]],FIND("[",Tasks[[#This Row],[_Res4Text]]&amp;"[")-1)),res_Name,0),IFERROR(MATCH(TRIM(LEFT(Tasks[[#This Row],[_Res4Text]],FIND("[",Tasks[[#This Row],[_Res4Text]]&amp;"[")-1)),res_Initials,0),0)))</f>
        <v>0</v>
      </c>
      <c r="DS67" s="43" t="str">
        <f aca="false">IF(Tasks[[#This Row],[_Res1Text]]="","",IF(Tasks[[#This Row],[_Res1Row]]&gt;0,INDEX(res_Name,Tasks[[#This Row],[_Res1Row]]),TRIM(LEFT(Tasks[[#This Row],[_Res1Text]],FIND("[",Tasks[[#This Row],[_Res1Text]]&amp;"[")-1))))</f>
        <v/>
      </c>
      <c r="DT6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7" s="43" t="n">
        <f aca="false">IF(NOT(Tasks[[#This Row],[_IsLeaf]]=1),0,(Tasks[[#This Row],[_Resource1]]&lt;&gt;"")+(Tasks[[#This Row],[_Res2]]&lt;&gt;"")+(Tasks[[#This Row],[_Res3]]&lt;&gt;"")+(Tasks[[#This Row],[_Res4]]&lt;&gt;""))</f>
        <v>0</v>
      </c>
      <c r="DV67" s="43" t="str">
        <f aca="false">IF(Tasks[[#This Row],[_Res2Text]]="","",IF(Tasks[[#This Row],[_Res2Row]]&gt;0,INDEX(res_Name,Tasks[[#This Row],[_Res2Row]]),TRIM(LEFT(Tasks[[#This Row],[_Res2Text]],FIND("[",Tasks[[#This Row],[_Res2Text]]&amp;"[")-1))))</f>
        <v/>
      </c>
      <c r="DW6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7" s="43" t="n">
        <f aca="false">IF(OR(NOT(Tasks[[#This Row],[_IsLeaf]]=1),Tasks[[#This Row],[_Res2Row]]=0),0,N(Tasks[[#This Row],[_Days]])*HoursPerDay*IF(Tasks[[#This Row],[_Res2Units]]="",DefaultUnits,Tasks[[#This Row],[_Res2Units]]))</f>
        <v>0</v>
      </c>
      <c r="DY67" s="43" t="n">
        <f aca="false">IF(AND(AND(Tasks[[#This Row],[_IsLeaf]]=1,Tasks[[#This Row],[_LeafTotalWork]]&gt;0),Tasks[[#This Row],[_Res2Work]]&gt;0),Tasks[[#This Row],[_Res2Work]]/(Tasks[[#This Row],[_FinishWorkday]]-Tasks[[#This Row],[_StartWorkday]]+1),0)</f>
        <v>0</v>
      </c>
      <c r="DZ67" s="43" t="n">
        <f aca="false">Tasks[[#This Row],[_Res2WorkPerWD]]*MAX(0,Tasks[[#This Row],[_StartWorkday]]-1)</f>
        <v>0</v>
      </c>
      <c r="EA67" s="43" t="n">
        <f aca="false">Tasks[[#This Row],[_Res2Work]]*Tasks[[#This Row],[_LeafProgress]]</f>
        <v>0</v>
      </c>
      <c r="EB67" s="43" t="str">
        <f aca="false">IF(Tasks[[#This Row],[_Res3Text]]="","",IF(Tasks[[#This Row],[_Res3Row]]&gt;0,INDEX(res_Name,Tasks[[#This Row],[_Res3Row]]),TRIM(LEFT(Tasks[[#This Row],[_Res3Text]],FIND("[",Tasks[[#This Row],[_Res3Text]]&amp;"[")-1))))</f>
        <v/>
      </c>
      <c r="EC6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7" s="43" t="n">
        <f aca="false">IF(OR(NOT(Tasks[[#This Row],[_IsLeaf]]=1),Tasks[[#This Row],[_Res3Row]]=0),0,N(Tasks[[#This Row],[_Days]])*HoursPerDay*IF(Tasks[[#This Row],[_Res3Units]]="",DefaultUnits,Tasks[[#This Row],[_Res3Units]]))</f>
        <v>0</v>
      </c>
      <c r="EE67" s="43" t="n">
        <f aca="false">IF(AND(AND(Tasks[[#This Row],[_IsLeaf]]=1,Tasks[[#This Row],[_LeafTotalWork]]&gt;0),Tasks[[#This Row],[_Res3Work]]&gt;0),Tasks[[#This Row],[_Res3Work]]/(Tasks[[#This Row],[_FinishWorkday]]-Tasks[[#This Row],[_StartWorkday]]+1),0)</f>
        <v>0</v>
      </c>
      <c r="EF67" s="43" t="n">
        <f aca="false">Tasks[[#This Row],[_Res3WorkPerWD]]*MAX(0,Tasks[[#This Row],[_StartWorkday]]-1)</f>
        <v>0</v>
      </c>
      <c r="EG67" s="43" t="n">
        <f aca="false">Tasks[[#This Row],[_Res3Work]]*Tasks[[#This Row],[_LeafProgress]]</f>
        <v>0</v>
      </c>
      <c r="EH67" s="43" t="str">
        <f aca="false">IF(Tasks[[#This Row],[_Res4Text]]="","",IF(Tasks[[#This Row],[_Res4Row]]&gt;0,INDEX(res_Name,Tasks[[#This Row],[_Res4Row]]),TRIM(LEFT(Tasks[[#This Row],[_Res4Text]],FIND("[",Tasks[[#This Row],[_Res4Text]]&amp;"[")-1))))</f>
        <v/>
      </c>
      <c r="EI6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7" s="43" t="n">
        <f aca="false">IF(OR(NOT(Tasks[[#This Row],[_IsLeaf]]=1),Tasks[[#This Row],[_Res4Row]]=0),0,N(Tasks[[#This Row],[_Days]])*HoursPerDay*IF(Tasks[[#This Row],[_Res4Units]]="",DefaultUnits,Tasks[[#This Row],[_Res4Units]]))</f>
        <v>0</v>
      </c>
      <c r="EK67" s="43" t="n">
        <f aca="false">IF(AND(AND(Tasks[[#This Row],[_IsLeaf]]=1,Tasks[[#This Row],[_LeafTotalWork]]&gt;0),Tasks[[#This Row],[_Res4Work]]&gt;0),Tasks[[#This Row],[_Res4Work]]/(Tasks[[#This Row],[_FinishWorkday]]-Tasks[[#This Row],[_StartWorkday]]+1),0)</f>
        <v>0</v>
      </c>
      <c r="EL67" s="43" t="n">
        <f aca="false">Tasks[[#This Row],[_Res4WorkPerWD]]*MAX(0,Tasks[[#This Row],[_StartWorkday]]-1)</f>
        <v>0</v>
      </c>
      <c r="EM67" s="43" t="n">
        <f aca="false">Tasks[[#This Row],[_Res4Work]]*Tasks[[#This Row],[_LeafProgress]]</f>
        <v>0</v>
      </c>
      <c r="EN67" s="43" t="n">
        <f aca="false">IF(ISNUMBER(Tasks[[#This Row],[% Complete]]),Tasks[[#This Row],[% Complete]],IF(Tasks[[#This Row],[Stage]]="",0,IFERROR(INDEX(stg_Pct,MATCH(Tasks[[#This Row],[Stage]],stg_Name,0)),0)))</f>
        <v>0</v>
      </c>
      <c r="EO67" s="43" t="n">
        <f aca="false">IF(NOT(Tasks[[#This Row],[_IsLeaf]]=1),0,IF(N(Tasks[[#This Row],[Actual Finish]])&gt;0,1,MIN(1,Tasks[[#This Row],[_Pct]])))</f>
        <v>0</v>
      </c>
      <c r="EP67" s="43" t="n">
        <f aca="false">IF(OR(NOT(Tasks[[#This Row],[_IsLeaf]]=1),Tasks[[#This Row],[_Res1Row]]=0),0,N(Tasks[[#This Row],[_Days]])*HoursPerDay*IF(Tasks[[#This Row],[_Units1]]="",DefaultUnits,Tasks[[#This Row],[_Units1]]))</f>
        <v>0</v>
      </c>
      <c r="EQ67" s="43" t="n">
        <f aca="false">Tasks[[#This Row],[_LeafWork]]+Tasks[[#This Row],[_Res2Work]]+Tasks[[#This Row],[_Res3Work]]+Tasks[[#This Row],[_Res4Work]]</f>
        <v>0</v>
      </c>
      <c r="ER6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7" s="43" t="n">
        <f aca="false">IF(NOT(Tasks[[#This Row],[_IsLeaf]]=1),0,MAX(_xlfn.MAXIFS(Tasks[_Row],Tasks[_Pred1UID],Tasks[[#This Row],[UID]]),_xlfn.MAXIFS(Tasks[_Row],Tasks[_Pred2UID],Tasks[[#This Row],[UID]]),_xlfn.MAXIFS(Tasks[_Row],Tasks[_Pred3UID],Tasks[[#This Row],[UID]]),_xlfn.MAXIFS(Tasks[_Row],Tasks[_Pred4UID],Tasks[[#This Row],[UID]])))</f>
        <v>0</v>
      </c>
      <c r="FA6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7" s="91" t="str">
        <f aca="false">IF(NOT(Tasks[[#This Row],[_IsLeaf]]=1),"",IF(N(Tasks[[#This Row],[_Days]])&lt;=0,Tasks[[#This Row],[_LeafLateFinish]],WORKDAY.INTL(Tasks[[#This Row],[_LeafLateFinish]],-(Tasks[[#This Row],[_Days]]-1),WorkWeek,Holidays)))</f>
        <v/>
      </c>
      <c r="FD6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7" s="90" t="b">
        <f aca="false">AND(Tasks[[#This Row],[_IsLeaf]]=1,Tasks[[#This Row],[_LeafProgress]]&lt;1,N(Tasks[[#This Row],[_LeafTotalSlack]])&lt;=CriticalSlackDays)</f>
        <v>0</v>
      </c>
      <c r="FF67" s="43" t="n">
        <f aca="false">IF(AND(Tasks[[#This Row],[_IsLeaf]]=1,Tasks[[#This Row],[_ConstraintCode]]=1,Tasks[[#This Row],[Mode]]&lt;&gt;"Manual",N(Tasks[[#This Row],[Actual Start]])=0),MAX(0,N(Tasks[[#This Row],[Free Slack]])),0)</f>
        <v>0</v>
      </c>
      <c r="FG67" s="91" t="str">
        <f aca="false">IF(NOT(Tasks[[#This Row],[_IsLeaf]]=1),"",IF(Tasks[[#This Row],[_AlapShift]]=0,Tasks[[#This Row],[_LeafCalcStart]],WORKDAY.INTL(Tasks[[#This Row],[_LeafCalcStart]],Tasks[[#This Row],[_AlapShift]],WorkWeek,Holidays)))</f>
        <v/>
      </c>
      <c r="FH67" s="91" t="str">
        <f aca="false">IF(NOT(Tasks[[#This Row],[_IsLeaf]]=1),"",IF(Tasks[[#This Row],[_AlapShift]]=0,Tasks[[#This Row],[_LeafCalcFinish]],WORKDAY.INTL(Tasks[[#This Row],[_LeafCalcFinish]],Tasks[[#This Row],[_AlapShift]],WorkWeek,Holidays)))</f>
        <v/>
      </c>
      <c r="FI67" s="91" t="str">
        <f aca="false">IF(NOT(Tasks[[#This Row],[_IsLeaf]]=1),"",IF(Tasks[[#This Row],[_AlapShift]]=0,Tasks[[#This Row],[_LeafFcstStart]],WORKDAY.INTL(Tasks[[#This Row],[_LeafFcstStart]],Tasks[[#This Row],[_AlapShift]],WorkWeek,Holidays)))</f>
        <v/>
      </c>
      <c r="FJ67" s="91" t="str">
        <f aca="false">IF(NOT(Tasks[[#This Row],[_IsLeaf]]=1),"",IF(Tasks[[#This Row],[_AlapShift]]=0,Tasks[[#This Row],[_LeafFcstFinish]],WORKDAY.INTL(Tasks[[#This Row],[_LeafFcstFinish]],Tasks[[#This Row],[_AlapShift]],WorkWeek,Holidays)))</f>
        <v/>
      </c>
      <c r="FK67" s="91" t="str">
        <f aca="false">IF(Tasks[[#This Row],[Task Name]]="","",IF(Tasks[[#This Row],[_IsSummary]],MIN(INDEX(Tasks[_ShownCalcStart],Tasks[[#This Row],[_Row]]+1):INDEX(Tasks[_ShownCalcStart],Tasks[[#This Row],[_Row]]+Tasks[[#This Row],[_Descendants]])),Tasks[[#This Row],[_ShownCalcStart]]))</f>
        <v/>
      </c>
      <c r="FL67" s="91" t="str">
        <f aca="false">IF(Tasks[[#This Row],[Task Name]]="","",IF(Tasks[[#This Row],[_IsSummary]],MAX(INDEX(Tasks[_ShownCalcFinish],Tasks[[#This Row],[_Row]]+1):INDEX(Tasks[_ShownCalcFinish],Tasks[[#This Row],[_Row]]+Tasks[[#This Row],[_Descendants]])),Tasks[[#This Row],[_ShownCalcFinish]]))</f>
        <v/>
      </c>
      <c r="FM6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7" s="43" t="n">
        <f aca="false">IF(AND(Tasks[[#This Row],[_IsLeaf]]=1,Tasks[[#This Row],[_LeafTotalWork]]&gt;0),NETWORKDAYS.INTL(ProjectStart,Tasks[[#This Row],[_ShownFcstStart]],WorkWeek,Holidays),0)</f>
        <v>0</v>
      </c>
      <c r="FZ67" s="43" t="n">
        <f aca="false">IF(AND(Tasks[[#This Row],[_IsLeaf]]=1,Tasks[[#This Row],[_LeafTotalWork]]&gt;0),MAX(Tasks[[#This Row],[_StartWorkday]],NETWORKDAYS.INTL(ProjectStart,Tasks[[#This Row],[_ShownFcstFinish]],WorkWeek,Holidays)),0)</f>
        <v>0</v>
      </c>
      <c r="GA67" s="43" t="n">
        <f aca="false">IF(AND(Tasks[[#This Row],[_IsLeaf]]=1,Tasks[[#This Row],[_LeafTotalWork]]&gt;0),Tasks[[#This Row],[_LeafWork]]/(Tasks[[#This Row],[_FinishWorkday]]-Tasks[[#This Row],[_StartWorkday]]+1),0)</f>
        <v>0</v>
      </c>
      <c r="GB67" s="43" t="n">
        <f aca="false">Tasks[[#This Row],[_WorkPerWorkday]]*(Tasks[[#This Row],[_StartWorkday]]-1)</f>
        <v>-0</v>
      </c>
      <c r="GC67" s="43" t="n">
        <f aca="false">IF(Tasks[[#This Row],[_IsLeaf]]=1,MAX(N(Tasks[[#This Row],[_Days]]),0.1),0)</f>
        <v>0</v>
      </c>
      <c r="GD67" s="43" t="n">
        <f aca="false">Tasks[[#This Row],[_WeightDur]]*Tasks[[#This Row],[_LeafProgress]]</f>
        <v>0</v>
      </c>
      <c r="GE67" s="43" t="n">
        <f aca="false">Tasks[[#This Row],[_WeightDur]]*Tasks[[#This Row],[_PlannedPct]]</f>
        <v>0</v>
      </c>
      <c r="GF6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7" s="43" t="str">
        <f aca="false">IF(AND(Tasks[[#This Row],[_IsLeaf]]=1,N(Tasks[[#This Row],[_Days]])=0,Tasks[[#This Row],[_LeafProgress]]&lt;1),Tasks[[#This Row],[_ShownFcstFinish]]+Tasks[[#This Row],[_Row]]/100000,"")</f>
        <v/>
      </c>
      <c r="GH6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7" s="43" t="str">
        <f aca="false">IF(Tasks[[#This Row],[Task Name]]="","",LEFT(Tasks[[#This Row],[WBS]],FIND(".",Tasks[[#This Row],[WBS]]&amp;".")-1))</f>
        <v/>
      </c>
      <c r="GJ67" s="43" t="str">
        <f aca="false">IF(AND(Tasks[[#This Row],[Task Name]]&lt;&gt;"",Tasks[[#This Row],[_Level]]=1),Tasks[[#This Row],[_Row]],"")</f>
        <v/>
      </c>
      <c r="GK67" s="43" t="str">
        <f aca="false">IF(AND(Tasks[[#This Row],[_IsLeaf]]=1,N(Tasks[[#This Row],[_Days]])=0),Tasks[[#This Row],[Planned Finish]]+Tasks[[#This Row],[_Row]]/100000,"")</f>
        <v/>
      </c>
      <c r="GL67" s="43" t="str">
        <f aca="false">IF(AND(Tasks[[#This Row],[_IsLeaf]]=1,Tasks[[#This Row],[_LeafProgress]]&lt;1,OR(N(Tasks[[#This Row],[Finish Var]])&gt;0,Tasks[[#This Row],[Status]]="Late Start")),MAX(0,Tasks[[#This Row],[Finish Var]])+1-Tasks[[#This Row],[_Row]]/1000000,"")</f>
        <v/>
      </c>
      <c r="GM67" s="43" t="str">
        <f aca="false">IF(AND(Tasks[[#This Row],[_IsLeaf]]=1,N(Tasks[[#This Row],[Actual Start]])=0,Tasks[[#This Row],[_ShownFcstStart]]&gt;=StatusDate,Tasks[[#This Row],[_ShownFcstStart]]&lt;=LookaheadEnd),Tasks[[#This Row],[_ShownFcstStart]]+Tasks[[#This Row],[_Row]]/100000,"")</f>
        <v/>
      </c>
      <c r="GN67" s="43" t="str">
        <f aca="false">IF(AND(Tasks[[#This Row],[_IsLeaf]]=1,Tasks[[#This Row],[_LeafProgress]]&lt;1,Tasks[[#This Row],[_ShownFcstFinish]]&gt;=StatusDate,Tasks[[#This Row],[_ShownFcstFinish]]&lt;=LookaheadEnd),Tasks[[#This Row],[_ShownFcstFinish]]+Tasks[[#This Row],[_Row]]/100000,"")</f>
        <v/>
      </c>
      <c r="GO67" s="43" t="str">
        <f aca="false">IF(Tasks[[#This Row],[_LeafCritical]],Tasks[[#This Row],[_ShownFcstStart]]+Tasks[[#This Row],[_Row]]/100000,"")</f>
        <v/>
      </c>
      <c r="GP67" s="43" t="n">
        <f aca="false">Tasks[[#This Row],[_LeafWork]]*Tasks[[#This Row],[_LeafProgress]]</f>
        <v>0</v>
      </c>
      <c r="GQ67" s="91" t="str">
        <f aca="false">IF(AND(Tasks[[#This Row],[_IsLeaf]]=1,Tasks[[#This Row],[_LeafProgress]]&gt;=1),IF(N(Tasks[[#This Row],[Actual Finish]])&gt;0,Tasks[[#This Row],[Actual Finish]],Tasks[[#This Row],[_ShownFcstFinish]]),"")</f>
        <v/>
      </c>
      <c r="GR67" s="43" t="n">
        <f aca="false">IF(Tasks[[#This Row],[_IsLeaf]]=1,N(Tasks[[#This Row],[Story Points]]),0)</f>
        <v>0</v>
      </c>
      <c r="GS67" s="43" t="str">
        <f aca="false">""</f>
        <v/>
      </c>
      <c r="GT67" s="90" t="b">
        <f aca="false">IF(Tasks[[#This Row],[Task Name]]="",FALSE(),AND(Tasks[[#This Row],[_IsLeaf]]=1,N(Tasks[[#This Row],[_Days]])=0))</f>
        <v>0</v>
      </c>
      <c r="GU67" s="91" t="n">
        <f aca="false">IF(Tasks[[#This Row],[Task Name]]="",0,IF(AND(Tasks[[#This Row],[_IsLeaf]]=1,NOT(Tasks[[#This Row],[_IsMilestone]]),N(Tasks[[#This Row],[Progress]])&gt;0),Tasks[[#This Row],[Start]],0))</f>
        <v>0</v>
      </c>
      <c r="GV67" s="91" t="n">
        <f aca="false">IF(Tasks[[#This Row],[_DoneFrom]]=0,0,IF(Tasks[[#This Row],[Progress]]&gt;=1,Tasks[[#This Row],[Finish]],MAX(Tasks[[#This Row],[_DoneFrom]],Tasks[[#This Row],[Start]]+ROUND((Tasks[[#This Row],[Finish]]-Tasks[[#This Row],[Start]]+1)*Tasks[[#This Row],[Progress]],0)-1)))</f>
        <v>0</v>
      </c>
      <c r="GW67" s="91" t="n">
        <f aca="false">IF(Tasks[[#This Row],[Task Name]]="",0,IF(OR(NOT(Tasks[[#This Row],[_IsLeaf]]=1),Tasks[[#This Row],[_IsMilestone]],N(Tasks[[#This Row],[Progress]])&gt;=1),0,IF(Tasks[[#This Row],[_DoneTo]]&gt;0,Tasks[[#This Row],[_DoneTo]]+1,Tasks[[#This Row],[Start]])))</f>
        <v>0</v>
      </c>
      <c r="GX67" s="91" t="n">
        <f aca="false">IF(Tasks[[#This Row],[_RemFrom]]=0,0,Tasks[[#This Row],[Finish]])</f>
        <v>0</v>
      </c>
      <c r="GY67" s="90" t="b">
        <f aca="false">IF(Tasks[[#This Row],[Task Name]]="",FALSE(),OR(NOT(BaselineSet),N(Tasks[[#This Row],[Baseline Start]])&gt;0))</f>
        <v>0</v>
      </c>
      <c r="GZ6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7" s="92" t="str">
        <f aca="false">IF(Tasks[[#This Row],[_IsLeaf]]=1,Tasks[[#This Row],[_Row]],"")</f>
        <v/>
      </c>
      <c r="HD67" s="92" t="str">
        <f aca="false">IFERROR(INDEX(Tasks[UID],SMALL(Tasks[_PickKey],Tasks[[#This Row],[_Row]]))&amp;" "&amp;INDEX(Tasks[Task Name],SMALL(Tasks[_PickKey],Tasks[[#This Row],[_Row]])),"")</f>
        <v/>
      </c>
      <c r="HE67" s="43" t="str">
        <f aca="false">IF(Tasks[[#This Row],[Task Name]]="","",IF(Tasks[[#This Row],[_IsSummary]],NETWORKDAYS.INTL(Tasks[[#This Row],[Start]],Tasks[[#This Row],[Finish]],WorkWeek,Holidays),N(Tasks[[#This Row],[_Days]])))</f>
        <v/>
      </c>
      <c r="HF67" s="43" t="n">
        <f aca="false">IF(Tasks[[#This Row],[Expected]]="",0,((Tasks[[#This Row],[Pessimistic]]-Tasks[[#This Row],[Optimistic]])/6)^2)</f>
        <v>0</v>
      </c>
      <c r="HG67" s="43" t="n">
        <f aca="false">IF(Tasks[[#This Row],[Expected]]="",0,Tasks[[#This Row],[Expected]]-N(Tasks[[#This Row],[_Days]]))</f>
        <v>0</v>
      </c>
    </row>
    <row r="68" customFormat="false" ht="15" hidden="false" customHeight="false" outlineLevel="0" collapsed="false">
      <c r="A68" s="21" t="str">
        <f aca="false">IF(Tasks[[#This Row],[Task Name]]="","",COUNTA(Tasks[[#Headers],[Task Name]]:Tasks[[#This Row],[Task Name]])-1)</f>
        <v/>
      </c>
      <c r="B68" s="22" t="n">
        <v>76</v>
      </c>
      <c r="C68" s="22"/>
      <c r="D68" s="23"/>
      <c r="E68" s="22"/>
      <c r="F68" s="23"/>
      <c r="G68" s="22"/>
      <c r="H68" s="22"/>
      <c r="I68" s="23"/>
      <c r="J68" s="22"/>
      <c r="K68" s="22"/>
      <c r="L68" s="23"/>
      <c r="M68" s="22"/>
      <c r="N68" s="22"/>
      <c r="O68" s="23"/>
      <c r="P68" s="22"/>
      <c r="Q68" s="22"/>
      <c r="R68" s="23"/>
      <c r="S68" s="23"/>
      <c r="T68" s="84"/>
      <c r="U68" s="23"/>
      <c r="V68" s="84"/>
      <c r="W68" s="23"/>
      <c r="X68" s="84"/>
      <c r="Y68" s="23"/>
      <c r="Z68" s="84"/>
      <c r="AA68" s="23"/>
      <c r="AB68" s="23"/>
      <c r="AC68" s="7"/>
      <c r="AD68" s="7"/>
      <c r="AE68" s="63" t="str">
        <f aca="false">IF(Tasks[[#This Row],[Task Name]]="","",IF(Tasks[[#This Row],[_IsSummary]],MIN(INDEX(Tasks[_ShownFcstStart],Tasks[[#This Row],[_Row]]+1):INDEX(Tasks[_ShownFcstStart],Tasks[[#This Row],[_Row]]+Tasks[[#This Row],[_Descendants]])),Tasks[[#This Row],[_ShownFcstStart]]))</f>
        <v/>
      </c>
      <c r="AF68" s="63" t="str">
        <f aca="false">IF(Tasks[[#This Row],[Task Name]]="","",IF(Tasks[[#This Row],[_IsSummary]],MAX(INDEX(Tasks[_ShownFcstFinish],Tasks[[#This Row],[_Row]]+1):INDEX(Tasks[_ShownFcstFinish],Tasks[[#This Row],[_Row]]+Tasks[[#This Row],[_Descendants]])),Tasks[[#This Row],[_ShownFcstFinish]]))</f>
        <v/>
      </c>
      <c r="AG68" s="21" t="str">
        <f aca="false">""</f>
        <v/>
      </c>
      <c r="AH68" s="23"/>
      <c r="AI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8" s="7"/>
      <c r="AK68" s="22"/>
      <c r="AL68" s="23"/>
      <c r="AM68" s="7"/>
      <c r="AN68" s="47" t="str">
        <f aca="false">IF(Tasks[[#This Row],[Task Name]]="","",IF(Tasks[[#This Row],[Finish]]&gt;=Tasks[[#This Row],[Planned Finish]],NETWORKDAYS.INTL(Tasks[[#This Row],[Planned Finish]],Tasks[[#This Row],[Finish]],WorkWeek,Holidays)-1,1-NETWORKDAYS.INTL(Tasks[[#This Row],[Finish]],Tasks[[#This Row],[Planned Finish]],WorkWeek,Holidays)))</f>
        <v/>
      </c>
      <c r="AO68" s="21" t="str">
        <f aca="false">IF(Tasks[[#This Row],[Task Name]]="","",IF(Tasks[[#This Row],[Progress]]&gt;=1,"Complete",IF(OR(N(Tasks[[#This Row],[Actual Start]])&gt;0,Tasks[[#This Row],[Progress]]&gt;0),IF(Tasks[[#This Row],[Finish Var]]&gt;0,"Behind","In Progress"),IF(Tasks[[#This Row],[Planned Start]]&lt;StatusDate,"Late Start","Not Started"))))</f>
        <v/>
      </c>
      <c r="AP68" s="21" t="str">
        <f aca="false">IF(Tasks[[#This Row],[Task Name]]="","",IF(IF(Tasks[[#This Row],[_IsSummary]],COUNTIF(INDEX(Tasks[_LeafCritical],Tasks[[#This Row],[_Row]]+1):INDEX(Tasks[_LeafCritical],Tasks[[#This Row],[_Row]]+Tasks[[#This Row],[_Descendants]]),TRUE())&gt;0,Tasks[[#This Row],[_LeafCritical]]),"Yes",""))</f>
        <v/>
      </c>
      <c r="AQ68" s="63" t="str">
        <f aca="false">IF(Tasks[[#This Row],[Task Name]]="","",IF(N(Tasks[[#This Row],[Baseline Start]])&gt;0,Tasks[[#This Row],[Baseline Start]],Tasks[[#This Row],[_CalcStart]]))</f>
        <v/>
      </c>
      <c r="AR68" s="63" t="str">
        <f aca="false">IF(Tasks[[#This Row],[Task Name]]="","",IF(N(Tasks[[#This Row],[Baseline Finish]])&gt;0,Tasks[[#This Row],[Baseline Finish]],Tasks[[#This Row],[_CalcFinish]]))</f>
        <v/>
      </c>
      <c r="AS68" s="47" t="str">
        <f aca="false">IF(Tasks[[#This Row],[Task Name]]="","",IF(Tasks[[#This Row],[Start]]&gt;=Tasks[[#This Row],[Planned Start]],NETWORKDAYS.INTL(Tasks[[#This Row],[Planned Start]],Tasks[[#This Row],[Start]],WorkWeek,Holidays)-1,1-NETWORKDAYS.INTL(Tasks[[#This Row],[Start]],Tasks[[#This Row],[Planned Start]],WorkWeek,Holidays)))</f>
        <v/>
      </c>
      <c r="AT68" s="63" t="str">
        <f aca="false">IF(Tasks[[#This Row],[Task Name]]="","",IF(Tasks[[#This Row],[_IsSummary]],MIN(INDEX(Tasks[_LeafLateStart],Tasks[[#This Row],[_Row]]+1):INDEX(Tasks[_LeafLateStart],Tasks[[#This Row],[_Row]]+Tasks[[#This Row],[_Descendants]])),Tasks[[#This Row],[_LeafLateStart]]))</f>
        <v/>
      </c>
      <c r="AU68" s="63" t="str">
        <f aca="false">IF(Tasks[[#This Row],[Task Name]]="","",IF(Tasks[[#This Row],[_IsSummary]],MAX(INDEX(Tasks[_LeafLateFinish],Tasks[[#This Row],[_Row]]+1):INDEX(Tasks[_LeafLateFinish],Tasks[[#This Row],[_Row]]+Tasks[[#This Row],[_Descendants]])),Tasks[[#This Row],[_LeafLateFinish]]))</f>
        <v/>
      </c>
      <c r="AV68" s="47" t="str">
        <f aca="false">IF(Tasks[[#This Row],[Task Name]]="","",IF(Tasks[[#This Row],[_IsSummary]],MIN(INDEX(Tasks[_LeafTotalSlack],Tasks[[#This Row],[_Row]]+1):INDEX(Tasks[_LeafTotalSlack],Tasks[[#This Row],[_Row]]+Tasks[[#This Row],[_Descendants]])),Tasks[[#This Row],[_LeafTotalSlack]]))</f>
        <v/>
      </c>
      <c r="AW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5"/>
      <c r="BA6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1" t="str">
        <f aca="false">IF(Tasks[[#This Row],[Task Name]]="","",IF(Tasks[[#This Row],[_Level]]&lt;=OutlineShowLevel,"Yes","No"))</f>
        <v/>
      </c>
      <c r="BE68" s="86" t="str">
        <f aca="false">IF(Tasks[[#This Row],[Task Name]]="","",IF(Tasks[[#This Row],[_IsSummary]],SUM(INDEX(Tasks[_LeafTotalWork],Tasks[[#This Row],[_Row]]+1):INDEX(Tasks[_LeafTotalWork],Tasks[[#This Row],[_Row]]+Tasks[[#This Row],[_Descendants]])),Tasks[[#This Row],[_LeafTotalWork]]))</f>
        <v/>
      </c>
      <c r="BF68" s="23"/>
      <c r="BG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8" s="21" t="str">
        <f aca="false">""</f>
        <v/>
      </c>
      <c r="BI68" s="87"/>
      <c r="BJ68" s="22"/>
      <c r="BK68" s="47" t="str">
        <f aca="false">IF(OR(Tasks[[#This Row],[Task Name]]="",Tasks[[#This Row],[Baseline Duration]]=""),"",Tasks[[#This Row],[_SpanDays]]-N(Tasks[[#This Row],[Baseline Duration]]))</f>
        <v/>
      </c>
      <c r="BL68" s="86" t="str">
        <f aca="false">IF(OR(Tasks[[#This Row],[Task Name]]="",Tasks[[#This Row],[Baseline Work]]=""),"",Tasks[[#This Row],[Work]]-N(Tasks[[#This Row],[Baseline Work]]))</f>
        <v/>
      </c>
      <c r="BM68" s="63" t="str">
        <f aca="false">IF(Tasks[[#This Row],[Task Name]]="","",IF(OR(TakeBaseline="Yes",N(Tasks[[#This Row],[Baseline Start]])=0),Tasks[[#This Row],[Start]],Tasks[[#This Row],[Baseline Start]]))</f>
        <v/>
      </c>
      <c r="BN68" s="63" t="str">
        <f aca="false">IF(Tasks[[#This Row],[Task Name]]="","",IF(OR(TakeBaseline="Yes",N(Tasks[[#This Row],[Baseline Finish]])=0),Tasks[[#This Row],[Finish]],Tasks[[#This Row],[Baseline Finish]]))</f>
        <v/>
      </c>
      <c r="BO68" s="21" t="str">
        <f aca="false">IF(Tasks[[#This Row],[Task Name]]="","",IF(OR(TakeBaseline="Yes",N(Tasks[[#This Row],[Baseline Duration]])=0),Tasks[[#This Row],[_SpanDays]],Tasks[[#This Row],[Baseline Duration]]))</f>
        <v/>
      </c>
      <c r="BP68" s="86" t="str">
        <f aca="false">IF(Tasks[[#This Row],[Task Name]]="","",IF(OR(TakeBaseline="Yes",N(Tasks[[#This Row],[Baseline Work]])=0),Tasks[[#This Row],[Work]],Tasks[[#This Row],[Baseline Work]]))</f>
        <v/>
      </c>
      <c r="BQ68" s="7"/>
      <c r="BR68" s="7"/>
      <c r="BS68" s="22"/>
      <c r="BT68" s="88"/>
      <c r="BU68" s="23"/>
      <c r="BV68" s="23"/>
      <c r="BW68" s="23"/>
      <c r="BX68" s="89" t="str">
        <f aca="false">IF(AND(Tasks[[#This Row],[_IsLeaf]]=1,ISNUMBER(Tasks[[#This Row],[Optimistic]]),ISNUMBER(Tasks[[#This Row],[Pessimistic]])),ROUND((Tasks[[#This Row],[Optimistic]]+4*N(Tasks[[#This Row],[_Days]])+Tasks[[#This Row],[Pessimistic]])/6,1),"")</f>
        <v/>
      </c>
      <c r="BY68" s="87"/>
      <c r="BZ68" s="87"/>
      <c r="CA68" s="22"/>
      <c r="CB68" s="43" t="str">
        <f aca="false">IF(Tasks[[#This Row],[Task Name]]="","",MAX(1,N(Tasks[[#This Row],[Level]])))</f>
        <v/>
      </c>
      <c r="CC68" s="43" t="n">
        <f aca="false">ROW()-ROW(Tasks[[#Headers],[ID]])</f>
        <v>63</v>
      </c>
      <c r="CD68" s="43" t="n">
        <f aca="false">IF(OR(Tasks[[#This Row],[Task Name]]="",Tasks[[#This Row],[_Level]]&lt;=1),0,IFERROR(LOOKUP(2,1/(Tasks[[#Headers],[_Level]]:Tasks[[#This Row],[_Level]]=Tasks[[#This Row],[_Level]]-1),ROW(Tasks[[#Headers],[_Level]]:Tasks[[#This Row],[_Level]])),0))</f>
        <v>0</v>
      </c>
      <c r="CE68" s="43" t="n">
        <f aca="false">IFERROR(N(INDEX(Tasks[_Level],Tasks[[#This Row],[_Row]]+1)),0)</f>
        <v>0</v>
      </c>
      <c r="CF68" s="90" t="b">
        <f aca="false">AND(Tasks[[#This Row],[Task Name]]&lt;&gt;"",Tasks[[#This Row],[_NextLevel]]&gt;Tasks[[#This Row],[_Level]])</f>
        <v>0</v>
      </c>
      <c r="CG68" s="43" t="n">
        <f aca="false">IF(Tasks[[#This Row],[_IsSummary]],COUNTIF(Tasks[WBS],Tasks[[#This Row],[WBS]]&amp;".*"),0)</f>
        <v>0</v>
      </c>
      <c r="CH68" s="43" t="n">
        <f aca="false">IF(AND(Tasks[[#This Row],[Task Name]]&lt;&gt;"",NOT(Tasks[[#This Row],[_IsSummary]])),1,0)</f>
        <v>0</v>
      </c>
      <c r="CI68" s="43" t="n">
        <f aca="false">IF(N(Tasks[[#This Row],[_Pred1UID]])=0,0,IFERROR(MATCH(Tasks[[#This Row],[_Pred1UID]],Tasks[UID],0),-1))</f>
        <v>0</v>
      </c>
      <c r="CJ68" s="43" t="n">
        <f aca="false">IF(N(Tasks[[#This Row],[_Pred2UID]])=0,0,IFERROR(MATCH(Tasks[[#This Row],[_Pred2UID]],Tasks[UID],0),-1))</f>
        <v>0</v>
      </c>
      <c r="CK68" s="43" t="n">
        <f aca="false">IF(N(Tasks[[#This Row],[_Pred3UID]])=0,0,IFERROR(MATCH(Tasks[[#This Row],[_Pred3UID]],Tasks[UID],0),-1))</f>
        <v>0</v>
      </c>
      <c r="CL68" s="43" t="n">
        <f aca="false">IF(N(Tasks[[#This Row],[_Pred4UID]])=0,0,IFERROR(MATCH(Tasks[[#This Row],[_Pred4UID]],Tasks[UID],0),-1))</f>
        <v>0</v>
      </c>
      <c r="CM6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8" s="91" t="n">
        <f aca="false">IF(OR(Tasks[[#This Row],[_ConstraintCode]]=2,Tasks[[#This Row],[_ConstraintCode]]=3,Tasks[[#This Row],[_ConstraintCode]]=4,Tasks[[#This Row],[_ConstraintCode]]=6),Tasks[[#This Row],[_ConstraintStart]],0)</f>
        <v>0</v>
      </c>
      <c r="CP68" s="91" t="n">
        <f aca="false">IF(OR(Tasks[[#This Row],[_ConstraintCode]]=2,Tasks[[#This Row],[_ConstraintCode]]=3,Tasks[[#This Row],[_ConstraintCode]]=5,Tasks[[#This Row],[_ConstraintCode]]=7),Tasks[[#This Row],[_ConstraintStart]],2958465)</f>
        <v>2958465</v>
      </c>
      <c r="CQ6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8" s="91" t="str">
        <f aca="false">IF(NOT(Tasks[[#This Row],[_IsLeaf]]=1),"",IF(N(Tasks[[#This Row],[_Days]])&lt;=0,Tasks[[#This Row],[_LeafCalcStart]],WORKDAY.INTL(Tasks[[#This Row],[_LeafCalcStart]],Tasks[[#This Row],[_Days]]-1,WorkWeek,Holidays)))</f>
        <v/>
      </c>
      <c r="CS6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8" s="43" t="str">
        <f aca="false">IF(Tasks[[#This Row],[_Predecessors]]="","",TRIM(MID(SUBSTITUTE(SUBSTITUTE(SUBSTITUTE(UPPER(Tasks[[#This Row],[_Predecessors]]),";",",")," ",""),",",REPT(" ",99)),1,99)))</f>
        <v/>
      </c>
      <c r="CV68" s="43" t="str">
        <f aca="false">IF(Tasks[[#This Row],[_Pred1Text]]="","",IFERROR(VALUE(LEFT(Tasks[[#This Row],[_Pred1Text]],MIN(FIND("F",Tasks[[#This Row],[_Pred1Text]]&amp;"F"),FIND("S",Tasks[[#This Row],[_Pred1Text]]&amp;"S"),FIND("+",Tasks[[#This Row],[_Pred1Text]]&amp;"+"),FIND("-",Tasks[[#This Row],[_Pred1Text]]&amp;"-"))-1)),""))</f>
        <v/>
      </c>
      <c r="CW6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8" s="43" t="str">
        <f aca="false">IF(Tasks[[#This Row],[_Pred1Text]]="","",TRIM(MID(SUBSTITUTE(SUBSTITUTE(SUBSTITUTE(UPPER(Tasks[[#This Row],[_Predecessors]]),";",",")," ",""),",",REPT(" ",99)),100,99)))</f>
        <v/>
      </c>
      <c r="CZ68" s="43" t="str">
        <f aca="false">IF(Tasks[[#This Row],[_Pred2Text]]="","",IFERROR(VALUE(LEFT(Tasks[[#This Row],[_Pred2Text]],MIN(FIND("F",Tasks[[#This Row],[_Pred2Text]]&amp;"F"),FIND("S",Tasks[[#This Row],[_Pred2Text]]&amp;"S"),FIND("+",Tasks[[#This Row],[_Pred2Text]]&amp;"+"),FIND("-",Tasks[[#This Row],[_Pred2Text]]&amp;"-"))-1)),""))</f>
        <v/>
      </c>
      <c r="DA6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8" s="43" t="str">
        <f aca="false">IF(Tasks[[#This Row],[_Pred2Text]]="","",TRIM(MID(SUBSTITUTE(SUBSTITUTE(SUBSTITUTE(UPPER(Tasks[[#This Row],[_Predecessors]]),";",",")," ",""),",",REPT(" ",99)),199,99)))</f>
        <v/>
      </c>
      <c r="DD68" s="43" t="str">
        <f aca="false">IF(Tasks[[#This Row],[_Pred3Text]]="","",IFERROR(VALUE(LEFT(Tasks[[#This Row],[_Pred3Text]],MIN(FIND("F",Tasks[[#This Row],[_Pred3Text]]&amp;"F"),FIND("S",Tasks[[#This Row],[_Pred3Text]]&amp;"S"),FIND("+",Tasks[[#This Row],[_Pred3Text]]&amp;"+"),FIND("-",Tasks[[#This Row],[_Pred3Text]]&amp;"-"))-1)),""))</f>
        <v/>
      </c>
      <c r="DE6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8" s="43" t="str">
        <f aca="false">IF(Tasks[[#This Row],[_Pred3Text]]="","",TRIM(MID(SUBSTITUTE(SUBSTITUTE(SUBSTITUTE(UPPER(Tasks[[#This Row],[_Predecessors]]),";",",")," ",""),",",REPT(" ",99)),298,99)))</f>
        <v/>
      </c>
      <c r="DH68" s="43" t="str">
        <f aca="false">IF(Tasks[[#This Row],[_Pred4Text]]="","",IFERROR(VALUE(LEFT(Tasks[[#This Row],[_Pred4Text]],MIN(FIND("F",Tasks[[#This Row],[_Pred4Text]]&amp;"F"),FIND("S",Tasks[[#This Row],[_Pred4Text]]&amp;"S"),FIND("+",Tasks[[#This Row],[_Pred4Text]]&amp;"+"),FIND("-",Tasks[[#This Row],[_Pred4Text]]&amp;"-"))-1)),""))</f>
        <v/>
      </c>
      <c r="DI6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8" s="43" t="str">
        <f aca="false">IF(OR(Tasks[[#This Row],[Task Name]]="",Tasks[[#This Row],[_Resources]]=""),"",TRIM(MID(SUBSTITUTE(Tasks[[#This Row],[_Resources]],",",REPT(" ",99)),1,99)))</f>
        <v/>
      </c>
      <c r="DL68" s="43" t="str">
        <f aca="false">IF(Tasks[[#This Row],[_Res1Text]]="","",TRIM(MID(SUBSTITUTE(Tasks[[#This Row],[_Resources]],",",REPT(" ",99)),100,99)))</f>
        <v/>
      </c>
      <c r="DM68" s="43" t="str">
        <f aca="false">IF(Tasks[[#This Row],[_Res2Text]]="","",TRIM(MID(SUBSTITUTE(Tasks[[#This Row],[_Resources]],",",REPT(" ",99)),199,99)))</f>
        <v/>
      </c>
      <c r="DN68" s="43" t="str">
        <f aca="false">IF(Tasks[[#This Row],[_Res3Text]]="","",TRIM(MID(SUBSTITUTE(Tasks[[#This Row],[_Resources]],",",REPT(" ",99)),298,99)))</f>
        <v/>
      </c>
      <c r="DO68" s="43" t="n">
        <f aca="false">IF(Tasks[[#This Row],[_Res1Text]]="",0,IFERROR(MATCH(TRIM(LEFT(Tasks[[#This Row],[_Res1Text]],FIND("[",Tasks[[#This Row],[_Res1Text]]&amp;"[")-1)),res_Name,0),IFERROR(MATCH(TRIM(LEFT(Tasks[[#This Row],[_Res1Text]],FIND("[",Tasks[[#This Row],[_Res1Text]]&amp;"[")-1)),res_Initials,0),0)))</f>
        <v>0</v>
      </c>
      <c r="DP68" s="43" t="n">
        <f aca="false">IF(Tasks[[#This Row],[_Res2Text]]="",0,IFERROR(MATCH(TRIM(LEFT(Tasks[[#This Row],[_Res2Text]],FIND("[",Tasks[[#This Row],[_Res2Text]]&amp;"[")-1)),res_Name,0),IFERROR(MATCH(TRIM(LEFT(Tasks[[#This Row],[_Res2Text]],FIND("[",Tasks[[#This Row],[_Res2Text]]&amp;"[")-1)),res_Initials,0),0)))</f>
        <v>0</v>
      </c>
      <c r="DQ68" s="43" t="n">
        <f aca="false">IF(Tasks[[#This Row],[_Res3Text]]="",0,IFERROR(MATCH(TRIM(LEFT(Tasks[[#This Row],[_Res3Text]],FIND("[",Tasks[[#This Row],[_Res3Text]]&amp;"[")-1)),res_Name,0),IFERROR(MATCH(TRIM(LEFT(Tasks[[#This Row],[_Res3Text]],FIND("[",Tasks[[#This Row],[_Res3Text]]&amp;"[")-1)),res_Initials,0),0)))</f>
        <v>0</v>
      </c>
      <c r="DR68" s="43" t="n">
        <f aca="false">IF(Tasks[[#This Row],[_Res4Text]]="",0,IFERROR(MATCH(TRIM(LEFT(Tasks[[#This Row],[_Res4Text]],FIND("[",Tasks[[#This Row],[_Res4Text]]&amp;"[")-1)),res_Name,0),IFERROR(MATCH(TRIM(LEFT(Tasks[[#This Row],[_Res4Text]],FIND("[",Tasks[[#This Row],[_Res4Text]]&amp;"[")-1)),res_Initials,0),0)))</f>
        <v>0</v>
      </c>
      <c r="DS68" s="43" t="str">
        <f aca="false">IF(Tasks[[#This Row],[_Res1Text]]="","",IF(Tasks[[#This Row],[_Res1Row]]&gt;0,INDEX(res_Name,Tasks[[#This Row],[_Res1Row]]),TRIM(LEFT(Tasks[[#This Row],[_Res1Text]],FIND("[",Tasks[[#This Row],[_Res1Text]]&amp;"[")-1))))</f>
        <v/>
      </c>
      <c r="DT6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8" s="43" t="n">
        <f aca="false">IF(NOT(Tasks[[#This Row],[_IsLeaf]]=1),0,(Tasks[[#This Row],[_Resource1]]&lt;&gt;"")+(Tasks[[#This Row],[_Res2]]&lt;&gt;"")+(Tasks[[#This Row],[_Res3]]&lt;&gt;"")+(Tasks[[#This Row],[_Res4]]&lt;&gt;""))</f>
        <v>0</v>
      </c>
      <c r="DV68" s="43" t="str">
        <f aca="false">IF(Tasks[[#This Row],[_Res2Text]]="","",IF(Tasks[[#This Row],[_Res2Row]]&gt;0,INDEX(res_Name,Tasks[[#This Row],[_Res2Row]]),TRIM(LEFT(Tasks[[#This Row],[_Res2Text]],FIND("[",Tasks[[#This Row],[_Res2Text]]&amp;"[")-1))))</f>
        <v/>
      </c>
      <c r="DW6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8" s="43" t="n">
        <f aca="false">IF(OR(NOT(Tasks[[#This Row],[_IsLeaf]]=1),Tasks[[#This Row],[_Res2Row]]=0),0,N(Tasks[[#This Row],[_Days]])*HoursPerDay*IF(Tasks[[#This Row],[_Res2Units]]="",DefaultUnits,Tasks[[#This Row],[_Res2Units]]))</f>
        <v>0</v>
      </c>
      <c r="DY68" s="43" t="n">
        <f aca="false">IF(AND(AND(Tasks[[#This Row],[_IsLeaf]]=1,Tasks[[#This Row],[_LeafTotalWork]]&gt;0),Tasks[[#This Row],[_Res2Work]]&gt;0),Tasks[[#This Row],[_Res2Work]]/(Tasks[[#This Row],[_FinishWorkday]]-Tasks[[#This Row],[_StartWorkday]]+1),0)</f>
        <v>0</v>
      </c>
      <c r="DZ68" s="43" t="n">
        <f aca="false">Tasks[[#This Row],[_Res2WorkPerWD]]*MAX(0,Tasks[[#This Row],[_StartWorkday]]-1)</f>
        <v>0</v>
      </c>
      <c r="EA68" s="43" t="n">
        <f aca="false">Tasks[[#This Row],[_Res2Work]]*Tasks[[#This Row],[_LeafProgress]]</f>
        <v>0</v>
      </c>
      <c r="EB68" s="43" t="str">
        <f aca="false">IF(Tasks[[#This Row],[_Res3Text]]="","",IF(Tasks[[#This Row],[_Res3Row]]&gt;0,INDEX(res_Name,Tasks[[#This Row],[_Res3Row]]),TRIM(LEFT(Tasks[[#This Row],[_Res3Text]],FIND("[",Tasks[[#This Row],[_Res3Text]]&amp;"[")-1))))</f>
        <v/>
      </c>
      <c r="EC6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8" s="43" t="n">
        <f aca="false">IF(OR(NOT(Tasks[[#This Row],[_IsLeaf]]=1),Tasks[[#This Row],[_Res3Row]]=0),0,N(Tasks[[#This Row],[_Days]])*HoursPerDay*IF(Tasks[[#This Row],[_Res3Units]]="",DefaultUnits,Tasks[[#This Row],[_Res3Units]]))</f>
        <v>0</v>
      </c>
      <c r="EE68" s="43" t="n">
        <f aca="false">IF(AND(AND(Tasks[[#This Row],[_IsLeaf]]=1,Tasks[[#This Row],[_LeafTotalWork]]&gt;0),Tasks[[#This Row],[_Res3Work]]&gt;0),Tasks[[#This Row],[_Res3Work]]/(Tasks[[#This Row],[_FinishWorkday]]-Tasks[[#This Row],[_StartWorkday]]+1),0)</f>
        <v>0</v>
      </c>
      <c r="EF68" s="43" t="n">
        <f aca="false">Tasks[[#This Row],[_Res3WorkPerWD]]*MAX(0,Tasks[[#This Row],[_StartWorkday]]-1)</f>
        <v>0</v>
      </c>
      <c r="EG68" s="43" t="n">
        <f aca="false">Tasks[[#This Row],[_Res3Work]]*Tasks[[#This Row],[_LeafProgress]]</f>
        <v>0</v>
      </c>
      <c r="EH68" s="43" t="str">
        <f aca="false">IF(Tasks[[#This Row],[_Res4Text]]="","",IF(Tasks[[#This Row],[_Res4Row]]&gt;0,INDEX(res_Name,Tasks[[#This Row],[_Res4Row]]),TRIM(LEFT(Tasks[[#This Row],[_Res4Text]],FIND("[",Tasks[[#This Row],[_Res4Text]]&amp;"[")-1))))</f>
        <v/>
      </c>
      <c r="EI6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8" s="43" t="n">
        <f aca="false">IF(OR(NOT(Tasks[[#This Row],[_IsLeaf]]=1),Tasks[[#This Row],[_Res4Row]]=0),0,N(Tasks[[#This Row],[_Days]])*HoursPerDay*IF(Tasks[[#This Row],[_Res4Units]]="",DefaultUnits,Tasks[[#This Row],[_Res4Units]]))</f>
        <v>0</v>
      </c>
      <c r="EK68" s="43" t="n">
        <f aca="false">IF(AND(AND(Tasks[[#This Row],[_IsLeaf]]=1,Tasks[[#This Row],[_LeafTotalWork]]&gt;0),Tasks[[#This Row],[_Res4Work]]&gt;0),Tasks[[#This Row],[_Res4Work]]/(Tasks[[#This Row],[_FinishWorkday]]-Tasks[[#This Row],[_StartWorkday]]+1),0)</f>
        <v>0</v>
      </c>
      <c r="EL68" s="43" t="n">
        <f aca="false">Tasks[[#This Row],[_Res4WorkPerWD]]*MAX(0,Tasks[[#This Row],[_StartWorkday]]-1)</f>
        <v>0</v>
      </c>
      <c r="EM68" s="43" t="n">
        <f aca="false">Tasks[[#This Row],[_Res4Work]]*Tasks[[#This Row],[_LeafProgress]]</f>
        <v>0</v>
      </c>
      <c r="EN68" s="43" t="n">
        <f aca="false">IF(ISNUMBER(Tasks[[#This Row],[% Complete]]),Tasks[[#This Row],[% Complete]],IF(Tasks[[#This Row],[Stage]]="",0,IFERROR(INDEX(stg_Pct,MATCH(Tasks[[#This Row],[Stage]],stg_Name,0)),0)))</f>
        <v>0</v>
      </c>
      <c r="EO68" s="43" t="n">
        <f aca="false">IF(NOT(Tasks[[#This Row],[_IsLeaf]]=1),0,IF(N(Tasks[[#This Row],[Actual Finish]])&gt;0,1,MIN(1,Tasks[[#This Row],[_Pct]])))</f>
        <v>0</v>
      </c>
      <c r="EP68" s="43" t="n">
        <f aca="false">IF(OR(NOT(Tasks[[#This Row],[_IsLeaf]]=1),Tasks[[#This Row],[_Res1Row]]=0),0,N(Tasks[[#This Row],[_Days]])*HoursPerDay*IF(Tasks[[#This Row],[_Units1]]="",DefaultUnits,Tasks[[#This Row],[_Units1]]))</f>
        <v>0</v>
      </c>
      <c r="EQ68" s="43" t="n">
        <f aca="false">Tasks[[#This Row],[_LeafWork]]+Tasks[[#This Row],[_Res2Work]]+Tasks[[#This Row],[_Res3Work]]+Tasks[[#This Row],[_Res4Work]]</f>
        <v>0</v>
      </c>
      <c r="ER6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8" s="43" t="n">
        <f aca="false">IF(NOT(Tasks[[#This Row],[_IsLeaf]]=1),0,MAX(_xlfn.MAXIFS(Tasks[_Row],Tasks[_Pred1UID],Tasks[[#This Row],[UID]]),_xlfn.MAXIFS(Tasks[_Row],Tasks[_Pred2UID],Tasks[[#This Row],[UID]]),_xlfn.MAXIFS(Tasks[_Row],Tasks[_Pred3UID],Tasks[[#This Row],[UID]]),_xlfn.MAXIFS(Tasks[_Row],Tasks[_Pred4UID],Tasks[[#This Row],[UID]])))</f>
        <v>0</v>
      </c>
      <c r="FA6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8" s="91" t="str">
        <f aca="false">IF(NOT(Tasks[[#This Row],[_IsLeaf]]=1),"",IF(N(Tasks[[#This Row],[_Days]])&lt;=0,Tasks[[#This Row],[_LeafLateFinish]],WORKDAY.INTL(Tasks[[#This Row],[_LeafLateFinish]],-(Tasks[[#This Row],[_Days]]-1),WorkWeek,Holidays)))</f>
        <v/>
      </c>
      <c r="FD6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8" s="90" t="b">
        <f aca="false">AND(Tasks[[#This Row],[_IsLeaf]]=1,Tasks[[#This Row],[_LeafProgress]]&lt;1,N(Tasks[[#This Row],[_LeafTotalSlack]])&lt;=CriticalSlackDays)</f>
        <v>0</v>
      </c>
      <c r="FF68" s="43" t="n">
        <f aca="false">IF(AND(Tasks[[#This Row],[_IsLeaf]]=1,Tasks[[#This Row],[_ConstraintCode]]=1,Tasks[[#This Row],[Mode]]&lt;&gt;"Manual",N(Tasks[[#This Row],[Actual Start]])=0),MAX(0,N(Tasks[[#This Row],[Free Slack]])),0)</f>
        <v>0</v>
      </c>
      <c r="FG68" s="91" t="str">
        <f aca="false">IF(NOT(Tasks[[#This Row],[_IsLeaf]]=1),"",IF(Tasks[[#This Row],[_AlapShift]]=0,Tasks[[#This Row],[_LeafCalcStart]],WORKDAY.INTL(Tasks[[#This Row],[_LeafCalcStart]],Tasks[[#This Row],[_AlapShift]],WorkWeek,Holidays)))</f>
        <v/>
      </c>
      <c r="FH68" s="91" t="str">
        <f aca="false">IF(NOT(Tasks[[#This Row],[_IsLeaf]]=1),"",IF(Tasks[[#This Row],[_AlapShift]]=0,Tasks[[#This Row],[_LeafCalcFinish]],WORKDAY.INTL(Tasks[[#This Row],[_LeafCalcFinish]],Tasks[[#This Row],[_AlapShift]],WorkWeek,Holidays)))</f>
        <v/>
      </c>
      <c r="FI68" s="91" t="str">
        <f aca="false">IF(NOT(Tasks[[#This Row],[_IsLeaf]]=1),"",IF(Tasks[[#This Row],[_AlapShift]]=0,Tasks[[#This Row],[_LeafFcstStart]],WORKDAY.INTL(Tasks[[#This Row],[_LeafFcstStart]],Tasks[[#This Row],[_AlapShift]],WorkWeek,Holidays)))</f>
        <v/>
      </c>
      <c r="FJ68" s="91" t="str">
        <f aca="false">IF(NOT(Tasks[[#This Row],[_IsLeaf]]=1),"",IF(Tasks[[#This Row],[_AlapShift]]=0,Tasks[[#This Row],[_LeafFcstFinish]],WORKDAY.INTL(Tasks[[#This Row],[_LeafFcstFinish]],Tasks[[#This Row],[_AlapShift]],WorkWeek,Holidays)))</f>
        <v/>
      </c>
      <c r="FK68" s="91" t="str">
        <f aca="false">IF(Tasks[[#This Row],[Task Name]]="","",IF(Tasks[[#This Row],[_IsSummary]],MIN(INDEX(Tasks[_ShownCalcStart],Tasks[[#This Row],[_Row]]+1):INDEX(Tasks[_ShownCalcStart],Tasks[[#This Row],[_Row]]+Tasks[[#This Row],[_Descendants]])),Tasks[[#This Row],[_ShownCalcStart]]))</f>
        <v/>
      </c>
      <c r="FL68" s="91" t="str">
        <f aca="false">IF(Tasks[[#This Row],[Task Name]]="","",IF(Tasks[[#This Row],[_IsSummary]],MAX(INDEX(Tasks[_ShownCalcFinish],Tasks[[#This Row],[_Row]]+1):INDEX(Tasks[_ShownCalcFinish],Tasks[[#This Row],[_Row]]+Tasks[[#This Row],[_Descendants]])),Tasks[[#This Row],[_ShownCalcFinish]]))</f>
        <v/>
      </c>
      <c r="FM6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8" s="43" t="n">
        <f aca="false">IF(AND(Tasks[[#This Row],[_IsLeaf]]=1,Tasks[[#This Row],[_LeafTotalWork]]&gt;0),NETWORKDAYS.INTL(ProjectStart,Tasks[[#This Row],[_ShownFcstStart]],WorkWeek,Holidays),0)</f>
        <v>0</v>
      </c>
      <c r="FZ68" s="43" t="n">
        <f aca="false">IF(AND(Tasks[[#This Row],[_IsLeaf]]=1,Tasks[[#This Row],[_LeafTotalWork]]&gt;0),MAX(Tasks[[#This Row],[_StartWorkday]],NETWORKDAYS.INTL(ProjectStart,Tasks[[#This Row],[_ShownFcstFinish]],WorkWeek,Holidays)),0)</f>
        <v>0</v>
      </c>
      <c r="GA68" s="43" t="n">
        <f aca="false">IF(AND(Tasks[[#This Row],[_IsLeaf]]=1,Tasks[[#This Row],[_LeafTotalWork]]&gt;0),Tasks[[#This Row],[_LeafWork]]/(Tasks[[#This Row],[_FinishWorkday]]-Tasks[[#This Row],[_StartWorkday]]+1),0)</f>
        <v>0</v>
      </c>
      <c r="GB68" s="43" t="n">
        <f aca="false">Tasks[[#This Row],[_WorkPerWorkday]]*(Tasks[[#This Row],[_StartWorkday]]-1)</f>
        <v>-0</v>
      </c>
      <c r="GC68" s="43" t="n">
        <f aca="false">IF(Tasks[[#This Row],[_IsLeaf]]=1,MAX(N(Tasks[[#This Row],[_Days]]),0.1),0)</f>
        <v>0</v>
      </c>
      <c r="GD68" s="43" t="n">
        <f aca="false">Tasks[[#This Row],[_WeightDur]]*Tasks[[#This Row],[_LeafProgress]]</f>
        <v>0</v>
      </c>
      <c r="GE68" s="43" t="n">
        <f aca="false">Tasks[[#This Row],[_WeightDur]]*Tasks[[#This Row],[_PlannedPct]]</f>
        <v>0</v>
      </c>
      <c r="GF6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8" s="43" t="str">
        <f aca="false">IF(AND(Tasks[[#This Row],[_IsLeaf]]=1,N(Tasks[[#This Row],[_Days]])=0,Tasks[[#This Row],[_LeafProgress]]&lt;1),Tasks[[#This Row],[_ShownFcstFinish]]+Tasks[[#This Row],[_Row]]/100000,"")</f>
        <v/>
      </c>
      <c r="GH6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8" s="43" t="str">
        <f aca="false">IF(Tasks[[#This Row],[Task Name]]="","",LEFT(Tasks[[#This Row],[WBS]],FIND(".",Tasks[[#This Row],[WBS]]&amp;".")-1))</f>
        <v/>
      </c>
      <c r="GJ68" s="43" t="str">
        <f aca="false">IF(AND(Tasks[[#This Row],[Task Name]]&lt;&gt;"",Tasks[[#This Row],[_Level]]=1),Tasks[[#This Row],[_Row]],"")</f>
        <v/>
      </c>
      <c r="GK68" s="43" t="str">
        <f aca="false">IF(AND(Tasks[[#This Row],[_IsLeaf]]=1,N(Tasks[[#This Row],[_Days]])=0),Tasks[[#This Row],[Planned Finish]]+Tasks[[#This Row],[_Row]]/100000,"")</f>
        <v/>
      </c>
      <c r="GL68" s="43" t="str">
        <f aca="false">IF(AND(Tasks[[#This Row],[_IsLeaf]]=1,Tasks[[#This Row],[_LeafProgress]]&lt;1,OR(N(Tasks[[#This Row],[Finish Var]])&gt;0,Tasks[[#This Row],[Status]]="Late Start")),MAX(0,Tasks[[#This Row],[Finish Var]])+1-Tasks[[#This Row],[_Row]]/1000000,"")</f>
        <v/>
      </c>
      <c r="GM68" s="43" t="str">
        <f aca="false">IF(AND(Tasks[[#This Row],[_IsLeaf]]=1,N(Tasks[[#This Row],[Actual Start]])=0,Tasks[[#This Row],[_ShownFcstStart]]&gt;=StatusDate,Tasks[[#This Row],[_ShownFcstStart]]&lt;=LookaheadEnd),Tasks[[#This Row],[_ShownFcstStart]]+Tasks[[#This Row],[_Row]]/100000,"")</f>
        <v/>
      </c>
      <c r="GN68" s="43" t="str">
        <f aca="false">IF(AND(Tasks[[#This Row],[_IsLeaf]]=1,Tasks[[#This Row],[_LeafProgress]]&lt;1,Tasks[[#This Row],[_ShownFcstFinish]]&gt;=StatusDate,Tasks[[#This Row],[_ShownFcstFinish]]&lt;=LookaheadEnd),Tasks[[#This Row],[_ShownFcstFinish]]+Tasks[[#This Row],[_Row]]/100000,"")</f>
        <v/>
      </c>
      <c r="GO68" s="43" t="str">
        <f aca="false">IF(Tasks[[#This Row],[_LeafCritical]],Tasks[[#This Row],[_ShownFcstStart]]+Tasks[[#This Row],[_Row]]/100000,"")</f>
        <v/>
      </c>
      <c r="GP68" s="43" t="n">
        <f aca="false">Tasks[[#This Row],[_LeafWork]]*Tasks[[#This Row],[_LeafProgress]]</f>
        <v>0</v>
      </c>
      <c r="GQ68" s="91" t="str">
        <f aca="false">IF(AND(Tasks[[#This Row],[_IsLeaf]]=1,Tasks[[#This Row],[_LeafProgress]]&gt;=1),IF(N(Tasks[[#This Row],[Actual Finish]])&gt;0,Tasks[[#This Row],[Actual Finish]],Tasks[[#This Row],[_ShownFcstFinish]]),"")</f>
        <v/>
      </c>
      <c r="GR68" s="43" t="n">
        <f aca="false">IF(Tasks[[#This Row],[_IsLeaf]]=1,N(Tasks[[#This Row],[Story Points]]),0)</f>
        <v>0</v>
      </c>
      <c r="GS68" s="43" t="str">
        <f aca="false">""</f>
        <v/>
      </c>
      <c r="GT68" s="90" t="b">
        <f aca="false">IF(Tasks[[#This Row],[Task Name]]="",FALSE(),AND(Tasks[[#This Row],[_IsLeaf]]=1,N(Tasks[[#This Row],[_Days]])=0))</f>
        <v>0</v>
      </c>
      <c r="GU68" s="91" t="n">
        <f aca="false">IF(Tasks[[#This Row],[Task Name]]="",0,IF(AND(Tasks[[#This Row],[_IsLeaf]]=1,NOT(Tasks[[#This Row],[_IsMilestone]]),N(Tasks[[#This Row],[Progress]])&gt;0),Tasks[[#This Row],[Start]],0))</f>
        <v>0</v>
      </c>
      <c r="GV68" s="91" t="n">
        <f aca="false">IF(Tasks[[#This Row],[_DoneFrom]]=0,0,IF(Tasks[[#This Row],[Progress]]&gt;=1,Tasks[[#This Row],[Finish]],MAX(Tasks[[#This Row],[_DoneFrom]],Tasks[[#This Row],[Start]]+ROUND((Tasks[[#This Row],[Finish]]-Tasks[[#This Row],[Start]]+1)*Tasks[[#This Row],[Progress]],0)-1)))</f>
        <v>0</v>
      </c>
      <c r="GW68" s="91" t="n">
        <f aca="false">IF(Tasks[[#This Row],[Task Name]]="",0,IF(OR(NOT(Tasks[[#This Row],[_IsLeaf]]=1),Tasks[[#This Row],[_IsMilestone]],N(Tasks[[#This Row],[Progress]])&gt;=1),0,IF(Tasks[[#This Row],[_DoneTo]]&gt;0,Tasks[[#This Row],[_DoneTo]]+1,Tasks[[#This Row],[Start]])))</f>
        <v>0</v>
      </c>
      <c r="GX68" s="91" t="n">
        <f aca="false">IF(Tasks[[#This Row],[_RemFrom]]=0,0,Tasks[[#This Row],[Finish]])</f>
        <v>0</v>
      </c>
      <c r="GY68" s="90" t="b">
        <f aca="false">IF(Tasks[[#This Row],[Task Name]]="",FALSE(),OR(NOT(BaselineSet),N(Tasks[[#This Row],[Baseline Start]])&gt;0))</f>
        <v>0</v>
      </c>
      <c r="GZ6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8" s="92" t="str">
        <f aca="false">IF(Tasks[[#This Row],[_IsLeaf]]=1,Tasks[[#This Row],[_Row]],"")</f>
        <v/>
      </c>
      <c r="HD68" s="92" t="str">
        <f aca="false">IFERROR(INDEX(Tasks[UID],SMALL(Tasks[_PickKey],Tasks[[#This Row],[_Row]]))&amp;" "&amp;INDEX(Tasks[Task Name],SMALL(Tasks[_PickKey],Tasks[[#This Row],[_Row]])),"")</f>
        <v/>
      </c>
      <c r="HE68" s="43" t="str">
        <f aca="false">IF(Tasks[[#This Row],[Task Name]]="","",IF(Tasks[[#This Row],[_IsSummary]],NETWORKDAYS.INTL(Tasks[[#This Row],[Start]],Tasks[[#This Row],[Finish]],WorkWeek,Holidays),N(Tasks[[#This Row],[_Days]])))</f>
        <v/>
      </c>
      <c r="HF68" s="43" t="n">
        <f aca="false">IF(Tasks[[#This Row],[Expected]]="",0,((Tasks[[#This Row],[Pessimistic]]-Tasks[[#This Row],[Optimistic]])/6)^2)</f>
        <v>0</v>
      </c>
      <c r="HG68" s="43" t="n">
        <f aca="false">IF(Tasks[[#This Row],[Expected]]="",0,Tasks[[#This Row],[Expected]]-N(Tasks[[#This Row],[_Days]]))</f>
        <v>0</v>
      </c>
    </row>
    <row r="69" customFormat="false" ht="15" hidden="false" customHeight="false" outlineLevel="0" collapsed="false">
      <c r="A69" s="21" t="str">
        <f aca="false">IF(Tasks[[#This Row],[Task Name]]="","",COUNTA(Tasks[[#Headers],[Task Name]]:Tasks[[#This Row],[Task Name]])-1)</f>
        <v/>
      </c>
      <c r="B69" s="22" t="n">
        <v>77</v>
      </c>
      <c r="C69" s="22"/>
      <c r="D69" s="23"/>
      <c r="E69" s="22"/>
      <c r="F69" s="23"/>
      <c r="G69" s="22"/>
      <c r="H69" s="22"/>
      <c r="I69" s="23"/>
      <c r="J69" s="22"/>
      <c r="K69" s="22"/>
      <c r="L69" s="23"/>
      <c r="M69" s="22"/>
      <c r="N69" s="22"/>
      <c r="O69" s="23"/>
      <c r="P69" s="22"/>
      <c r="Q69" s="22"/>
      <c r="R69" s="23"/>
      <c r="S69" s="23"/>
      <c r="T69" s="84"/>
      <c r="U69" s="23"/>
      <c r="V69" s="84"/>
      <c r="W69" s="23"/>
      <c r="X69" s="84"/>
      <c r="Y69" s="23"/>
      <c r="Z69" s="84"/>
      <c r="AA69" s="23"/>
      <c r="AB69" s="23"/>
      <c r="AC69" s="7"/>
      <c r="AD69" s="7"/>
      <c r="AE69" s="63" t="str">
        <f aca="false">IF(Tasks[[#This Row],[Task Name]]="","",IF(Tasks[[#This Row],[_IsSummary]],MIN(INDEX(Tasks[_ShownFcstStart],Tasks[[#This Row],[_Row]]+1):INDEX(Tasks[_ShownFcstStart],Tasks[[#This Row],[_Row]]+Tasks[[#This Row],[_Descendants]])),Tasks[[#This Row],[_ShownFcstStart]]))</f>
        <v/>
      </c>
      <c r="AF69" s="63" t="str">
        <f aca="false">IF(Tasks[[#This Row],[Task Name]]="","",IF(Tasks[[#This Row],[_IsSummary]],MAX(INDEX(Tasks[_ShownFcstFinish],Tasks[[#This Row],[_Row]]+1):INDEX(Tasks[_ShownFcstFinish],Tasks[[#This Row],[_Row]]+Tasks[[#This Row],[_Descendants]])),Tasks[[#This Row],[_ShownFcstFinish]]))</f>
        <v/>
      </c>
      <c r="AG69" s="21" t="str">
        <f aca="false">""</f>
        <v/>
      </c>
      <c r="AH69" s="23"/>
      <c r="AI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9" s="7"/>
      <c r="AK69" s="22"/>
      <c r="AL69" s="23"/>
      <c r="AM69" s="7"/>
      <c r="AN69" s="47" t="str">
        <f aca="false">IF(Tasks[[#This Row],[Task Name]]="","",IF(Tasks[[#This Row],[Finish]]&gt;=Tasks[[#This Row],[Planned Finish]],NETWORKDAYS.INTL(Tasks[[#This Row],[Planned Finish]],Tasks[[#This Row],[Finish]],WorkWeek,Holidays)-1,1-NETWORKDAYS.INTL(Tasks[[#This Row],[Finish]],Tasks[[#This Row],[Planned Finish]],WorkWeek,Holidays)))</f>
        <v/>
      </c>
      <c r="AO69" s="21" t="str">
        <f aca="false">IF(Tasks[[#This Row],[Task Name]]="","",IF(Tasks[[#This Row],[Progress]]&gt;=1,"Complete",IF(OR(N(Tasks[[#This Row],[Actual Start]])&gt;0,Tasks[[#This Row],[Progress]]&gt;0),IF(Tasks[[#This Row],[Finish Var]]&gt;0,"Behind","In Progress"),IF(Tasks[[#This Row],[Planned Start]]&lt;StatusDate,"Late Start","Not Started"))))</f>
        <v/>
      </c>
      <c r="AP69" s="21" t="str">
        <f aca="false">IF(Tasks[[#This Row],[Task Name]]="","",IF(IF(Tasks[[#This Row],[_IsSummary]],COUNTIF(INDEX(Tasks[_LeafCritical],Tasks[[#This Row],[_Row]]+1):INDEX(Tasks[_LeafCritical],Tasks[[#This Row],[_Row]]+Tasks[[#This Row],[_Descendants]]),TRUE())&gt;0,Tasks[[#This Row],[_LeafCritical]]),"Yes",""))</f>
        <v/>
      </c>
      <c r="AQ69" s="63" t="str">
        <f aca="false">IF(Tasks[[#This Row],[Task Name]]="","",IF(N(Tasks[[#This Row],[Baseline Start]])&gt;0,Tasks[[#This Row],[Baseline Start]],Tasks[[#This Row],[_CalcStart]]))</f>
        <v/>
      </c>
      <c r="AR69" s="63" t="str">
        <f aca="false">IF(Tasks[[#This Row],[Task Name]]="","",IF(N(Tasks[[#This Row],[Baseline Finish]])&gt;0,Tasks[[#This Row],[Baseline Finish]],Tasks[[#This Row],[_CalcFinish]]))</f>
        <v/>
      </c>
      <c r="AS69" s="47" t="str">
        <f aca="false">IF(Tasks[[#This Row],[Task Name]]="","",IF(Tasks[[#This Row],[Start]]&gt;=Tasks[[#This Row],[Planned Start]],NETWORKDAYS.INTL(Tasks[[#This Row],[Planned Start]],Tasks[[#This Row],[Start]],WorkWeek,Holidays)-1,1-NETWORKDAYS.INTL(Tasks[[#This Row],[Start]],Tasks[[#This Row],[Planned Start]],WorkWeek,Holidays)))</f>
        <v/>
      </c>
      <c r="AT69" s="63" t="str">
        <f aca="false">IF(Tasks[[#This Row],[Task Name]]="","",IF(Tasks[[#This Row],[_IsSummary]],MIN(INDEX(Tasks[_LeafLateStart],Tasks[[#This Row],[_Row]]+1):INDEX(Tasks[_LeafLateStart],Tasks[[#This Row],[_Row]]+Tasks[[#This Row],[_Descendants]])),Tasks[[#This Row],[_LeafLateStart]]))</f>
        <v/>
      </c>
      <c r="AU69" s="63" t="str">
        <f aca="false">IF(Tasks[[#This Row],[Task Name]]="","",IF(Tasks[[#This Row],[_IsSummary]],MAX(INDEX(Tasks[_LeafLateFinish],Tasks[[#This Row],[_Row]]+1):INDEX(Tasks[_LeafLateFinish],Tasks[[#This Row],[_Row]]+Tasks[[#This Row],[_Descendants]])),Tasks[[#This Row],[_LeafLateFinish]]))</f>
        <v/>
      </c>
      <c r="AV69" s="47" t="str">
        <f aca="false">IF(Tasks[[#This Row],[Task Name]]="","",IF(Tasks[[#This Row],[_IsSummary]],MIN(INDEX(Tasks[_LeafTotalSlack],Tasks[[#This Row],[_Row]]+1):INDEX(Tasks[_LeafTotalSlack],Tasks[[#This Row],[_Row]]+Tasks[[#This Row],[_Descendants]])),Tasks[[#This Row],[_LeafTotalSlack]]))</f>
        <v/>
      </c>
      <c r="AW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5"/>
      <c r="BA6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1" t="str">
        <f aca="false">IF(Tasks[[#This Row],[Task Name]]="","",IF(Tasks[[#This Row],[_Level]]&lt;=OutlineShowLevel,"Yes","No"))</f>
        <v/>
      </c>
      <c r="BE69" s="86" t="str">
        <f aca="false">IF(Tasks[[#This Row],[Task Name]]="","",IF(Tasks[[#This Row],[_IsSummary]],SUM(INDEX(Tasks[_LeafTotalWork],Tasks[[#This Row],[_Row]]+1):INDEX(Tasks[_LeafTotalWork],Tasks[[#This Row],[_Row]]+Tasks[[#This Row],[_Descendants]])),Tasks[[#This Row],[_LeafTotalWork]]))</f>
        <v/>
      </c>
      <c r="BF69" s="23"/>
      <c r="BG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9" s="21" t="str">
        <f aca="false">""</f>
        <v/>
      </c>
      <c r="BI69" s="87"/>
      <c r="BJ69" s="22"/>
      <c r="BK69" s="47" t="str">
        <f aca="false">IF(OR(Tasks[[#This Row],[Task Name]]="",Tasks[[#This Row],[Baseline Duration]]=""),"",Tasks[[#This Row],[_SpanDays]]-N(Tasks[[#This Row],[Baseline Duration]]))</f>
        <v/>
      </c>
      <c r="BL69" s="86" t="str">
        <f aca="false">IF(OR(Tasks[[#This Row],[Task Name]]="",Tasks[[#This Row],[Baseline Work]]=""),"",Tasks[[#This Row],[Work]]-N(Tasks[[#This Row],[Baseline Work]]))</f>
        <v/>
      </c>
      <c r="BM69" s="63" t="str">
        <f aca="false">IF(Tasks[[#This Row],[Task Name]]="","",IF(OR(TakeBaseline="Yes",N(Tasks[[#This Row],[Baseline Start]])=0),Tasks[[#This Row],[Start]],Tasks[[#This Row],[Baseline Start]]))</f>
        <v/>
      </c>
      <c r="BN69" s="63" t="str">
        <f aca="false">IF(Tasks[[#This Row],[Task Name]]="","",IF(OR(TakeBaseline="Yes",N(Tasks[[#This Row],[Baseline Finish]])=0),Tasks[[#This Row],[Finish]],Tasks[[#This Row],[Baseline Finish]]))</f>
        <v/>
      </c>
      <c r="BO69" s="21" t="str">
        <f aca="false">IF(Tasks[[#This Row],[Task Name]]="","",IF(OR(TakeBaseline="Yes",N(Tasks[[#This Row],[Baseline Duration]])=0),Tasks[[#This Row],[_SpanDays]],Tasks[[#This Row],[Baseline Duration]]))</f>
        <v/>
      </c>
      <c r="BP69" s="86" t="str">
        <f aca="false">IF(Tasks[[#This Row],[Task Name]]="","",IF(OR(TakeBaseline="Yes",N(Tasks[[#This Row],[Baseline Work]])=0),Tasks[[#This Row],[Work]],Tasks[[#This Row],[Baseline Work]]))</f>
        <v/>
      </c>
      <c r="BQ69" s="7"/>
      <c r="BR69" s="7"/>
      <c r="BS69" s="22"/>
      <c r="BT69" s="88"/>
      <c r="BU69" s="23"/>
      <c r="BV69" s="23"/>
      <c r="BW69" s="23"/>
      <c r="BX69" s="89" t="str">
        <f aca="false">IF(AND(Tasks[[#This Row],[_IsLeaf]]=1,ISNUMBER(Tasks[[#This Row],[Optimistic]]),ISNUMBER(Tasks[[#This Row],[Pessimistic]])),ROUND((Tasks[[#This Row],[Optimistic]]+4*N(Tasks[[#This Row],[_Days]])+Tasks[[#This Row],[Pessimistic]])/6,1),"")</f>
        <v/>
      </c>
      <c r="BY69" s="87"/>
      <c r="BZ69" s="87"/>
      <c r="CA69" s="22"/>
      <c r="CB69" s="43" t="str">
        <f aca="false">IF(Tasks[[#This Row],[Task Name]]="","",MAX(1,N(Tasks[[#This Row],[Level]])))</f>
        <v/>
      </c>
      <c r="CC69" s="43" t="n">
        <f aca="false">ROW()-ROW(Tasks[[#Headers],[ID]])</f>
        <v>64</v>
      </c>
      <c r="CD69" s="43" t="n">
        <f aca="false">IF(OR(Tasks[[#This Row],[Task Name]]="",Tasks[[#This Row],[_Level]]&lt;=1),0,IFERROR(LOOKUP(2,1/(Tasks[[#Headers],[_Level]]:Tasks[[#This Row],[_Level]]=Tasks[[#This Row],[_Level]]-1),ROW(Tasks[[#Headers],[_Level]]:Tasks[[#This Row],[_Level]])),0))</f>
        <v>0</v>
      </c>
      <c r="CE69" s="43" t="n">
        <f aca="false">IFERROR(N(INDEX(Tasks[_Level],Tasks[[#This Row],[_Row]]+1)),0)</f>
        <v>0</v>
      </c>
      <c r="CF69" s="90" t="b">
        <f aca="false">AND(Tasks[[#This Row],[Task Name]]&lt;&gt;"",Tasks[[#This Row],[_NextLevel]]&gt;Tasks[[#This Row],[_Level]])</f>
        <v>0</v>
      </c>
      <c r="CG69" s="43" t="n">
        <f aca="false">IF(Tasks[[#This Row],[_IsSummary]],COUNTIF(Tasks[WBS],Tasks[[#This Row],[WBS]]&amp;".*"),0)</f>
        <v>0</v>
      </c>
      <c r="CH69" s="43" t="n">
        <f aca="false">IF(AND(Tasks[[#This Row],[Task Name]]&lt;&gt;"",NOT(Tasks[[#This Row],[_IsSummary]])),1,0)</f>
        <v>0</v>
      </c>
      <c r="CI69" s="43" t="n">
        <f aca="false">IF(N(Tasks[[#This Row],[_Pred1UID]])=0,0,IFERROR(MATCH(Tasks[[#This Row],[_Pred1UID]],Tasks[UID],0),-1))</f>
        <v>0</v>
      </c>
      <c r="CJ69" s="43" t="n">
        <f aca="false">IF(N(Tasks[[#This Row],[_Pred2UID]])=0,0,IFERROR(MATCH(Tasks[[#This Row],[_Pred2UID]],Tasks[UID],0),-1))</f>
        <v>0</v>
      </c>
      <c r="CK69" s="43" t="n">
        <f aca="false">IF(N(Tasks[[#This Row],[_Pred3UID]])=0,0,IFERROR(MATCH(Tasks[[#This Row],[_Pred3UID]],Tasks[UID],0),-1))</f>
        <v>0</v>
      </c>
      <c r="CL69" s="43" t="n">
        <f aca="false">IF(N(Tasks[[#This Row],[_Pred4UID]])=0,0,IFERROR(MATCH(Tasks[[#This Row],[_Pred4UID]],Tasks[UID],0),-1))</f>
        <v>0</v>
      </c>
      <c r="CM6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9" s="91" t="n">
        <f aca="false">IF(OR(Tasks[[#This Row],[_ConstraintCode]]=2,Tasks[[#This Row],[_ConstraintCode]]=3,Tasks[[#This Row],[_ConstraintCode]]=4,Tasks[[#This Row],[_ConstraintCode]]=6),Tasks[[#This Row],[_ConstraintStart]],0)</f>
        <v>0</v>
      </c>
      <c r="CP69" s="91" t="n">
        <f aca="false">IF(OR(Tasks[[#This Row],[_ConstraintCode]]=2,Tasks[[#This Row],[_ConstraintCode]]=3,Tasks[[#This Row],[_ConstraintCode]]=5,Tasks[[#This Row],[_ConstraintCode]]=7),Tasks[[#This Row],[_ConstraintStart]],2958465)</f>
        <v>2958465</v>
      </c>
      <c r="CQ6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9" s="91" t="str">
        <f aca="false">IF(NOT(Tasks[[#This Row],[_IsLeaf]]=1),"",IF(N(Tasks[[#This Row],[_Days]])&lt;=0,Tasks[[#This Row],[_LeafCalcStart]],WORKDAY.INTL(Tasks[[#This Row],[_LeafCalcStart]],Tasks[[#This Row],[_Days]]-1,WorkWeek,Holidays)))</f>
        <v/>
      </c>
      <c r="CS6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9" s="43" t="str">
        <f aca="false">IF(Tasks[[#This Row],[_Predecessors]]="","",TRIM(MID(SUBSTITUTE(SUBSTITUTE(SUBSTITUTE(UPPER(Tasks[[#This Row],[_Predecessors]]),";",",")," ",""),",",REPT(" ",99)),1,99)))</f>
        <v/>
      </c>
      <c r="CV69" s="43" t="str">
        <f aca="false">IF(Tasks[[#This Row],[_Pred1Text]]="","",IFERROR(VALUE(LEFT(Tasks[[#This Row],[_Pred1Text]],MIN(FIND("F",Tasks[[#This Row],[_Pred1Text]]&amp;"F"),FIND("S",Tasks[[#This Row],[_Pred1Text]]&amp;"S"),FIND("+",Tasks[[#This Row],[_Pred1Text]]&amp;"+"),FIND("-",Tasks[[#This Row],[_Pred1Text]]&amp;"-"))-1)),""))</f>
        <v/>
      </c>
      <c r="CW6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9" s="43" t="str">
        <f aca="false">IF(Tasks[[#This Row],[_Pred1Text]]="","",TRIM(MID(SUBSTITUTE(SUBSTITUTE(SUBSTITUTE(UPPER(Tasks[[#This Row],[_Predecessors]]),";",",")," ",""),",",REPT(" ",99)),100,99)))</f>
        <v/>
      </c>
      <c r="CZ69" s="43" t="str">
        <f aca="false">IF(Tasks[[#This Row],[_Pred2Text]]="","",IFERROR(VALUE(LEFT(Tasks[[#This Row],[_Pred2Text]],MIN(FIND("F",Tasks[[#This Row],[_Pred2Text]]&amp;"F"),FIND("S",Tasks[[#This Row],[_Pred2Text]]&amp;"S"),FIND("+",Tasks[[#This Row],[_Pred2Text]]&amp;"+"),FIND("-",Tasks[[#This Row],[_Pred2Text]]&amp;"-"))-1)),""))</f>
        <v/>
      </c>
      <c r="DA6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9" s="43" t="str">
        <f aca="false">IF(Tasks[[#This Row],[_Pred2Text]]="","",TRIM(MID(SUBSTITUTE(SUBSTITUTE(SUBSTITUTE(UPPER(Tasks[[#This Row],[_Predecessors]]),";",",")," ",""),",",REPT(" ",99)),199,99)))</f>
        <v/>
      </c>
      <c r="DD69" s="43" t="str">
        <f aca="false">IF(Tasks[[#This Row],[_Pred3Text]]="","",IFERROR(VALUE(LEFT(Tasks[[#This Row],[_Pred3Text]],MIN(FIND("F",Tasks[[#This Row],[_Pred3Text]]&amp;"F"),FIND("S",Tasks[[#This Row],[_Pred3Text]]&amp;"S"),FIND("+",Tasks[[#This Row],[_Pred3Text]]&amp;"+"),FIND("-",Tasks[[#This Row],[_Pred3Text]]&amp;"-"))-1)),""))</f>
        <v/>
      </c>
      <c r="DE6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9" s="43" t="str">
        <f aca="false">IF(Tasks[[#This Row],[_Pred3Text]]="","",TRIM(MID(SUBSTITUTE(SUBSTITUTE(SUBSTITUTE(UPPER(Tasks[[#This Row],[_Predecessors]]),";",",")," ",""),",",REPT(" ",99)),298,99)))</f>
        <v/>
      </c>
      <c r="DH69" s="43" t="str">
        <f aca="false">IF(Tasks[[#This Row],[_Pred4Text]]="","",IFERROR(VALUE(LEFT(Tasks[[#This Row],[_Pred4Text]],MIN(FIND("F",Tasks[[#This Row],[_Pred4Text]]&amp;"F"),FIND("S",Tasks[[#This Row],[_Pred4Text]]&amp;"S"),FIND("+",Tasks[[#This Row],[_Pred4Text]]&amp;"+"),FIND("-",Tasks[[#This Row],[_Pred4Text]]&amp;"-"))-1)),""))</f>
        <v/>
      </c>
      <c r="DI6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9" s="43" t="str">
        <f aca="false">IF(OR(Tasks[[#This Row],[Task Name]]="",Tasks[[#This Row],[_Resources]]=""),"",TRIM(MID(SUBSTITUTE(Tasks[[#This Row],[_Resources]],",",REPT(" ",99)),1,99)))</f>
        <v/>
      </c>
      <c r="DL69" s="43" t="str">
        <f aca="false">IF(Tasks[[#This Row],[_Res1Text]]="","",TRIM(MID(SUBSTITUTE(Tasks[[#This Row],[_Resources]],",",REPT(" ",99)),100,99)))</f>
        <v/>
      </c>
      <c r="DM69" s="43" t="str">
        <f aca="false">IF(Tasks[[#This Row],[_Res2Text]]="","",TRIM(MID(SUBSTITUTE(Tasks[[#This Row],[_Resources]],",",REPT(" ",99)),199,99)))</f>
        <v/>
      </c>
      <c r="DN69" s="43" t="str">
        <f aca="false">IF(Tasks[[#This Row],[_Res3Text]]="","",TRIM(MID(SUBSTITUTE(Tasks[[#This Row],[_Resources]],",",REPT(" ",99)),298,99)))</f>
        <v/>
      </c>
      <c r="DO69" s="43" t="n">
        <f aca="false">IF(Tasks[[#This Row],[_Res1Text]]="",0,IFERROR(MATCH(TRIM(LEFT(Tasks[[#This Row],[_Res1Text]],FIND("[",Tasks[[#This Row],[_Res1Text]]&amp;"[")-1)),res_Name,0),IFERROR(MATCH(TRIM(LEFT(Tasks[[#This Row],[_Res1Text]],FIND("[",Tasks[[#This Row],[_Res1Text]]&amp;"[")-1)),res_Initials,0),0)))</f>
        <v>0</v>
      </c>
      <c r="DP69" s="43" t="n">
        <f aca="false">IF(Tasks[[#This Row],[_Res2Text]]="",0,IFERROR(MATCH(TRIM(LEFT(Tasks[[#This Row],[_Res2Text]],FIND("[",Tasks[[#This Row],[_Res2Text]]&amp;"[")-1)),res_Name,0),IFERROR(MATCH(TRIM(LEFT(Tasks[[#This Row],[_Res2Text]],FIND("[",Tasks[[#This Row],[_Res2Text]]&amp;"[")-1)),res_Initials,0),0)))</f>
        <v>0</v>
      </c>
      <c r="DQ69" s="43" t="n">
        <f aca="false">IF(Tasks[[#This Row],[_Res3Text]]="",0,IFERROR(MATCH(TRIM(LEFT(Tasks[[#This Row],[_Res3Text]],FIND("[",Tasks[[#This Row],[_Res3Text]]&amp;"[")-1)),res_Name,0),IFERROR(MATCH(TRIM(LEFT(Tasks[[#This Row],[_Res3Text]],FIND("[",Tasks[[#This Row],[_Res3Text]]&amp;"[")-1)),res_Initials,0),0)))</f>
        <v>0</v>
      </c>
      <c r="DR69" s="43" t="n">
        <f aca="false">IF(Tasks[[#This Row],[_Res4Text]]="",0,IFERROR(MATCH(TRIM(LEFT(Tasks[[#This Row],[_Res4Text]],FIND("[",Tasks[[#This Row],[_Res4Text]]&amp;"[")-1)),res_Name,0),IFERROR(MATCH(TRIM(LEFT(Tasks[[#This Row],[_Res4Text]],FIND("[",Tasks[[#This Row],[_Res4Text]]&amp;"[")-1)),res_Initials,0),0)))</f>
        <v>0</v>
      </c>
      <c r="DS69" s="43" t="str">
        <f aca="false">IF(Tasks[[#This Row],[_Res1Text]]="","",IF(Tasks[[#This Row],[_Res1Row]]&gt;0,INDEX(res_Name,Tasks[[#This Row],[_Res1Row]]),TRIM(LEFT(Tasks[[#This Row],[_Res1Text]],FIND("[",Tasks[[#This Row],[_Res1Text]]&amp;"[")-1))))</f>
        <v/>
      </c>
      <c r="DT6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9" s="43" t="n">
        <f aca="false">IF(NOT(Tasks[[#This Row],[_IsLeaf]]=1),0,(Tasks[[#This Row],[_Resource1]]&lt;&gt;"")+(Tasks[[#This Row],[_Res2]]&lt;&gt;"")+(Tasks[[#This Row],[_Res3]]&lt;&gt;"")+(Tasks[[#This Row],[_Res4]]&lt;&gt;""))</f>
        <v>0</v>
      </c>
      <c r="DV69" s="43" t="str">
        <f aca="false">IF(Tasks[[#This Row],[_Res2Text]]="","",IF(Tasks[[#This Row],[_Res2Row]]&gt;0,INDEX(res_Name,Tasks[[#This Row],[_Res2Row]]),TRIM(LEFT(Tasks[[#This Row],[_Res2Text]],FIND("[",Tasks[[#This Row],[_Res2Text]]&amp;"[")-1))))</f>
        <v/>
      </c>
      <c r="DW6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9" s="43" t="n">
        <f aca="false">IF(OR(NOT(Tasks[[#This Row],[_IsLeaf]]=1),Tasks[[#This Row],[_Res2Row]]=0),0,N(Tasks[[#This Row],[_Days]])*HoursPerDay*IF(Tasks[[#This Row],[_Res2Units]]="",DefaultUnits,Tasks[[#This Row],[_Res2Units]]))</f>
        <v>0</v>
      </c>
      <c r="DY69" s="43" t="n">
        <f aca="false">IF(AND(AND(Tasks[[#This Row],[_IsLeaf]]=1,Tasks[[#This Row],[_LeafTotalWork]]&gt;0),Tasks[[#This Row],[_Res2Work]]&gt;0),Tasks[[#This Row],[_Res2Work]]/(Tasks[[#This Row],[_FinishWorkday]]-Tasks[[#This Row],[_StartWorkday]]+1),0)</f>
        <v>0</v>
      </c>
      <c r="DZ69" s="43" t="n">
        <f aca="false">Tasks[[#This Row],[_Res2WorkPerWD]]*MAX(0,Tasks[[#This Row],[_StartWorkday]]-1)</f>
        <v>0</v>
      </c>
      <c r="EA69" s="43" t="n">
        <f aca="false">Tasks[[#This Row],[_Res2Work]]*Tasks[[#This Row],[_LeafProgress]]</f>
        <v>0</v>
      </c>
      <c r="EB69" s="43" t="str">
        <f aca="false">IF(Tasks[[#This Row],[_Res3Text]]="","",IF(Tasks[[#This Row],[_Res3Row]]&gt;0,INDEX(res_Name,Tasks[[#This Row],[_Res3Row]]),TRIM(LEFT(Tasks[[#This Row],[_Res3Text]],FIND("[",Tasks[[#This Row],[_Res3Text]]&amp;"[")-1))))</f>
        <v/>
      </c>
      <c r="EC6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9" s="43" t="n">
        <f aca="false">IF(OR(NOT(Tasks[[#This Row],[_IsLeaf]]=1),Tasks[[#This Row],[_Res3Row]]=0),0,N(Tasks[[#This Row],[_Days]])*HoursPerDay*IF(Tasks[[#This Row],[_Res3Units]]="",DefaultUnits,Tasks[[#This Row],[_Res3Units]]))</f>
        <v>0</v>
      </c>
      <c r="EE69" s="43" t="n">
        <f aca="false">IF(AND(AND(Tasks[[#This Row],[_IsLeaf]]=1,Tasks[[#This Row],[_LeafTotalWork]]&gt;0),Tasks[[#This Row],[_Res3Work]]&gt;0),Tasks[[#This Row],[_Res3Work]]/(Tasks[[#This Row],[_FinishWorkday]]-Tasks[[#This Row],[_StartWorkday]]+1),0)</f>
        <v>0</v>
      </c>
      <c r="EF69" s="43" t="n">
        <f aca="false">Tasks[[#This Row],[_Res3WorkPerWD]]*MAX(0,Tasks[[#This Row],[_StartWorkday]]-1)</f>
        <v>0</v>
      </c>
      <c r="EG69" s="43" t="n">
        <f aca="false">Tasks[[#This Row],[_Res3Work]]*Tasks[[#This Row],[_LeafProgress]]</f>
        <v>0</v>
      </c>
      <c r="EH69" s="43" t="str">
        <f aca="false">IF(Tasks[[#This Row],[_Res4Text]]="","",IF(Tasks[[#This Row],[_Res4Row]]&gt;0,INDEX(res_Name,Tasks[[#This Row],[_Res4Row]]),TRIM(LEFT(Tasks[[#This Row],[_Res4Text]],FIND("[",Tasks[[#This Row],[_Res4Text]]&amp;"[")-1))))</f>
        <v/>
      </c>
      <c r="EI6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9" s="43" t="n">
        <f aca="false">IF(OR(NOT(Tasks[[#This Row],[_IsLeaf]]=1),Tasks[[#This Row],[_Res4Row]]=0),0,N(Tasks[[#This Row],[_Days]])*HoursPerDay*IF(Tasks[[#This Row],[_Res4Units]]="",DefaultUnits,Tasks[[#This Row],[_Res4Units]]))</f>
        <v>0</v>
      </c>
      <c r="EK69" s="43" t="n">
        <f aca="false">IF(AND(AND(Tasks[[#This Row],[_IsLeaf]]=1,Tasks[[#This Row],[_LeafTotalWork]]&gt;0),Tasks[[#This Row],[_Res4Work]]&gt;0),Tasks[[#This Row],[_Res4Work]]/(Tasks[[#This Row],[_FinishWorkday]]-Tasks[[#This Row],[_StartWorkday]]+1),0)</f>
        <v>0</v>
      </c>
      <c r="EL69" s="43" t="n">
        <f aca="false">Tasks[[#This Row],[_Res4WorkPerWD]]*MAX(0,Tasks[[#This Row],[_StartWorkday]]-1)</f>
        <v>0</v>
      </c>
      <c r="EM69" s="43" t="n">
        <f aca="false">Tasks[[#This Row],[_Res4Work]]*Tasks[[#This Row],[_LeafProgress]]</f>
        <v>0</v>
      </c>
      <c r="EN69" s="43" t="n">
        <f aca="false">IF(ISNUMBER(Tasks[[#This Row],[% Complete]]),Tasks[[#This Row],[% Complete]],IF(Tasks[[#This Row],[Stage]]="",0,IFERROR(INDEX(stg_Pct,MATCH(Tasks[[#This Row],[Stage]],stg_Name,0)),0)))</f>
        <v>0</v>
      </c>
      <c r="EO69" s="43" t="n">
        <f aca="false">IF(NOT(Tasks[[#This Row],[_IsLeaf]]=1),0,IF(N(Tasks[[#This Row],[Actual Finish]])&gt;0,1,MIN(1,Tasks[[#This Row],[_Pct]])))</f>
        <v>0</v>
      </c>
      <c r="EP69" s="43" t="n">
        <f aca="false">IF(OR(NOT(Tasks[[#This Row],[_IsLeaf]]=1),Tasks[[#This Row],[_Res1Row]]=0),0,N(Tasks[[#This Row],[_Days]])*HoursPerDay*IF(Tasks[[#This Row],[_Units1]]="",DefaultUnits,Tasks[[#This Row],[_Units1]]))</f>
        <v>0</v>
      </c>
      <c r="EQ69" s="43" t="n">
        <f aca="false">Tasks[[#This Row],[_LeafWork]]+Tasks[[#This Row],[_Res2Work]]+Tasks[[#This Row],[_Res3Work]]+Tasks[[#This Row],[_Res4Work]]</f>
        <v>0</v>
      </c>
      <c r="ER6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9" s="43" t="n">
        <f aca="false">IF(NOT(Tasks[[#This Row],[_IsLeaf]]=1),0,MAX(_xlfn.MAXIFS(Tasks[_Row],Tasks[_Pred1UID],Tasks[[#This Row],[UID]]),_xlfn.MAXIFS(Tasks[_Row],Tasks[_Pred2UID],Tasks[[#This Row],[UID]]),_xlfn.MAXIFS(Tasks[_Row],Tasks[_Pred3UID],Tasks[[#This Row],[UID]]),_xlfn.MAXIFS(Tasks[_Row],Tasks[_Pred4UID],Tasks[[#This Row],[UID]])))</f>
        <v>0</v>
      </c>
      <c r="FA6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9" s="91" t="str">
        <f aca="false">IF(NOT(Tasks[[#This Row],[_IsLeaf]]=1),"",IF(N(Tasks[[#This Row],[_Days]])&lt;=0,Tasks[[#This Row],[_LeafLateFinish]],WORKDAY.INTL(Tasks[[#This Row],[_LeafLateFinish]],-(Tasks[[#This Row],[_Days]]-1),WorkWeek,Holidays)))</f>
        <v/>
      </c>
      <c r="FD6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9" s="90" t="b">
        <f aca="false">AND(Tasks[[#This Row],[_IsLeaf]]=1,Tasks[[#This Row],[_LeafProgress]]&lt;1,N(Tasks[[#This Row],[_LeafTotalSlack]])&lt;=CriticalSlackDays)</f>
        <v>0</v>
      </c>
      <c r="FF69" s="43" t="n">
        <f aca="false">IF(AND(Tasks[[#This Row],[_IsLeaf]]=1,Tasks[[#This Row],[_ConstraintCode]]=1,Tasks[[#This Row],[Mode]]&lt;&gt;"Manual",N(Tasks[[#This Row],[Actual Start]])=0),MAX(0,N(Tasks[[#This Row],[Free Slack]])),0)</f>
        <v>0</v>
      </c>
      <c r="FG69" s="91" t="str">
        <f aca="false">IF(NOT(Tasks[[#This Row],[_IsLeaf]]=1),"",IF(Tasks[[#This Row],[_AlapShift]]=0,Tasks[[#This Row],[_LeafCalcStart]],WORKDAY.INTL(Tasks[[#This Row],[_LeafCalcStart]],Tasks[[#This Row],[_AlapShift]],WorkWeek,Holidays)))</f>
        <v/>
      </c>
      <c r="FH69" s="91" t="str">
        <f aca="false">IF(NOT(Tasks[[#This Row],[_IsLeaf]]=1),"",IF(Tasks[[#This Row],[_AlapShift]]=0,Tasks[[#This Row],[_LeafCalcFinish]],WORKDAY.INTL(Tasks[[#This Row],[_LeafCalcFinish]],Tasks[[#This Row],[_AlapShift]],WorkWeek,Holidays)))</f>
        <v/>
      </c>
      <c r="FI69" s="91" t="str">
        <f aca="false">IF(NOT(Tasks[[#This Row],[_IsLeaf]]=1),"",IF(Tasks[[#This Row],[_AlapShift]]=0,Tasks[[#This Row],[_LeafFcstStart]],WORKDAY.INTL(Tasks[[#This Row],[_LeafFcstStart]],Tasks[[#This Row],[_AlapShift]],WorkWeek,Holidays)))</f>
        <v/>
      </c>
      <c r="FJ69" s="91" t="str">
        <f aca="false">IF(NOT(Tasks[[#This Row],[_IsLeaf]]=1),"",IF(Tasks[[#This Row],[_AlapShift]]=0,Tasks[[#This Row],[_LeafFcstFinish]],WORKDAY.INTL(Tasks[[#This Row],[_LeafFcstFinish]],Tasks[[#This Row],[_AlapShift]],WorkWeek,Holidays)))</f>
        <v/>
      </c>
      <c r="FK69" s="91" t="str">
        <f aca="false">IF(Tasks[[#This Row],[Task Name]]="","",IF(Tasks[[#This Row],[_IsSummary]],MIN(INDEX(Tasks[_ShownCalcStart],Tasks[[#This Row],[_Row]]+1):INDEX(Tasks[_ShownCalcStart],Tasks[[#This Row],[_Row]]+Tasks[[#This Row],[_Descendants]])),Tasks[[#This Row],[_ShownCalcStart]]))</f>
        <v/>
      </c>
      <c r="FL69" s="91" t="str">
        <f aca="false">IF(Tasks[[#This Row],[Task Name]]="","",IF(Tasks[[#This Row],[_IsSummary]],MAX(INDEX(Tasks[_ShownCalcFinish],Tasks[[#This Row],[_Row]]+1):INDEX(Tasks[_ShownCalcFinish],Tasks[[#This Row],[_Row]]+Tasks[[#This Row],[_Descendants]])),Tasks[[#This Row],[_ShownCalcFinish]]))</f>
        <v/>
      </c>
      <c r="FM6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9" s="43" t="n">
        <f aca="false">IF(AND(Tasks[[#This Row],[_IsLeaf]]=1,Tasks[[#This Row],[_LeafTotalWork]]&gt;0),NETWORKDAYS.INTL(ProjectStart,Tasks[[#This Row],[_ShownFcstStart]],WorkWeek,Holidays),0)</f>
        <v>0</v>
      </c>
      <c r="FZ69" s="43" t="n">
        <f aca="false">IF(AND(Tasks[[#This Row],[_IsLeaf]]=1,Tasks[[#This Row],[_LeafTotalWork]]&gt;0),MAX(Tasks[[#This Row],[_StartWorkday]],NETWORKDAYS.INTL(ProjectStart,Tasks[[#This Row],[_ShownFcstFinish]],WorkWeek,Holidays)),0)</f>
        <v>0</v>
      </c>
      <c r="GA69" s="43" t="n">
        <f aca="false">IF(AND(Tasks[[#This Row],[_IsLeaf]]=1,Tasks[[#This Row],[_LeafTotalWork]]&gt;0),Tasks[[#This Row],[_LeafWork]]/(Tasks[[#This Row],[_FinishWorkday]]-Tasks[[#This Row],[_StartWorkday]]+1),0)</f>
        <v>0</v>
      </c>
      <c r="GB69" s="43" t="n">
        <f aca="false">Tasks[[#This Row],[_WorkPerWorkday]]*(Tasks[[#This Row],[_StartWorkday]]-1)</f>
        <v>-0</v>
      </c>
      <c r="GC69" s="43" t="n">
        <f aca="false">IF(Tasks[[#This Row],[_IsLeaf]]=1,MAX(N(Tasks[[#This Row],[_Days]]),0.1),0)</f>
        <v>0</v>
      </c>
      <c r="GD69" s="43" t="n">
        <f aca="false">Tasks[[#This Row],[_WeightDur]]*Tasks[[#This Row],[_LeafProgress]]</f>
        <v>0</v>
      </c>
      <c r="GE69" s="43" t="n">
        <f aca="false">Tasks[[#This Row],[_WeightDur]]*Tasks[[#This Row],[_PlannedPct]]</f>
        <v>0</v>
      </c>
      <c r="GF6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9" s="43" t="str">
        <f aca="false">IF(AND(Tasks[[#This Row],[_IsLeaf]]=1,N(Tasks[[#This Row],[_Days]])=0,Tasks[[#This Row],[_LeafProgress]]&lt;1),Tasks[[#This Row],[_ShownFcstFinish]]+Tasks[[#This Row],[_Row]]/100000,"")</f>
        <v/>
      </c>
      <c r="GH6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9" s="43" t="str">
        <f aca="false">IF(Tasks[[#This Row],[Task Name]]="","",LEFT(Tasks[[#This Row],[WBS]],FIND(".",Tasks[[#This Row],[WBS]]&amp;".")-1))</f>
        <v/>
      </c>
      <c r="GJ69" s="43" t="str">
        <f aca="false">IF(AND(Tasks[[#This Row],[Task Name]]&lt;&gt;"",Tasks[[#This Row],[_Level]]=1),Tasks[[#This Row],[_Row]],"")</f>
        <v/>
      </c>
      <c r="GK69" s="43" t="str">
        <f aca="false">IF(AND(Tasks[[#This Row],[_IsLeaf]]=1,N(Tasks[[#This Row],[_Days]])=0),Tasks[[#This Row],[Planned Finish]]+Tasks[[#This Row],[_Row]]/100000,"")</f>
        <v/>
      </c>
      <c r="GL69" s="43" t="str">
        <f aca="false">IF(AND(Tasks[[#This Row],[_IsLeaf]]=1,Tasks[[#This Row],[_LeafProgress]]&lt;1,OR(N(Tasks[[#This Row],[Finish Var]])&gt;0,Tasks[[#This Row],[Status]]="Late Start")),MAX(0,Tasks[[#This Row],[Finish Var]])+1-Tasks[[#This Row],[_Row]]/1000000,"")</f>
        <v/>
      </c>
      <c r="GM69" s="43" t="str">
        <f aca="false">IF(AND(Tasks[[#This Row],[_IsLeaf]]=1,N(Tasks[[#This Row],[Actual Start]])=0,Tasks[[#This Row],[_ShownFcstStart]]&gt;=StatusDate,Tasks[[#This Row],[_ShownFcstStart]]&lt;=LookaheadEnd),Tasks[[#This Row],[_ShownFcstStart]]+Tasks[[#This Row],[_Row]]/100000,"")</f>
        <v/>
      </c>
      <c r="GN69" s="43" t="str">
        <f aca="false">IF(AND(Tasks[[#This Row],[_IsLeaf]]=1,Tasks[[#This Row],[_LeafProgress]]&lt;1,Tasks[[#This Row],[_ShownFcstFinish]]&gt;=StatusDate,Tasks[[#This Row],[_ShownFcstFinish]]&lt;=LookaheadEnd),Tasks[[#This Row],[_ShownFcstFinish]]+Tasks[[#This Row],[_Row]]/100000,"")</f>
        <v/>
      </c>
      <c r="GO69" s="43" t="str">
        <f aca="false">IF(Tasks[[#This Row],[_LeafCritical]],Tasks[[#This Row],[_ShownFcstStart]]+Tasks[[#This Row],[_Row]]/100000,"")</f>
        <v/>
      </c>
      <c r="GP69" s="43" t="n">
        <f aca="false">Tasks[[#This Row],[_LeafWork]]*Tasks[[#This Row],[_LeafProgress]]</f>
        <v>0</v>
      </c>
      <c r="GQ69" s="91" t="str">
        <f aca="false">IF(AND(Tasks[[#This Row],[_IsLeaf]]=1,Tasks[[#This Row],[_LeafProgress]]&gt;=1),IF(N(Tasks[[#This Row],[Actual Finish]])&gt;0,Tasks[[#This Row],[Actual Finish]],Tasks[[#This Row],[_ShownFcstFinish]]),"")</f>
        <v/>
      </c>
      <c r="GR69" s="43" t="n">
        <f aca="false">IF(Tasks[[#This Row],[_IsLeaf]]=1,N(Tasks[[#This Row],[Story Points]]),0)</f>
        <v>0</v>
      </c>
      <c r="GS69" s="43" t="str">
        <f aca="false">""</f>
        <v/>
      </c>
      <c r="GT69" s="90" t="b">
        <f aca="false">IF(Tasks[[#This Row],[Task Name]]="",FALSE(),AND(Tasks[[#This Row],[_IsLeaf]]=1,N(Tasks[[#This Row],[_Days]])=0))</f>
        <v>0</v>
      </c>
      <c r="GU69" s="91" t="n">
        <f aca="false">IF(Tasks[[#This Row],[Task Name]]="",0,IF(AND(Tasks[[#This Row],[_IsLeaf]]=1,NOT(Tasks[[#This Row],[_IsMilestone]]),N(Tasks[[#This Row],[Progress]])&gt;0),Tasks[[#This Row],[Start]],0))</f>
        <v>0</v>
      </c>
      <c r="GV69" s="91" t="n">
        <f aca="false">IF(Tasks[[#This Row],[_DoneFrom]]=0,0,IF(Tasks[[#This Row],[Progress]]&gt;=1,Tasks[[#This Row],[Finish]],MAX(Tasks[[#This Row],[_DoneFrom]],Tasks[[#This Row],[Start]]+ROUND((Tasks[[#This Row],[Finish]]-Tasks[[#This Row],[Start]]+1)*Tasks[[#This Row],[Progress]],0)-1)))</f>
        <v>0</v>
      </c>
      <c r="GW69" s="91" t="n">
        <f aca="false">IF(Tasks[[#This Row],[Task Name]]="",0,IF(OR(NOT(Tasks[[#This Row],[_IsLeaf]]=1),Tasks[[#This Row],[_IsMilestone]],N(Tasks[[#This Row],[Progress]])&gt;=1),0,IF(Tasks[[#This Row],[_DoneTo]]&gt;0,Tasks[[#This Row],[_DoneTo]]+1,Tasks[[#This Row],[Start]])))</f>
        <v>0</v>
      </c>
      <c r="GX69" s="91" t="n">
        <f aca="false">IF(Tasks[[#This Row],[_RemFrom]]=0,0,Tasks[[#This Row],[Finish]])</f>
        <v>0</v>
      </c>
      <c r="GY69" s="90" t="b">
        <f aca="false">IF(Tasks[[#This Row],[Task Name]]="",FALSE(),OR(NOT(BaselineSet),N(Tasks[[#This Row],[Baseline Start]])&gt;0))</f>
        <v>0</v>
      </c>
      <c r="GZ6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9" s="92" t="str">
        <f aca="false">IF(Tasks[[#This Row],[_IsLeaf]]=1,Tasks[[#This Row],[_Row]],"")</f>
        <v/>
      </c>
      <c r="HD69" s="92" t="str">
        <f aca="false">IFERROR(INDEX(Tasks[UID],SMALL(Tasks[_PickKey],Tasks[[#This Row],[_Row]]))&amp;" "&amp;INDEX(Tasks[Task Name],SMALL(Tasks[_PickKey],Tasks[[#This Row],[_Row]])),"")</f>
        <v/>
      </c>
      <c r="HE69" s="43" t="str">
        <f aca="false">IF(Tasks[[#This Row],[Task Name]]="","",IF(Tasks[[#This Row],[_IsSummary]],NETWORKDAYS.INTL(Tasks[[#This Row],[Start]],Tasks[[#This Row],[Finish]],WorkWeek,Holidays),N(Tasks[[#This Row],[_Days]])))</f>
        <v/>
      </c>
      <c r="HF69" s="43" t="n">
        <f aca="false">IF(Tasks[[#This Row],[Expected]]="",0,((Tasks[[#This Row],[Pessimistic]]-Tasks[[#This Row],[Optimistic]])/6)^2)</f>
        <v>0</v>
      </c>
      <c r="HG69" s="43" t="n">
        <f aca="false">IF(Tasks[[#This Row],[Expected]]="",0,Tasks[[#This Row],[Expected]]-N(Tasks[[#This Row],[_Days]]))</f>
        <v>0</v>
      </c>
    </row>
    <row r="70" customFormat="false" ht="15" hidden="false" customHeight="false" outlineLevel="0" collapsed="false">
      <c r="A70" s="21" t="str">
        <f aca="false">IF(Tasks[[#This Row],[Task Name]]="","",COUNTA(Tasks[[#Headers],[Task Name]]:Tasks[[#This Row],[Task Name]])-1)</f>
        <v/>
      </c>
      <c r="B70" s="22" t="n">
        <v>78</v>
      </c>
      <c r="C70" s="22"/>
      <c r="D70" s="23"/>
      <c r="E70" s="22"/>
      <c r="F70" s="23"/>
      <c r="G70" s="22"/>
      <c r="H70" s="22"/>
      <c r="I70" s="23"/>
      <c r="J70" s="22"/>
      <c r="K70" s="22"/>
      <c r="L70" s="23"/>
      <c r="M70" s="22"/>
      <c r="N70" s="22"/>
      <c r="O70" s="23"/>
      <c r="P70" s="22"/>
      <c r="Q70" s="22"/>
      <c r="R70" s="23"/>
      <c r="S70" s="23"/>
      <c r="T70" s="84"/>
      <c r="U70" s="23"/>
      <c r="V70" s="84"/>
      <c r="W70" s="23"/>
      <c r="X70" s="84"/>
      <c r="Y70" s="23"/>
      <c r="Z70" s="84"/>
      <c r="AA70" s="23"/>
      <c r="AB70" s="23"/>
      <c r="AC70" s="7"/>
      <c r="AD70" s="7"/>
      <c r="AE70" s="63" t="str">
        <f aca="false">IF(Tasks[[#This Row],[Task Name]]="","",IF(Tasks[[#This Row],[_IsSummary]],MIN(INDEX(Tasks[_ShownFcstStart],Tasks[[#This Row],[_Row]]+1):INDEX(Tasks[_ShownFcstStart],Tasks[[#This Row],[_Row]]+Tasks[[#This Row],[_Descendants]])),Tasks[[#This Row],[_ShownFcstStart]]))</f>
        <v/>
      </c>
      <c r="AF70" s="63" t="str">
        <f aca="false">IF(Tasks[[#This Row],[Task Name]]="","",IF(Tasks[[#This Row],[_IsSummary]],MAX(INDEX(Tasks[_ShownFcstFinish],Tasks[[#This Row],[_Row]]+1):INDEX(Tasks[_ShownFcstFinish],Tasks[[#This Row],[_Row]]+Tasks[[#This Row],[_Descendants]])),Tasks[[#This Row],[_ShownFcstFinish]]))</f>
        <v/>
      </c>
      <c r="AG70" s="21" t="str">
        <f aca="false">""</f>
        <v/>
      </c>
      <c r="AH70" s="23"/>
      <c r="AI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0" s="7"/>
      <c r="AK70" s="22"/>
      <c r="AL70" s="23"/>
      <c r="AM70" s="7"/>
      <c r="AN70" s="47" t="str">
        <f aca="false">IF(Tasks[[#This Row],[Task Name]]="","",IF(Tasks[[#This Row],[Finish]]&gt;=Tasks[[#This Row],[Planned Finish]],NETWORKDAYS.INTL(Tasks[[#This Row],[Planned Finish]],Tasks[[#This Row],[Finish]],WorkWeek,Holidays)-1,1-NETWORKDAYS.INTL(Tasks[[#This Row],[Finish]],Tasks[[#This Row],[Planned Finish]],WorkWeek,Holidays)))</f>
        <v/>
      </c>
      <c r="AO70" s="21" t="str">
        <f aca="false">IF(Tasks[[#This Row],[Task Name]]="","",IF(Tasks[[#This Row],[Progress]]&gt;=1,"Complete",IF(OR(N(Tasks[[#This Row],[Actual Start]])&gt;0,Tasks[[#This Row],[Progress]]&gt;0),IF(Tasks[[#This Row],[Finish Var]]&gt;0,"Behind","In Progress"),IF(Tasks[[#This Row],[Planned Start]]&lt;StatusDate,"Late Start","Not Started"))))</f>
        <v/>
      </c>
      <c r="AP70" s="21" t="str">
        <f aca="false">IF(Tasks[[#This Row],[Task Name]]="","",IF(IF(Tasks[[#This Row],[_IsSummary]],COUNTIF(INDEX(Tasks[_LeafCritical],Tasks[[#This Row],[_Row]]+1):INDEX(Tasks[_LeafCritical],Tasks[[#This Row],[_Row]]+Tasks[[#This Row],[_Descendants]]),TRUE())&gt;0,Tasks[[#This Row],[_LeafCritical]]),"Yes",""))</f>
        <v/>
      </c>
      <c r="AQ70" s="63" t="str">
        <f aca="false">IF(Tasks[[#This Row],[Task Name]]="","",IF(N(Tasks[[#This Row],[Baseline Start]])&gt;0,Tasks[[#This Row],[Baseline Start]],Tasks[[#This Row],[_CalcStart]]))</f>
        <v/>
      </c>
      <c r="AR70" s="63" t="str">
        <f aca="false">IF(Tasks[[#This Row],[Task Name]]="","",IF(N(Tasks[[#This Row],[Baseline Finish]])&gt;0,Tasks[[#This Row],[Baseline Finish]],Tasks[[#This Row],[_CalcFinish]]))</f>
        <v/>
      </c>
      <c r="AS70" s="47" t="str">
        <f aca="false">IF(Tasks[[#This Row],[Task Name]]="","",IF(Tasks[[#This Row],[Start]]&gt;=Tasks[[#This Row],[Planned Start]],NETWORKDAYS.INTL(Tasks[[#This Row],[Planned Start]],Tasks[[#This Row],[Start]],WorkWeek,Holidays)-1,1-NETWORKDAYS.INTL(Tasks[[#This Row],[Start]],Tasks[[#This Row],[Planned Start]],WorkWeek,Holidays)))</f>
        <v/>
      </c>
      <c r="AT70" s="63" t="str">
        <f aca="false">IF(Tasks[[#This Row],[Task Name]]="","",IF(Tasks[[#This Row],[_IsSummary]],MIN(INDEX(Tasks[_LeafLateStart],Tasks[[#This Row],[_Row]]+1):INDEX(Tasks[_LeafLateStart],Tasks[[#This Row],[_Row]]+Tasks[[#This Row],[_Descendants]])),Tasks[[#This Row],[_LeafLateStart]]))</f>
        <v/>
      </c>
      <c r="AU70" s="63" t="str">
        <f aca="false">IF(Tasks[[#This Row],[Task Name]]="","",IF(Tasks[[#This Row],[_IsSummary]],MAX(INDEX(Tasks[_LeafLateFinish],Tasks[[#This Row],[_Row]]+1):INDEX(Tasks[_LeafLateFinish],Tasks[[#This Row],[_Row]]+Tasks[[#This Row],[_Descendants]])),Tasks[[#This Row],[_LeafLateFinish]]))</f>
        <v/>
      </c>
      <c r="AV70" s="47" t="str">
        <f aca="false">IF(Tasks[[#This Row],[Task Name]]="","",IF(Tasks[[#This Row],[_IsSummary]],MIN(INDEX(Tasks[_LeafTotalSlack],Tasks[[#This Row],[_Row]]+1):INDEX(Tasks[_LeafTotalSlack],Tasks[[#This Row],[_Row]]+Tasks[[#This Row],[_Descendants]])),Tasks[[#This Row],[_LeafTotalSlack]]))</f>
        <v/>
      </c>
      <c r="AW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5"/>
      <c r="BA7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1" t="str">
        <f aca="false">IF(Tasks[[#This Row],[Task Name]]="","",IF(Tasks[[#This Row],[_Level]]&lt;=OutlineShowLevel,"Yes","No"))</f>
        <v/>
      </c>
      <c r="BE70" s="86" t="str">
        <f aca="false">IF(Tasks[[#This Row],[Task Name]]="","",IF(Tasks[[#This Row],[_IsSummary]],SUM(INDEX(Tasks[_LeafTotalWork],Tasks[[#This Row],[_Row]]+1):INDEX(Tasks[_LeafTotalWork],Tasks[[#This Row],[_Row]]+Tasks[[#This Row],[_Descendants]])),Tasks[[#This Row],[_LeafTotalWork]]))</f>
        <v/>
      </c>
      <c r="BF70" s="23"/>
      <c r="BG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0" s="21" t="str">
        <f aca="false">""</f>
        <v/>
      </c>
      <c r="BI70" s="87"/>
      <c r="BJ70" s="22"/>
      <c r="BK70" s="47" t="str">
        <f aca="false">IF(OR(Tasks[[#This Row],[Task Name]]="",Tasks[[#This Row],[Baseline Duration]]=""),"",Tasks[[#This Row],[_SpanDays]]-N(Tasks[[#This Row],[Baseline Duration]]))</f>
        <v/>
      </c>
      <c r="BL70" s="86" t="str">
        <f aca="false">IF(OR(Tasks[[#This Row],[Task Name]]="",Tasks[[#This Row],[Baseline Work]]=""),"",Tasks[[#This Row],[Work]]-N(Tasks[[#This Row],[Baseline Work]]))</f>
        <v/>
      </c>
      <c r="BM70" s="63" t="str">
        <f aca="false">IF(Tasks[[#This Row],[Task Name]]="","",IF(OR(TakeBaseline="Yes",N(Tasks[[#This Row],[Baseline Start]])=0),Tasks[[#This Row],[Start]],Tasks[[#This Row],[Baseline Start]]))</f>
        <v/>
      </c>
      <c r="BN70" s="63" t="str">
        <f aca="false">IF(Tasks[[#This Row],[Task Name]]="","",IF(OR(TakeBaseline="Yes",N(Tasks[[#This Row],[Baseline Finish]])=0),Tasks[[#This Row],[Finish]],Tasks[[#This Row],[Baseline Finish]]))</f>
        <v/>
      </c>
      <c r="BO70" s="21" t="str">
        <f aca="false">IF(Tasks[[#This Row],[Task Name]]="","",IF(OR(TakeBaseline="Yes",N(Tasks[[#This Row],[Baseline Duration]])=0),Tasks[[#This Row],[_SpanDays]],Tasks[[#This Row],[Baseline Duration]]))</f>
        <v/>
      </c>
      <c r="BP70" s="86" t="str">
        <f aca="false">IF(Tasks[[#This Row],[Task Name]]="","",IF(OR(TakeBaseline="Yes",N(Tasks[[#This Row],[Baseline Work]])=0),Tasks[[#This Row],[Work]],Tasks[[#This Row],[Baseline Work]]))</f>
        <v/>
      </c>
      <c r="BQ70" s="7"/>
      <c r="BR70" s="7"/>
      <c r="BS70" s="22"/>
      <c r="BT70" s="88"/>
      <c r="BU70" s="23"/>
      <c r="BV70" s="23"/>
      <c r="BW70" s="23"/>
      <c r="BX70" s="89" t="str">
        <f aca="false">IF(AND(Tasks[[#This Row],[_IsLeaf]]=1,ISNUMBER(Tasks[[#This Row],[Optimistic]]),ISNUMBER(Tasks[[#This Row],[Pessimistic]])),ROUND((Tasks[[#This Row],[Optimistic]]+4*N(Tasks[[#This Row],[_Days]])+Tasks[[#This Row],[Pessimistic]])/6,1),"")</f>
        <v/>
      </c>
      <c r="BY70" s="87"/>
      <c r="BZ70" s="87"/>
      <c r="CA70" s="22"/>
      <c r="CB70" s="43" t="str">
        <f aca="false">IF(Tasks[[#This Row],[Task Name]]="","",MAX(1,N(Tasks[[#This Row],[Level]])))</f>
        <v/>
      </c>
      <c r="CC70" s="43" t="n">
        <f aca="false">ROW()-ROW(Tasks[[#Headers],[ID]])</f>
        <v>65</v>
      </c>
      <c r="CD70" s="43" t="n">
        <f aca="false">IF(OR(Tasks[[#This Row],[Task Name]]="",Tasks[[#This Row],[_Level]]&lt;=1),0,IFERROR(LOOKUP(2,1/(Tasks[[#Headers],[_Level]]:Tasks[[#This Row],[_Level]]=Tasks[[#This Row],[_Level]]-1),ROW(Tasks[[#Headers],[_Level]]:Tasks[[#This Row],[_Level]])),0))</f>
        <v>0</v>
      </c>
      <c r="CE70" s="43" t="n">
        <f aca="false">IFERROR(N(INDEX(Tasks[_Level],Tasks[[#This Row],[_Row]]+1)),0)</f>
        <v>0</v>
      </c>
      <c r="CF70" s="90" t="b">
        <f aca="false">AND(Tasks[[#This Row],[Task Name]]&lt;&gt;"",Tasks[[#This Row],[_NextLevel]]&gt;Tasks[[#This Row],[_Level]])</f>
        <v>0</v>
      </c>
      <c r="CG70" s="43" t="n">
        <f aca="false">IF(Tasks[[#This Row],[_IsSummary]],COUNTIF(Tasks[WBS],Tasks[[#This Row],[WBS]]&amp;".*"),0)</f>
        <v>0</v>
      </c>
      <c r="CH70" s="43" t="n">
        <f aca="false">IF(AND(Tasks[[#This Row],[Task Name]]&lt;&gt;"",NOT(Tasks[[#This Row],[_IsSummary]])),1,0)</f>
        <v>0</v>
      </c>
      <c r="CI70" s="43" t="n">
        <f aca="false">IF(N(Tasks[[#This Row],[_Pred1UID]])=0,0,IFERROR(MATCH(Tasks[[#This Row],[_Pred1UID]],Tasks[UID],0),-1))</f>
        <v>0</v>
      </c>
      <c r="CJ70" s="43" t="n">
        <f aca="false">IF(N(Tasks[[#This Row],[_Pred2UID]])=0,0,IFERROR(MATCH(Tasks[[#This Row],[_Pred2UID]],Tasks[UID],0),-1))</f>
        <v>0</v>
      </c>
      <c r="CK70" s="43" t="n">
        <f aca="false">IF(N(Tasks[[#This Row],[_Pred3UID]])=0,0,IFERROR(MATCH(Tasks[[#This Row],[_Pred3UID]],Tasks[UID],0),-1))</f>
        <v>0</v>
      </c>
      <c r="CL70" s="43" t="n">
        <f aca="false">IF(N(Tasks[[#This Row],[_Pred4UID]])=0,0,IFERROR(MATCH(Tasks[[#This Row],[_Pred4UID]],Tasks[UID],0),-1))</f>
        <v>0</v>
      </c>
      <c r="CM7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0" s="91" t="n">
        <f aca="false">IF(OR(Tasks[[#This Row],[_ConstraintCode]]=2,Tasks[[#This Row],[_ConstraintCode]]=3,Tasks[[#This Row],[_ConstraintCode]]=4,Tasks[[#This Row],[_ConstraintCode]]=6),Tasks[[#This Row],[_ConstraintStart]],0)</f>
        <v>0</v>
      </c>
      <c r="CP70" s="91" t="n">
        <f aca="false">IF(OR(Tasks[[#This Row],[_ConstraintCode]]=2,Tasks[[#This Row],[_ConstraintCode]]=3,Tasks[[#This Row],[_ConstraintCode]]=5,Tasks[[#This Row],[_ConstraintCode]]=7),Tasks[[#This Row],[_ConstraintStart]],2958465)</f>
        <v>2958465</v>
      </c>
      <c r="CQ7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0" s="91" t="str">
        <f aca="false">IF(NOT(Tasks[[#This Row],[_IsLeaf]]=1),"",IF(N(Tasks[[#This Row],[_Days]])&lt;=0,Tasks[[#This Row],[_LeafCalcStart]],WORKDAY.INTL(Tasks[[#This Row],[_LeafCalcStart]],Tasks[[#This Row],[_Days]]-1,WorkWeek,Holidays)))</f>
        <v/>
      </c>
      <c r="CS7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0" s="43" t="str">
        <f aca="false">IF(Tasks[[#This Row],[_Predecessors]]="","",TRIM(MID(SUBSTITUTE(SUBSTITUTE(SUBSTITUTE(UPPER(Tasks[[#This Row],[_Predecessors]]),";",",")," ",""),",",REPT(" ",99)),1,99)))</f>
        <v/>
      </c>
      <c r="CV70" s="43" t="str">
        <f aca="false">IF(Tasks[[#This Row],[_Pred1Text]]="","",IFERROR(VALUE(LEFT(Tasks[[#This Row],[_Pred1Text]],MIN(FIND("F",Tasks[[#This Row],[_Pred1Text]]&amp;"F"),FIND("S",Tasks[[#This Row],[_Pred1Text]]&amp;"S"),FIND("+",Tasks[[#This Row],[_Pred1Text]]&amp;"+"),FIND("-",Tasks[[#This Row],[_Pred1Text]]&amp;"-"))-1)),""))</f>
        <v/>
      </c>
      <c r="CW7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0" s="43" t="str">
        <f aca="false">IF(Tasks[[#This Row],[_Pred1Text]]="","",TRIM(MID(SUBSTITUTE(SUBSTITUTE(SUBSTITUTE(UPPER(Tasks[[#This Row],[_Predecessors]]),";",",")," ",""),",",REPT(" ",99)),100,99)))</f>
        <v/>
      </c>
      <c r="CZ70" s="43" t="str">
        <f aca="false">IF(Tasks[[#This Row],[_Pred2Text]]="","",IFERROR(VALUE(LEFT(Tasks[[#This Row],[_Pred2Text]],MIN(FIND("F",Tasks[[#This Row],[_Pred2Text]]&amp;"F"),FIND("S",Tasks[[#This Row],[_Pred2Text]]&amp;"S"),FIND("+",Tasks[[#This Row],[_Pred2Text]]&amp;"+"),FIND("-",Tasks[[#This Row],[_Pred2Text]]&amp;"-"))-1)),""))</f>
        <v/>
      </c>
      <c r="DA7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0" s="43" t="str">
        <f aca="false">IF(Tasks[[#This Row],[_Pred2Text]]="","",TRIM(MID(SUBSTITUTE(SUBSTITUTE(SUBSTITUTE(UPPER(Tasks[[#This Row],[_Predecessors]]),";",",")," ",""),",",REPT(" ",99)),199,99)))</f>
        <v/>
      </c>
      <c r="DD70" s="43" t="str">
        <f aca="false">IF(Tasks[[#This Row],[_Pred3Text]]="","",IFERROR(VALUE(LEFT(Tasks[[#This Row],[_Pred3Text]],MIN(FIND("F",Tasks[[#This Row],[_Pred3Text]]&amp;"F"),FIND("S",Tasks[[#This Row],[_Pred3Text]]&amp;"S"),FIND("+",Tasks[[#This Row],[_Pred3Text]]&amp;"+"),FIND("-",Tasks[[#This Row],[_Pred3Text]]&amp;"-"))-1)),""))</f>
        <v/>
      </c>
      <c r="DE7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0" s="43" t="str">
        <f aca="false">IF(Tasks[[#This Row],[_Pred3Text]]="","",TRIM(MID(SUBSTITUTE(SUBSTITUTE(SUBSTITUTE(UPPER(Tasks[[#This Row],[_Predecessors]]),";",",")," ",""),",",REPT(" ",99)),298,99)))</f>
        <v/>
      </c>
      <c r="DH70" s="43" t="str">
        <f aca="false">IF(Tasks[[#This Row],[_Pred4Text]]="","",IFERROR(VALUE(LEFT(Tasks[[#This Row],[_Pred4Text]],MIN(FIND("F",Tasks[[#This Row],[_Pred4Text]]&amp;"F"),FIND("S",Tasks[[#This Row],[_Pred4Text]]&amp;"S"),FIND("+",Tasks[[#This Row],[_Pred4Text]]&amp;"+"),FIND("-",Tasks[[#This Row],[_Pred4Text]]&amp;"-"))-1)),""))</f>
        <v/>
      </c>
      <c r="DI7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0" s="43" t="str">
        <f aca="false">IF(OR(Tasks[[#This Row],[Task Name]]="",Tasks[[#This Row],[_Resources]]=""),"",TRIM(MID(SUBSTITUTE(Tasks[[#This Row],[_Resources]],",",REPT(" ",99)),1,99)))</f>
        <v/>
      </c>
      <c r="DL70" s="43" t="str">
        <f aca="false">IF(Tasks[[#This Row],[_Res1Text]]="","",TRIM(MID(SUBSTITUTE(Tasks[[#This Row],[_Resources]],",",REPT(" ",99)),100,99)))</f>
        <v/>
      </c>
      <c r="DM70" s="43" t="str">
        <f aca="false">IF(Tasks[[#This Row],[_Res2Text]]="","",TRIM(MID(SUBSTITUTE(Tasks[[#This Row],[_Resources]],",",REPT(" ",99)),199,99)))</f>
        <v/>
      </c>
      <c r="DN70" s="43" t="str">
        <f aca="false">IF(Tasks[[#This Row],[_Res3Text]]="","",TRIM(MID(SUBSTITUTE(Tasks[[#This Row],[_Resources]],",",REPT(" ",99)),298,99)))</f>
        <v/>
      </c>
      <c r="DO70" s="43" t="n">
        <f aca="false">IF(Tasks[[#This Row],[_Res1Text]]="",0,IFERROR(MATCH(TRIM(LEFT(Tasks[[#This Row],[_Res1Text]],FIND("[",Tasks[[#This Row],[_Res1Text]]&amp;"[")-1)),res_Name,0),IFERROR(MATCH(TRIM(LEFT(Tasks[[#This Row],[_Res1Text]],FIND("[",Tasks[[#This Row],[_Res1Text]]&amp;"[")-1)),res_Initials,0),0)))</f>
        <v>0</v>
      </c>
      <c r="DP70" s="43" t="n">
        <f aca="false">IF(Tasks[[#This Row],[_Res2Text]]="",0,IFERROR(MATCH(TRIM(LEFT(Tasks[[#This Row],[_Res2Text]],FIND("[",Tasks[[#This Row],[_Res2Text]]&amp;"[")-1)),res_Name,0),IFERROR(MATCH(TRIM(LEFT(Tasks[[#This Row],[_Res2Text]],FIND("[",Tasks[[#This Row],[_Res2Text]]&amp;"[")-1)),res_Initials,0),0)))</f>
        <v>0</v>
      </c>
      <c r="DQ70" s="43" t="n">
        <f aca="false">IF(Tasks[[#This Row],[_Res3Text]]="",0,IFERROR(MATCH(TRIM(LEFT(Tasks[[#This Row],[_Res3Text]],FIND("[",Tasks[[#This Row],[_Res3Text]]&amp;"[")-1)),res_Name,0),IFERROR(MATCH(TRIM(LEFT(Tasks[[#This Row],[_Res3Text]],FIND("[",Tasks[[#This Row],[_Res3Text]]&amp;"[")-1)),res_Initials,0),0)))</f>
        <v>0</v>
      </c>
      <c r="DR70" s="43" t="n">
        <f aca="false">IF(Tasks[[#This Row],[_Res4Text]]="",0,IFERROR(MATCH(TRIM(LEFT(Tasks[[#This Row],[_Res4Text]],FIND("[",Tasks[[#This Row],[_Res4Text]]&amp;"[")-1)),res_Name,0),IFERROR(MATCH(TRIM(LEFT(Tasks[[#This Row],[_Res4Text]],FIND("[",Tasks[[#This Row],[_Res4Text]]&amp;"[")-1)),res_Initials,0),0)))</f>
        <v>0</v>
      </c>
      <c r="DS70" s="43" t="str">
        <f aca="false">IF(Tasks[[#This Row],[_Res1Text]]="","",IF(Tasks[[#This Row],[_Res1Row]]&gt;0,INDEX(res_Name,Tasks[[#This Row],[_Res1Row]]),TRIM(LEFT(Tasks[[#This Row],[_Res1Text]],FIND("[",Tasks[[#This Row],[_Res1Text]]&amp;"[")-1))))</f>
        <v/>
      </c>
      <c r="DT7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0" s="43" t="n">
        <f aca="false">IF(NOT(Tasks[[#This Row],[_IsLeaf]]=1),0,(Tasks[[#This Row],[_Resource1]]&lt;&gt;"")+(Tasks[[#This Row],[_Res2]]&lt;&gt;"")+(Tasks[[#This Row],[_Res3]]&lt;&gt;"")+(Tasks[[#This Row],[_Res4]]&lt;&gt;""))</f>
        <v>0</v>
      </c>
      <c r="DV70" s="43" t="str">
        <f aca="false">IF(Tasks[[#This Row],[_Res2Text]]="","",IF(Tasks[[#This Row],[_Res2Row]]&gt;0,INDEX(res_Name,Tasks[[#This Row],[_Res2Row]]),TRIM(LEFT(Tasks[[#This Row],[_Res2Text]],FIND("[",Tasks[[#This Row],[_Res2Text]]&amp;"[")-1))))</f>
        <v/>
      </c>
      <c r="DW7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0" s="43" t="n">
        <f aca="false">IF(OR(NOT(Tasks[[#This Row],[_IsLeaf]]=1),Tasks[[#This Row],[_Res2Row]]=0),0,N(Tasks[[#This Row],[_Days]])*HoursPerDay*IF(Tasks[[#This Row],[_Res2Units]]="",DefaultUnits,Tasks[[#This Row],[_Res2Units]]))</f>
        <v>0</v>
      </c>
      <c r="DY70" s="43" t="n">
        <f aca="false">IF(AND(AND(Tasks[[#This Row],[_IsLeaf]]=1,Tasks[[#This Row],[_LeafTotalWork]]&gt;0),Tasks[[#This Row],[_Res2Work]]&gt;0),Tasks[[#This Row],[_Res2Work]]/(Tasks[[#This Row],[_FinishWorkday]]-Tasks[[#This Row],[_StartWorkday]]+1),0)</f>
        <v>0</v>
      </c>
      <c r="DZ70" s="43" t="n">
        <f aca="false">Tasks[[#This Row],[_Res2WorkPerWD]]*MAX(0,Tasks[[#This Row],[_StartWorkday]]-1)</f>
        <v>0</v>
      </c>
      <c r="EA70" s="43" t="n">
        <f aca="false">Tasks[[#This Row],[_Res2Work]]*Tasks[[#This Row],[_LeafProgress]]</f>
        <v>0</v>
      </c>
      <c r="EB70" s="43" t="str">
        <f aca="false">IF(Tasks[[#This Row],[_Res3Text]]="","",IF(Tasks[[#This Row],[_Res3Row]]&gt;0,INDEX(res_Name,Tasks[[#This Row],[_Res3Row]]),TRIM(LEFT(Tasks[[#This Row],[_Res3Text]],FIND("[",Tasks[[#This Row],[_Res3Text]]&amp;"[")-1))))</f>
        <v/>
      </c>
      <c r="EC7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0" s="43" t="n">
        <f aca="false">IF(OR(NOT(Tasks[[#This Row],[_IsLeaf]]=1),Tasks[[#This Row],[_Res3Row]]=0),0,N(Tasks[[#This Row],[_Days]])*HoursPerDay*IF(Tasks[[#This Row],[_Res3Units]]="",DefaultUnits,Tasks[[#This Row],[_Res3Units]]))</f>
        <v>0</v>
      </c>
      <c r="EE70" s="43" t="n">
        <f aca="false">IF(AND(AND(Tasks[[#This Row],[_IsLeaf]]=1,Tasks[[#This Row],[_LeafTotalWork]]&gt;0),Tasks[[#This Row],[_Res3Work]]&gt;0),Tasks[[#This Row],[_Res3Work]]/(Tasks[[#This Row],[_FinishWorkday]]-Tasks[[#This Row],[_StartWorkday]]+1),0)</f>
        <v>0</v>
      </c>
      <c r="EF70" s="43" t="n">
        <f aca="false">Tasks[[#This Row],[_Res3WorkPerWD]]*MAX(0,Tasks[[#This Row],[_StartWorkday]]-1)</f>
        <v>0</v>
      </c>
      <c r="EG70" s="43" t="n">
        <f aca="false">Tasks[[#This Row],[_Res3Work]]*Tasks[[#This Row],[_LeafProgress]]</f>
        <v>0</v>
      </c>
      <c r="EH70" s="43" t="str">
        <f aca="false">IF(Tasks[[#This Row],[_Res4Text]]="","",IF(Tasks[[#This Row],[_Res4Row]]&gt;0,INDEX(res_Name,Tasks[[#This Row],[_Res4Row]]),TRIM(LEFT(Tasks[[#This Row],[_Res4Text]],FIND("[",Tasks[[#This Row],[_Res4Text]]&amp;"[")-1))))</f>
        <v/>
      </c>
      <c r="EI7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0" s="43" t="n">
        <f aca="false">IF(OR(NOT(Tasks[[#This Row],[_IsLeaf]]=1),Tasks[[#This Row],[_Res4Row]]=0),0,N(Tasks[[#This Row],[_Days]])*HoursPerDay*IF(Tasks[[#This Row],[_Res4Units]]="",DefaultUnits,Tasks[[#This Row],[_Res4Units]]))</f>
        <v>0</v>
      </c>
      <c r="EK70" s="43" t="n">
        <f aca="false">IF(AND(AND(Tasks[[#This Row],[_IsLeaf]]=1,Tasks[[#This Row],[_LeafTotalWork]]&gt;0),Tasks[[#This Row],[_Res4Work]]&gt;0),Tasks[[#This Row],[_Res4Work]]/(Tasks[[#This Row],[_FinishWorkday]]-Tasks[[#This Row],[_StartWorkday]]+1),0)</f>
        <v>0</v>
      </c>
      <c r="EL70" s="43" t="n">
        <f aca="false">Tasks[[#This Row],[_Res4WorkPerWD]]*MAX(0,Tasks[[#This Row],[_StartWorkday]]-1)</f>
        <v>0</v>
      </c>
      <c r="EM70" s="43" t="n">
        <f aca="false">Tasks[[#This Row],[_Res4Work]]*Tasks[[#This Row],[_LeafProgress]]</f>
        <v>0</v>
      </c>
      <c r="EN70" s="43" t="n">
        <f aca="false">IF(ISNUMBER(Tasks[[#This Row],[% Complete]]),Tasks[[#This Row],[% Complete]],IF(Tasks[[#This Row],[Stage]]="",0,IFERROR(INDEX(stg_Pct,MATCH(Tasks[[#This Row],[Stage]],stg_Name,0)),0)))</f>
        <v>0</v>
      </c>
      <c r="EO70" s="43" t="n">
        <f aca="false">IF(NOT(Tasks[[#This Row],[_IsLeaf]]=1),0,IF(N(Tasks[[#This Row],[Actual Finish]])&gt;0,1,MIN(1,Tasks[[#This Row],[_Pct]])))</f>
        <v>0</v>
      </c>
      <c r="EP70" s="43" t="n">
        <f aca="false">IF(OR(NOT(Tasks[[#This Row],[_IsLeaf]]=1),Tasks[[#This Row],[_Res1Row]]=0),0,N(Tasks[[#This Row],[_Days]])*HoursPerDay*IF(Tasks[[#This Row],[_Units1]]="",DefaultUnits,Tasks[[#This Row],[_Units1]]))</f>
        <v>0</v>
      </c>
      <c r="EQ70" s="43" t="n">
        <f aca="false">Tasks[[#This Row],[_LeafWork]]+Tasks[[#This Row],[_Res2Work]]+Tasks[[#This Row],[_Res3Work]]+Tasks[[#This Row],[_Res4Work]]</f>
        <v>0</v>
      </c>
      <c r="ER7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0" s="43" t="n">
        <f aca="false">IF(NOT(Tasks[[#This Row],[_IsLeaf]]=1),0,MAX(_xlfn.MAXIFS(Tasks[_Row],Tasks[_Pred1UID],Tasks[[#This Row],[UID]]),_xlfn.MAXIFS(Tasks[_Row],Tasks[_Pred2UID],Tasks[[#This Row],[UID]]),_xlfn.MAXIFS(Tasks[_Row],Tasks[_Pred3UID],Tasks[[#This Row],[UID]]),_xlfn.MAXIFS(Tasks[_Row],Tasks[_Pred4UID],Tasks[[#This Row],[UID]])))</f>
        <v>0</v>
      </c>
      <c r="FA7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0" s="91" t="str">
        <f aca="false">IF(NOT(Tasks[[#This Row],[_IsLeaf]]=1),"",IF(N(Tasks[[#This Row],[_Days]])&lt;=0,Tasks[[#This Row],[_LeafLateFinish]],WORKDAY.INTL(Tasks[[#This Row],[_LeafLateFinish]],-(Tasks[[#This Row],[_Days]]-1),WorkWeek,Holidays)))</f>
        <v/>
      </c>
      <c r="FD7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0" s="90" t="b">
        <f aca="false">AND(Tasks[[#This Row],[_IsLeaf]]=1,Tasks[[#This Row],[_LeafProgress]]&lt;1,N(Tasks[[#This Row],[_LeafTotalSlack]])&lt;=CriticalSlackDays)</f>
        <v>0</v>
      </c>
      <c r="FF70" s="43" t="n">
        <f aca="false">IF(AND(Tasks[[#This Row],[_IsLeaf]]=1,Tasks[[#This Row],[_ConstraintCode]]=1,Tasks[[#This Row],[Mode]]&lt;&gt;"Manual",N(Tasks[[#This Row],[Actual Start]])=0),MAX(0,N(Tasks[[#This Row],[Free Slack]])),0)</f>
        <v>0</v>
      </c>
      <c r="FG70" s="91" t="str">
        <f aca="false">IF(NOT(Tasks[[#This Row],[_IsLeaf]]=1),"",IF(Tasks[[#This Row],[_AlapShift]]=0,Tasks[[#This Row],[_LeafCalcStart]],WORKDAY.INTL(Tasks[[#This Row],[_LeafCalcStart]],Tasks[[#This Row],[_AlapShift]],WorkWeek,Holidays)))</f>
        <v/>
      </c>
      <c r="FH70" s="91" t="str">
        <f aca="false">IF(NOT(Tasks[[#This Row],[_IsLeaf]]=1),"",IF(Tasks[[#This Row],[_AlapShift]]=0,Tasks[[#This Row],[_LeafCalcFinish]],WORKDAY.INTL(Tasks[[#This Row],[_LeafCalcFinish]],Tasks[[#This Row],[_AlapShift]],WorkWeek,Holidays)))</f>
        <v/>
      </c>
      <c r="FI70" s="91" t="str">
        <f aca="false">IF(NOT(Tasks[[#This Row],[_IsLeaf]]=1),"",IF(Tasks[[#This Row],[_AlapShift]]=0,Tasks[[#This Row],[_LeafFcstStart]],WORKDAY.INTL(Tasks[[#This Row],[_LeafFcstStart]],Tasks[[#This Row],[_AlapShift]],WorkWeek,Holidays)))</f>
        <v/>
      </c>
      <c r="FJ70" s="91" t="str">
        <f aca="false">IF(NOT(Tasks[[#This Row],[_IsLeaf]]=1),"",IF(Tasks[[#This Row],[_AlapShift]]=0,Tasks[[#This Row],[_LeafFcstFinish]],WORKDAY.INTL(Tasks[[#This Row],[_LeafFcstFinish]],Tasks[[#This Row],[_AlapShift]],WorkWeek,Holidays)))</f>
        <v/>
      </c>
      <c r="FK70" s="91" t="str">
        <f aca="false">IF(Tasks[[#This Row],[Task Name]]="","",IF(Tasks[[#This Row],[_IsSummary]],MIN(INDEX(Tasks[_ShownCalcStart],Tasks[[#This Row],[_Row]]+1):INDEX(Tasks[_ShownCalcStart],Tasks[[#This Row],[_Row]]+Tasks[[#This Row],[_Descendants]])),Tasks[[#This Row],[_ShownCalcStart]]))</f>
        <v/>
      </c>
      <c r="FL70" s="91" t="str">
        <f aca="false">IF(Tasks[[#This Row],[Task Name]]="","",IF(Tasks[[#This Row],[_IsSummary]],MAX(INDEX(Tasks[_ShownCalcFinish],Tasks[[#This Row],[_Row]]+1):INDEX(Tasks[_ShownCalcFinish],Tasks[[#This Row],[_Row]]+Tasks[[#This Row],[_Descendants]])),Tasks[[#This Row],[_ShownCalcFinish]]))</f>
        <v/>
      </c>
      <c r="FM7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0" s="43" t="n">
        <f aca="false">IF(AND(Tasks[[#This Row],[_IsLeaf]]=1,Tasks[[#This Row],[_LeafTotalWork]]&gt;0),NETWORKDAYS.INTL(ProjectStart,Tasks[[#This Row],[_ShownFcstStart]],WorkWeek,Holidays),0)</f>
        <v>0</v>
      </c>
      <c r="FZ70" s="43" t="n">
        <f aca="false">IF(AND(Tasks[[#This Row],[_IsLeaf]]=1,Tasks[[#This Row],[_LeafTotalWork]]&gt;0),MAX(Tasks[[#This Row],[_StartWorkday]],NETWORKDAYS.INTL(ProjectStart,Tasks[[#This Row],[_ShownFcstFinish]],WorkWeek,Holidays)),0)</f>
        <v>0</v>
      </c>
      <c r="GA70" s="43" t="n">
        <f aca="false">IF(AND(Tasks[[#This Row],[_IsLeaf]]=1,Tasks[[#This Row],[_LeafTotalWork]]&gt;0),Tasks[[#This Row],[_LeafWork]]/(Tasks[[#This Row],[_FinishWorkday]]-Tasks[[#This Row],[_StartWorkday]]+1),0)</f>
        <v>0</v>
      </c>
      <c r="GB70" s="43" t="n">
        <f aca="false">Tasks[[#This Row],[_WorkPerWorkday]]*(Tasks[[#This Row],[_StartWorkday]]-1)</f>
        <v>-0</v>
      </c>
      <c r="GC70" s="43" t="n">
        <f aca="false">IF(Tasks[[#This Row],[_IsLeaf]]=1,MAX(N(Tasks[[#This Row],[_Days]]),0.1),0)</f>
        <v>0</v>
      </c>
      <c r="GD70" s="43" t="n">
        <f aca="false">Tasks[[#This Row],[_WeightDur]]*Tasks[[#This Row],[_LeafProgress]]</f>
        <v>0</v>
      </c>
      <c r="GE70" s="43" t="n">
        <f aca="false">Tasks[[#This Row],[_WeightDur]]*Tasks[[#This Row],[_PlannedPct]]</f>
        <v>0</v>
      </c>
      <c r="GF7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0" s="43" t="str">
        <f aca="false">IF(AND(Tasks[[#This Row],[_IsLeaf]]=1,N(Tasks[[#This Row],[_Days]])=0,Tasks[[#This Row],[_LeafProgress]]&lt;1),Tasks[[#This Row],[_ShownFcstFinish]]+Tasks[[#This Row],[_Row]]/100000,"")</f>
        <v/>
      </c>
      <c r="GH7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0" s="43" t="str">
        <f aca="false">IF(Tasks[[#This Row],[Task Name]]="","",LEFT(Tasks[[#This Row],[WBS]],FIND(".",Tasks[[#This Row],[WBS]]&amp;".")-1))</f>
        <v/>
      </c>
      <c r="GJ70" s="43" t="str">
        <f aca="false">IF(AND(Tasks[[#This Row],[Task Name]]&lt;&gt;"",Tasks[[#This Row],[_Level]]=1),Tasks[[#This Row],[_Row]],"")</f>
        <v/>
      </c>
      <c r="GK70" s="43" t="str">
        <f aca="false">IF(AND(Tasks[[#This Row],[_IsLeaf]]=1,N(Tasks[[#This Row],[_Days]])=0),Tasks[[#This Row],[Planned Finish]]+Tasks[[#This Row],[_Row]]/100000,"")</f>
        <v/>
      </c>
      <c r="GL70" s="43" t="str">
        <f aca="false">IF(AND(Tasks[[#This Row],[_IsLeaf]]=1,Tasks[[#This Row],[_LeafProgress]]&lt;1,OR(N(Tasks[[#This Row],[Finish Var]])&gt;0,Tasks[[#This Row],[Status]]="Late Start")),MAX(0,Tasks[[#This Row],[Finish Var]])+1-Tasks[[#This Row],[_Row]]/1000000,"")</f>
        <v/>
      </c>
      <c r="GM70" s="43" t="str">
        <f aca="false">IF(AND(Tasks[[#This Row],[_IsLeaf]]=1,N(Tasks[[#This Row],[Actual Start]])=0,Tasks[[#This Row],[_ShownFcstStart]]&gt;=StatusDate,Tasks[[#This Row],[_ShownFcstStart]]&lt;=LookaheadEnd),Tasks[[#This Row],[_ShownFcstStart]]+Tasks[[#This Row],[_Row]]/100000,"")</f>
        <v/>
      </c>
      <c r="GN70" s="43" t="str">
        <f aca="false">IF(AND(Tasks[[#This Row],[_IsLeaf]]=1,Tasks[[#This Row],[_LeafProgress]]&lt;1,Tasks[[#This Row],[_ShownFcstFinish]]&gt;=StatusDate,Tasks[[#This Row],[_ShownFcstFinish]]&lt;=LookaheadEnd),Tasks[[#This Row],[_ShownFcstFinish]]+Tasks[[#This Row],[_Row]]/100000,"")</f>
        <v/>
      </c>
      <c r="GO70" s="43" t="str">
        <f aca="false">IF(Tasks[[#This Row],[_LeafCritical]],Tasks[[#This Row],[_ShownFcstStart]]+Tasks[[#This Row],[_Row]]/100000,"")</f>
        <v/>
      </c>
      <c r="GP70" s="43" t="n">
        <f aca="false">Tasks[[#This Row],[_LeafWork]]*Tasks[[#This Row],[_LeafProgress]]</f>
        <v>0</v>
      </c>
      <c r="GQ70" s="91" t="str">
        <f aca="false">IF(AND(Tasks[[#This Row],[_IsLeaf]]=1,Tasks[[#This Row],[_LeafProgress]]&gt;=1),IF(N(Tasks[[#This Row],[Actual Finish]])&gt;0,Tasks[[#This Row],[Actual Finish]],Tasks[[#This Row],[_ShownFcstFinish]]),"")</f>
        <v/>
      </c>
      <c r="GR70" s="43" t="n">
        <f aca="false">IF(Tasks[[#This Row],[_IsLeaf]]=1,N(Tasks[[#This Row],[Story Points]]),0)</f>
        <v>0</v>
      </c>
      <c r="GS70" s="43" t="str">
        <f aca="false">""</f>
        <v/>
      </c>
      <c r="GT70" s="90" t="b">
        <f aca="false">IF(Tasks[[#This Row],[Task Name]]="",FALSE(),AND(Tasks[[#This Row],[_IsLeaf]]=1,N(Tasks[[#This Row],[_Days]])=0))</f>
        <v>0</v>
      </c>
      <c r="GU70" s="91" t="n">
        <f aca="false">IF(Tasks[[#This Row],[Task Name]]="",0,IF(AND(Tasks[[#This Row],[_IsLeaf]]=1,NOT(Tasks[[#This Row],[_IsMilestone]]),N(Tasks[[#This Row],[Progress]])&gt;0),Tasks[[#This Row],[Start]],0))</f>
        <v>0</v>
      </c>
      <c r="GV70" s="91" t="n">
        <f aca="false">IF(Tasks[[#This Row],[_DoneFrom]]=0,0,IF(Tasks[[#This Row],[Progress]]&gt;=1,Tasks[[#This Row],[Finish]],MAX(Tasks[[#This Row],[_DoneFrom]],Tasks[[#This Row],[Start]]+ROUND((Tasks[[#This Row],[Finish]]-Tasks[[#This Row],[Start]]+1)*Tasks[[#This Row],[Progress]],0)-1)))</f>
        <v>0</v>
      </c>
      <c r="GW70" s="91" t="n">
        <f aca="false">IF(Tasks[[#This Row],[Task Name]]="",0,IF(OR(NOT(Tasks[[#This Row],[_IsLeaf]]=1),Tasks[[#This Row],[_IsMilestone]],N(Tasks[[#This Row],[Progress]])&gt;=1),0,IF(Tasks[[#This Row],[_DoneTo]]&gt;0,Tasks[[#This Row],[_DoneTo]]+1,Tasks[[#This Row],[Start]])))</f>
        <v>0</v>
      </c>
      <c r="GX70" s="91" t="n">
        <f aca="false">IF(Tasks[[#This Row],[_RemFrom]]=0,0,Tasks[[#This Row],[Finish]])</f>
        <v>0</v>
      </c>
      <c r="GY70" s="90" t="b">
        <f aca="false">IF(Tasks[[#This Row],[Task Name]]="",FALSE(),OR(NOT(BaselineSet),N(Tasks[[#This Row],[Baseline Start]])&gt;0))</f>
        <v>0</v>
      </c>
      <c r="GZ7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0" s="92" t="str">
        <f aca="false">IF(Tasks[[#This Row],[_IsLeaf]]=1,Tasks[[#This Row],[_Row]],"")</f>
        <v/>
      </c>
      <c r="HD70" s="92" t="str">
        <f aca="false">IFERROR(INDEX(Tasks[UID],SMALL(Tasks[_PickKey],Tasks[[#This Row],[_Row]]))&amp;" "&amp;INDEX(Tasks[Task Name],SMALL(Tasks[_PickKey],Tasks[[#This Row],[_Row]])),"")</f>
        <v/>
      </c>
      <c r="HE70" s="43" t="str">
        <f aca="false">IF(Tasks[[#This Row],[Task Name]]="","",IF(Tasks[[#This Row],[_IsSummary]],NETWORKDAYS.INTL(Tasks[[#This Row],[Start]],Tasks[[#This Row],[Finish]],WorkWeek,Holidays),N(Tasks[[#This Row],[_Days]])))</f>
        <v/>
      </c>
      <c r="HF70" s="43" t="n">
        <f aca="false">IF(Tasks[[#This Row],[Expected]]="",0,((Tasks[[#This Row],[Pessimistic]]-Tasks[[#This Row],[Optimistic]])/6)^2)</f>
        <v>0</v>
      </c>
      <c r="HG70" s="43" t="n">
        <f aca="false">IF(Tasks[[#This Row],[Expected]]="",0,Tasks[[#This Row],[Expected]]-N(Tasks[[#This Row],[_Days]]))</f>
        <v>0</v>
      </c>
    </row>
    <row r="71" customFormat="false" ht="15" hidden="false" customHeight="false" outlineLevel="0" collapsed="false">
      <c r="A71" s="21" t="str">
        <f aca="false">IF(Tasks[[#This Row],[Task Name]]="","",COUNTA(Tasks[[#Headers],[Task Name]]:Tasks[[#This Row],[Task Name]])-1)</f>
        <v/>
      </c>
      <c r="B71" s="22" t="n">
        <v>79</v>
      </c>
      <c r="C71" s="22"/>
      <c r="D71" s="23"/>
      <c r="E71" s="22"/>
      <c r="F71" s="23"/>
      <c r="G71" s="22"/>
      <c r="H71" s="22"/>
      <c r="I71" s="23"/>
      <c r="J71" s="22"/>
      <c r="K71" s="22"/>
      <c r="L71" s="23"/>
      <c r="M71" s="22"/>
      <c r="N71" s="22"/>
      <c r="O71" s="23"/>
      <c r="P71" s="22"/>
      <c r="Q71" s="22"/>
      <c r="R71" s="23"/>
      <c r="S71" s="23"/>
      <c r="T71" s="84"/>
      <c r="U71" s="23"/>
      <c r="V71" s="84"/>
      <c r="W71" s="23"/>
      <c r="X71" s="84"/>
      <c r="Y71" s="23"/>
      <c r="Z71" s="84"/>
      <c r="AA71" s="23"/>
      <c r="AB71" s="23"/>
      <c r="AC71" s="7"/>
      <c r="AD71" s="7"/>
      <c r="AE71" s="63" t="str">
        <f aca="false">IF(Tasks[[#This Row],[Task Name]]="","",IF(Tasks[[#This Row],[_IsSummary]],MIN(INDEX(Tasks[_ShownFcstStart],Tasks[[#This Row],[_Row]]+1):INDEX(Tasks[_ShownFcstStart],Tasks[[#This Row],[_Row]]+Tasks[[#This Row],[_Descendants]])),Tasks[[#This Row],[_ShownFcstStart]]))</f>
        <v/>
      </c>
      <c r="AF71" s="63" t="str">
        <f aca="false">IF(Tasks[[#This Row],[Task Name]]="","",IF(Tasks[[#This Row],[_IsSummary]],MAX(INDEX(Tasks[_ShownFcstFinish],Tasks[[#This Row],[_Row]]+1):INDEX(Tasks[_ShownFcstFinish],Tasks[[#This Row],[_Row]]+Tasks[[#This Row],[_Descendants]])),Tasks[[#This Row],[_ShownFcstFinish]]))</f>
        <v/>
      </c>
      <c r="AG71" s="21" t="str">
        <f aca="false">""</f>
        <v/>
      </c>
      <c r="AH71" s="23"/>
      <c r="AI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1" s="7"/>
      <c r="AK71" s="22"/>
      <c r="AL71" s="23"/>
      <c r="AM71" s="7"/>
      <c r="AN71" s="47" t="str">
        <f aca="false">IF(Tasks[[#This Row],[Task Name]]="","",IF(Tasks[[#This Row],[Finish]]&gt;=Tasks[[#This Row],[Planned Finish]],NETWORKDAYS.INTL(Tasks[[#This Row],[Planned Finish]],Tasks[[#This Row],[Finish]],WorkWeek,Holidays)-1,1-NETWORKDAYS.INTL(Tasks[[#This Row],[Finish]],Tasks[[#This Row],[Planned Finish]],WorkWeek,Holidays)))</f>
        <v/>
      </c>
      <c r="AO71" s="21" t="str">
        <f aca="false">IF(Tasks[[#This Row],[Task Name]]="","",IF(Tasks[[#This Row],[Progress]]&gt;=1,"Complete",IF(OR(N(Tasks[[#This Row],[Actual Start]])&gt;0,Tasks[[#This Row],[Progress]]&gt;0),IF(Tasks[[#This Row],[Finish Var]]&gt;0,"Behind","In Progress"),IF(Tasks[[#This Row],[Planned Start]]&lt;StatusDate,"Late Start","Not Started"))))</f>
        <v/>
      </c>
      <c r="AP71" s="21" t="str">
        <f aca="false">IF(Tasks[[#This Row],[Task Name]]="","",IF(IF(Tasks[[#This Row],[_IsSummary]],COUNTIF(INDEX(Tasks[_LeafCritical],Tasks[[#This Row],[_Row]]+1):INDEX(Tasks[_LeafCritical],Tasks[[#This Row],[_Row]]+Tasks[[#This Row],[_Descendants]]),TRUE())&gt;0,Tasks[[#This Row],[_LeafCritical]]),"Yes",""))</f>
        <v/>
      </c>
      <c r="AQ71" s="63" t="str">
        <f aca="false">IF(Tasks[[#This Row],[Task Name]]="","",IF(N(Tasks[[#This Row],[Baseline Start]])&gt;0,Tasks[[#This Row],[Baseline Start]],Tasks[[#This Row],[_CalcStart]]))</f>
        <v/>
      </c>
      <c r="AR71" s="63" t="str">
        <f aca="false">IF(Tasks[[#This Row],[Task Name]]="","",IF(N(Tasks[[#This Row],[Baseline Finish]])&gt;0,Tasks[[#This Row],[Baseline Finish]],Tasks[[#This Row],[_CalcFinish]]))</f>
        <v/>
      </c>
      <c r="AS71" s="47" t="str">
        <f aca="false">IF(Tasks[[#This Row],[Task Name]]="","",IF(Tasks[[#This Row],[Start]]&gt;=Tasks[[#This Row],[Planned Start]],NETWORKDAYS.INTL(Tasks[[#This Row],[Planned Start]],Tasks[[#This Row],[Start]],WorkWeek,Holidays)-1,1-NETWORKDAYS.INTL(Tasks[[#This Row],[Start]],Tasks[[#This Row],[Planned Start]],WorkWeek,Holidays)))</f>
        <v/>
      </c>
      <c r="AT71" s="63" t="str">
        <f aca="false">IF(Tasks[[#This Row],[Task Name]]="","",IF(Tasks[[#This Row],[_IsSummary]],MIN(INDEX(Tasks[_LeafLateStart],Tasks[[#This Row],[_Row]]+1):INDEX(Tasks[_LeafLateStart],Tasks[[#This Row],[_Row]]+Tasks[[#This Row],[_Descendants]])),Tasks[[#This Row],[_LeafLateStart]]))</f>
        <v/>
      </c>
      <c r="AU71" s="63" t="str">
        <f aca="false">IF(Tasks[[#This Row],[Task Name]]="","",IF(Tasks[[#This Row],[_IsSummary]],MAX(INDEX(Tasks[_LeafLateFinish],Tasks[[#This Row],[_Row]]+1):INDEX(Tasks[_LeafLateFinish],Tasks[[#This Row],[_Row]]+Tasks[[#This Row],[_Descendants]])),Tasks[[#This Row],[_LeafLateFinish]]))</f>
        <v/>
      </c>
      <c r="AV71" s="47" t="str">
        <f aca="false">IF(Tasks[[#This Row],[Task Name]]="","",IF(Tasks[[#This Row],[_IsSummary]],MIN(INDEX(Tasks[_LeafTotalSlack],Tasks[[#This Row],[_Row]]+1):INDEX(Tasks[_LeafTotalSlack],Tasks[[#This Row],[_Row]]+Tasks[[#This Row],[_Descendants]])),Tasks[[#This Row],[_LeafTotalSlack]]))</f>
        <v/>
      </c>
      <c r="AW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5"/>
      <c r="BA7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1" t="str">
        <f aca="false">IF(Tasks[[#This Row],[Task Name]]="","",IF(Tasks[[#This Row],[_Level]]&lt;=OutlineShowLevel,"Yes","No"))</f>
        <v/>
      </c>
      <c r="BE71" s="86" t="str">
        <f aca="false">IF(Tasks[[#This Row],[Task Name]]="","",IF(Tasks[[#This Row],[_IsSummary]],SUM(INDEX(Tasks[_LeafTotalWork],Tasks[[#This Row],[_Row]]+1):INDEX(Tasks[_LeafTotalWork],Tasks[[#This Row],[_Row]]+Tasks[[#This Row],[_Descendants]])),Tasks[[#This Row],[_LeafTotalWork]]))</f>
        <v/>
      </c>
      <c r="BF71" s="23"/>
      <c r="BG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1" s="21" t="str">
        <f aca="false">""</f>
        <v/>
      </c>
      <c r="BI71" s="87"/>
      <c r="BJ71" s="22"/>
      <c r="BK71" s="47" t="str">
        <f aca="false">IF(OR(Tasks[[#This Row],[Task Name]]="",Tasks[[#This Row],[Baseline Duration]]=""),"",Tasks[[#This Row],[_SpanDays]]-N(Tasks[[#This Row],[Baseline Duration]]))</f>
        <v/>
      </c>
      <c r="BL71" s="86" t="str">
        <f aca="false">IF(OR(Tasks[[#This Row],[Task Name]]="",Tasks[[#This Row],[Baseline Work]]=""),"",Tasks[[#This Row],[Work]]-N(Tasks[[#This Row],[Baseline Work]]))</f>
        <v/>
      </c>
      <c r="BM71" s="63" t="str">
        <f aca="false">IF(Tasks[[#This Row],[Task Name]]="","",IF(OR(TakeBaseline="Yes",N(Tasks[[#This Row],[Baseline Start]])=0),Tasks[[#This Row],[Start]],Tasks[[#This Row],[Baseline Start]]))</f>
        <v/>
      </c>
      <c r="BN71" s="63" t="str">
        <f aca="false">IF(Tasks[[#This Row],[Task Name]]="","",IF(OR(TakeBaseline="Yes",N(Tasks[[#This Row],[Baseline Finish]])=0),Tasks[[#This Row],[Finish]],Tasks[[#This Row],[Baseline Finish]]))</f>
        <v/>
      </c>
      <c r="BO71" s="21" t="str">
        <f aca="false">IF(Tasks[[#This Row],[Task Name]]="","",IF(OR(TakeBaseline="Yes",N(Tasks[[#This Row],[Baseline Duration]])=0),Tasks[[#This Row],[_SpanDays]],Tasks[[#This Row],[Baseline Duration]]))</f>
        <v/>
      </c>
      <c r="BP71" s="86" t="str">
        <f aca="false">IF(Tasks[[#This Row],[Task Name]]="","",IF(OR(TakeBaseline="Yes",N(Tasks[[#This Row],[Baseline Work]])=0),Tasks[[#This Row],[Work]],Tasks[[#This Row],[Baseline Work]]))</f>
        <v/>
      </c>
      <c r="BQ71" s="7"/>
      <c r="BR71" s="7"/>
      <c r="BS71" s="22"/>
      <c r="BT71" s="88"/>
      <c r="BU71" s="23"/>
      <c r="BV71" s="23"/>
      <c r="BW71" s="23"/>
      <c r="BX71" s="89" t="str">
        <f aca="false">IF(AND(Tasks[[#This Row],[_IsLeaf]]=1,ISNUMBER(Tasks[[#This Row],[Optimistic]]),ISNUMBER(Tasks[[#This Row],[Pessimistic]])),ROUND((Tasks[[#This Row],[Optimistic]]+4*N(Tasks[[#This Row],[_Days]])+Tasks[[#This Row],[Pessimistic]])/6,1),"")</f>
        <v/>
      </c>
      <c r="BY71" s="87"/>
      <c r="BZ71" s="87"/>
      <c r="CA71" s="22"/>
      <c r="CB71" s="43" t="str">
        <f aca="false">IF(Tasks[[#This Row],[Task Name]]="","",MAX(1,N(Tasks[[#This Row],[Level]])))</f>
        <v/>
      </c>
      <c r="CC71" s="43" t="n">
        <f aca="false">ROW()-ROW(Tasks[[#Headers],[ID]])</f>
        <v>66</v>
      </c>
      <c r="CD71" s="43" t="n">
        <f aca="false">IF(OR(Tasks[[#This Row],[Task Name]]="",Tasks[[#This Row],[_Level]]&lt;=1),0,IFERROR(LOOKUP(2,1/(Tasks[[#Headers],[_Level]]:Tasks[[#This Row],[_Level]]=Tasks[[#This Row],[_Level]]-1),ROW(Tasks[[#Headers],[_Level]]:Tasks[[#This Row],[_Level]])),0))</f>
        <v>0</v>
      </c>
      <c r="CE71" s="43" t="n">
        <f aca="false">IFERROR(N(INDEX(Tasks[_Level],Tasks[[#This Row],[_Row]]+1)),0)</f>
        <v>0</v>
      </c>
      <c r="CF71" s="90" t="b">
        <f aca="false">AND(Tasks[[#This Row],[Task Name]]&lt;&gt;"",Tasks[[#This Row],[_NextLevel]]&gt;Tasks[[#This Row],[_Level]])</f>
        <v>0</v>
      </c>
      <c r="CG71" s="43" t="n">
        <f aca="false">IF(Tasks[[#This Row],[_IsSummary]],COUNTIF(Tasks[WBS],Tasks[[#This Row],[WBS]]&amp;".*"),0)</f>
        <v>0</v>
      </c>
      <c r="CH71" s="43" t="n">
        <f aca="false">IF(AND(Tasks[[#This Row],[Task Name]]&lt;&gt;"",NOT(Tasks[[#This Row],[_IsSummary]])),1,0)</f>
        <v>0</v>
      </c>
      <c r="CI71" s="43" t="n">
        <f aca="false">IF(N(Tasks[[#This Row],[_Pred1UID]])=0,0,IFERROR(MATCH(Tasks[[#This Row],[_Pred1UID]],Tasks[UID],0),-1))</f>
        <v>0</v>
      </c>
      <c r="CJ71" s="43" t="n">
        <f aca="false">IF(N(Tasks[[#This Row],[_Pred2UID]])=0,0,IFERROR(MATCH(Tasks[[#This Row],[_Pred2UID]],Tasks[UID],0),-1))</f>
        <v>0</v>
      </c>
      <c r="CK71" s="43" t="n">
        <f aca="false">IF(N(Tasks[[#This Row],[_Pred3UID]])=0,0,IFERROR(MATCH(Tasks[[#This Row],[_Pred3UID]],Tasks[UID],0),-1))</f>
        <v>0</v>
      </c>
      <c r="CL71" s="43" t="n">
        <f aca="false">IF(N(Tasks[[#This Row],[_Pred4UID]])=0,0,IFERROR(MATCH(Tasks[[#This Row],[_Pred4UID]],Tasks[UID],0),-1))</f>
        <v>0</v>
      </c>
      <c r="CM7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1" s="91" t="n">
        <f aca="false">IF(OR(Tasks[[#This Row],[_ConstraintCode]]=2,Tasks[[#This Row],[_ConstraintCode]]=3,Tasks[[#This Row],[_ConstraintCode]]=4,Tasks[[#This Row],[_ConstraintCode]]=6),Tasks[[#This Row],[_ConstraintStart]],0)</f>
        <v>0</v>
      </c>
      <c r="CP71" s="91" t="n">
        <f aca="false">IF(OR(Tasks[[#This Row],[_ConstraintCode]]=2,Tasks[[#This Row],[_ConstraintCode]]=3,Tasks[[#This Row],[_ConstraintCode]]=5,Tasks[[#This Row],[_ConstraintCode]]=7),Tasks[[#This Row],[_ConstraintStart]],2958465)</f>
        <v>2958465</v>
      </c>
      <c r="CQ7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1" s="91" t="str">
        <f aca="false">IF(NOT(Tasks[[#This Row],[_IsLeaf]]=1),"",IF(N(Tasks[[#This Row],[_Days]])&lt;=0,Tasks[[#This Row],[_LeafCalcStart]],WORKDAY.INTL(Tasks[[#This Row],[_LeafCalcStart]],Tasks[[#This Row],[_Days]]-1,WorkWeek,Holidays)))</f>
        <v/>
      </c>
      <c r="CS7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1" s="43" t="str">
        <f aca="false">IF(Tasks[[#This Row],[_Predecessors]]="","",TRIM(MID(SUBSTITUTE(SUBSTITUTE(SUBSTITUTE(UPPER(Tasks[[#This Row],[_Predecessors]]),";",",")," ",""),",",REPT(" ",99)),1,99)))</f>
        <v/>
      </c>
      <c r="CV71" s="43" t="str">
        <f aca="false">IF(Tasks[[#This Row],[_Pred1Text]]="","",IFERROR(VALUE(LEFT(Tasks[[#This Row],[_Pred1Text]],MIN(FIND("F",Tasks[[#This Row],[_Pred1Text]]&amp;"F"),FIND("S",Tasks[[#This Row],[_Pred1Text]]&amp;"S"),FIND("+",Tasks[[#This Row],[_Pred1Text]]&amp;"+"),FIND("-",Tasks[[#This Row],[_Pred1Text]]&amp;"-"))-1)),""))</f>
        <v/>
      </c>
      <c r="CW7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1" s="43" t="str">
        <f aca="false">IF(Tasks[[#This Row],[_Pred1Text]]="","",TRIM(MID(SUBSTITUTE(SUBSTITUTE(SUBSTITUTE(UPPER(Tasks[[#This Row],[_Predecessors]]),";",",")," ",""),",",REPT(" ",99)),100,99)))</f>
        <v/>
      </c>
      <c r="CZ71" s="43" t="str">
        <f aca="false">IF(Tasks[[#This Row],[_Pred2Text]]="","",IFERROR(VALUE(LEFT(Tasks[[#This Row],[_Pred2Text]],MIN(FIND("F",Tasks[[#This Row],[_Pred2Text]]&amp;"F"),FIND("S",Tasks[[#This Row],[_Pred2Text]]&amp;"S"),FIND("+",Tasks[[#This Row],[_Pred2Text]]&amp;"+"),FIND("-",Tasks[[#This Row],[_Pred2Text]]&amp;"-"))-1)),""))</f>
        <v/>
      </c>
      <c r="DA7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1" s="43" t="str">
        <f aca="false">IF(Tasks[[#This Row],[_Pred2Text]]="","",TRIM(MID(SUBSTITUTE(SUBSTITUTE(SUBSTITUTE(UPPER(Tasks[[#This Row],[_Predecessors]]),";",",")," ",""),",",REPT(" ",99)),199,99)))</f>
        <v/>
      </c>
      <c r="DD71" s="43" t="str">
        <f aca="false">IF(Tasks[[#This Row],[_Pred3Text]]="","",IFERROR(VALUE(LEFT(Tasks[[#This Row],[_Pred3Text]],MIN(FIND("F",Tasks[[#This Row],[_Pred3Text]]&amp;"F"),FIND("S",Tasks[[#This Row],[_Pred3Text]]&amp;"S"),FIND("+",Tasks[[#This Row],[_Pred3Text]]&amp;"+"),FIND("-",Tasks[[#This Row],[_Pred3Text]]&amp;"-"))-1)),""))</f>
        <v/>
      </c>
      <c r="DE7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1" s="43" t="str">
        <f aca="false">IF(Tasks[[#This Row],[_Pred3Text]]="","",TRIM(MID(SUBSTITUTE(SUBSTITUTE(SUBSTITUTE(UPPER(Tasks[[#This Row],[_Predecessors]]),";",",")," ",""),",",REPT(" ",99)),298,99)))</f>
        <v/>
      </c>
      <c r="DH71" s="43" t="str">
        <f aca="false">IF(Tasks[[#This Row],[_Pred4Text]]="","",IFERROR(VALUE(LEFT(Tasks[[#This Row],[_Pred4Text]],MIN(FIND("F",Tasks[[#This Row],[_Pred4Text]]&amp;"F"),FIND("S",Tasks[[#This Row],[_Pred4Text]]&amp;"S"),FIND("+",Tasks[[#This Row],[_Pred4Text]]&amp;"+"),FIND("-",Tasks[[#This Row],[_Pred4Text]]&amp;"-"))-1)),""))</f>
        <v/>
      </c>
      <c r="DI7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1" s="43" t="str">
        <f aca="false">IF(OR(Tasks[[#This Row],[Task Name]]="",Tasks[[#This Row],[_Resources]]=""),"",TRIM(MID(SUBSTITUTE(Tasks[[#This Row],[_Resources]],",",REPT(" ",99)),1,99)))</f>
        <v/>
      </c>
      <c r="DL71" s="43" t="str">
        <f aca="false">IF(Tasks[[#This Row],[_Res1Text]]="","",TRIM(MID(SUBSTITUTE(Tasks[[#This Row],[_Resources]],",",REPT(" ",99)),100,99)))</f>
        <v/>
      </c>
      <c r="DM71" s="43" t="str">
        <f aca="false">IF(Tasks[[#This Row],[_Res2Text]]="","",TRIM(MID(SUBSTITUTE(Tasks[[#This Row],[_Resources]],",",REPT(" ",99)),199,99)))</f>
        <v/>
      </c>
      <c r="DN71" s="43" t="str">
        <f aca="false">IF(Tasks[[#This Row],[_Res3Text]]="","",TRIM(MID(SUBSTITUTE(Tasks[[#This Row],[_Resources]],",",REPT(" ",99)),298,99)))</f>
        <v/>
      </c>
      <c r="DO71" s="43" t="n">
        <f aca="false">IF(Tasks[[#This Row],[_Res1Text]]="",0,IFERROR(MATCH(TRIM(LEFT(Tasks[[#This Row],[_Res1Text]],FIND("[",Tasks[[#This Row],[_Res1Text]]&amp;"[")-1)),res_Name,0),IFERROR(MATCH(TRIM(LEFT(Tasks[[#This Row],[_Res1Text]],FIND("[",Tasks[[#This Row],[_Res1Text]]&amp;"[")-1)),res_Initials,0),0)))</f>
        <v>0</v>
      </c>
      <c r="DP71" s="43" t="n">
        <f aca="false">IF(Tasks[[#This Row],[_Res2Text]]="",0,IFERROR(MATCH(TRIM(LEFT(Tasks[[#This Row],[_Res2Text]],FIND("[",Tasks[[#This Row],[_Res2Text]]&amp;"[")-1)),res_Name,0),IFERROR(MATCH(TRIM(LEFT(Tasks[[#This Row],[_Res2Text]],FIND("[",Tasks[[#This Row],[_Res2Text]]&amp;"[")-1)),res_Initials,0),0)))</f>
        <v>0</v>
      </c>
      <c r="DQ71" s="43" t="n">
        <f aca="false">IF(Tasks[[#This Row],[_Res3Text]]="",0,IFERROR(MATCH(TRIM(LEFT(Tasks[[#This Row],[_Res3Text]],FIND("[",Tasks[[#This Row],[_Res3Text]]&amp;"[")-1)),res_Name,0),IFERROR(MATCH(TRIM(LEFT(Tasks[[#This Row],[_Res3Text]],FIND("[",Tasks[[#This Row],[_Res3Text]]&amp;"[")-1)),res_Initials,0),0)))</f>
        <v>0</v>
      </c>
      <c r="DR71" s="43" t="n">
        <f aca="false">IF(Tasks[[#This Row],[_Res4Text]]="",0,IFERROR(MATCH(TRIM(LEFT(Tasks[[#This Row],[_Res4Text]],FIND("[",Tasks[[#This Row],[_Res4Text]]&amp;"[")-1)),res_Name,0),IFERROR(MATCH(TRIM(LEFT(Tasks[[#This Row],[_Res4Text]],FIND("[",Tasks[[#This Row],[_Res4Text]]&amp;"[")-1)),res_Initials,0),0)))</f>
        <v>0</v>
      </c>
      <c r="DS71" s="43" t="str">
        <f aca="false">IF(Tasks[[#This Row],[_Res1Text]]="","",IF(Tasks[[#This Row],[_Res1Row]]&gt;0,INDEX(res_Name,Tasks[[#This Row],[_Res1Row]]),TRIM(LEFT(Tasks[[#This Row],[_Res1Text]],FIND("[",Tasks[[#This Row],[_Res1Text]]&amp;"[")-1))))</f>
        <v/>
      </c>
      <c r="DT7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1" s="43" t="n">
        <f aca="false">IF(NOT(Tasks[[#This Row],[_IsLeaf]]=1),0,(Tasks[[#This Row],[_Resource1]]&lt;&gt;"")+(Tasks[[#This Row],[_Res2]]&lt;&gt;"")+(Tasks[[#This Row],[_Res3]]&lt;&gt;"")+(Tasks[[#This Row],[_Res4]]&lt;&gt;""))</f>
        <v>0</v>
      </c>
      <c r="DV71" s="43" t="str">
        <f aca="false">IF(Tasks[[#This Row],[_Res2Text]]="","",IF(Tasks[[#This Row],[_Res2Row]]&gt;0,INDEX(res_Name,Tasks[[#This Row],[_Res2Row]]),TRIM(LEFT(Tasks[[#This Row],[_Res2Text]],FIND("[",Tasks[[#This Row],[_Res2Text]]&amp;"[")-1))))</f>
        <v/>
      </c>
      <c r="DW7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1" s="43" t="n">
        <f aca="false">IF(OR(NOT(Tasks[[#This Row],[_IsLeaf]]=1),Tasks[[#This Row],[_Res2Row]]=0),0,N(Tasks[[#This Row],[_Days]])*HoursPerDay*IF(Tasks[[#This Row],[_Res2Units]]="",DefaultUnits,Tasks[[#This Row],[_Res2Units]]))</f>
        <v>0</v>
      </c>
      <c r="DY71" s="43" t="n">
        <f aca="false">IF(AND(AND(Tasks[[#This Row],[_IsLeaf]]=1,Tasks[[#This Row],[_LeafTotalWork]]&gt;0),Tasks[[#This Row],[_Res2Work]]&gt;0),Tasks[[#This Row],[_Res2Work]]/(Tasks[[#This Row],[_FinishWorkday]]-Tasks[[#This Row],[_StartWorkday]]+1),0)</f>
        <v>0</v>
      </c>
      <c r="DZ71" s="43" t="n">
        <f aca="false">Tasks[[#This Row],[_Res2WorkPerWD]]*MAX(0,Tasks[[#This Row],[_StartWorkday]]-1)</f>
        <v>0</v>
      </c>
      <c r="EA71" s="43" t="n">
        <f aca="false">Tasks[[#This Row],[_Res2Work]]*Tasks[[#This Row],[_LeafProgress]]</f>
        <v>0</v>
      </c>
      <c r="EB71" s="43" t="str">
        <f aca="false">IF(Tasks[[#This Row],[_Res3Text]]="","",IF(Tasks[[#This Row],[_Res3Row]]&gt;0,INDEX(res_Name,Tasks[[#This Row],[_Res3Row]]),TRIM(LEFT(Tasks[[#This Row],[_Res3Text]],FIND("[",Tasks[[#This Row],[_Res3Text]]&amp;"[")-1))))</f>
        <v/>
      </c>
      <c r="EC7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1" s="43" t="n">
        <f aca="false">IF(OR(NOT(Tasks[[#This Row],[_IsLeaf]]=1),Tasks[[#This Row],[_Res3Row]]=0),0,N(Tasks[[#This Row],[_Days]])*HoursPerDay*IF(Tasks[[#This Row],[_Res3Units]]="",DefaultUnits,Tasks[[#This Row],[_Res3Units]]))</f>
        <v>0</v>
      </c>
      <c r="EE71" s="43" t="n">
        <f aca="false">IF(AND(AND(Tasks[[#This Row],[_IsLeaf]]=1,Tasks[[#This Row],[_LeafTotalWork]]&gt;0),Tasks[[#This Row],[_Res3Work]]&gt;0),Tasks[[#This Row],[_Res3Work]]/(Tasks[[#This Row],[_FinishWorkday]]-Tasks[[#This Row],[_StartWorkday]]+1),0)</f>
        <v>0</v>
      </c>
      <c r="EF71" s="43" t="n">
        <f aca="false">Tasks[[#This Row],[_Res3WorkPerWD]]*MAX(0,Tasks[[#This Row],[_StartWorkday]]-1)</f>
        <v>0</v>
      </c>
      <c r="EG71" s="43" t="n">
        <f aca="false">Tasks[[#This Row],[_Res3Work]]*Tasks[[#This Row],[_LeafProgress]]</f>
        <v>0</v>
      </c>
      <c r="EH71" s="43" t="str">
        <f aca="false">IF(Tasks[[#This Row],[_Res4Text]]="","",IF(Tasks[[#This Row],[_Res4Row]]&gt;0,INDEX(res_Name,Tasks[[#This Row],[_Res4Row]]),TRIM(LEFT(Tasks[[#This Row],[_Res4Text]],FIND("[",Tasks[[#This Row],[_Res4Text]]&amp;"[")-1))))</f>
        <v/>
      </c>
      <c r="EI7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1" s="43" t="n">
        <f aca="false">IF(OR(NOT(Tasks[[#This Row],[_IsLeaf]]=1),Tasks[[#This Row],[_Res4Row]]=0),0,N(Tasks[[#This Row],[_Days]])*HoursPerDay*IF(Tasks[[#This Row],[_Res4Units]]="",DefaultUnits,Tasks[[#This Row],[_Res4Units]]))</f>
        <v>0</v>
      </c>
      <c r="EK71" s="43" t="n">
        <f aca="false">IF(AND(AND(Tasks[[#This Row],[_IsLeaf]]=1,Tasks[[#This Row],[_LeafTotalWork]]&gt;0),Tasks[[#This Row],[_Res4Work]]&gt;0),Tasks[[#This Row],[_Res4Work]]/(Tasks[[#This Row],[_FinishWorkday]]-Tasks[[#This Row],[_StartWorkday]]+1),0)</f>
        <v>0</v>
      </c>
      <c r="EL71" s="43" t="n">
        <f aca="false">Tasks[[#This Row],[_Res4WorkPerWD]]*MAX(0,Tasks[[#This Row],[_StartWorkday]]-1)</f>
        <v>0</v>
      </c>
      <c r="EM71" s="43" t="n">
        <f aca="false">Tasks[[#This Row],[_Res4Work]]*Tasks[[#This Row],[_LeafProgress]]</f>
        <v>0</v>
      </c>
      <c r="EN71" s="43" t="n">
        <f aca="false">IF(ISNUMBER(Tasks[[#This Row],[% Complete]]),Tasks[[#This Row],[% Complete]],IF(Tasks[[#This Row],[Stage]]="",0,IFERROR(INDEX(stg_Pct,MATCH(Tasks[[#This Row],[Stage]],stg_Name,0)),0)))</f>
        <v>0</v>
      </c>
      <c r="EO71" s="43" t="n">
        <f aca="false">IF(NOT(Tasks[[#This Row],[_IsLeaf]]=1),0,IF(N(Tasks[[#This Row],[Actual Finish]])&gt;0,1,MIN(1,Tasks[[#This Row],[_Pct]])))</f>
        <v>0</v>
      </c>
      <c r="EP71" s="43" t="n">
        <f aca="false">IF(OR(NOT(Tasks[[#This Row],[_IsLeaf]]=1),Tasks[[#This Row],[_Res1Row]]=0),0,N(Tasks[[#This Row],[_Days]])*HoursPerDay*IF(Tasks[[#This Row],[_Units1]]="",DefaultUnits,Tasks[[#This Row],[_Units1]]))</f>
        <v>0</v>
      </c>
      <c r="EQ71" s="43" t="n">
        <f aca="false">Tasks[[#This Row],[_LeafWork]]+Tasks[[#This Row],[_Res2Work]]+Tasks[[#This Row],[_Res3Work]]+Tasks[[#This Row],[_Res4Work]]</f>
        <v>0</v>
      </c>
      <c r="ER7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1" s="43" t="n">
        <f aca="false">IF(NOT(Tasks[[#This Row],[_IsLeaf]]=1),0,MAX(_xlfn.MAXIFS(Tasks[_Row],Tasks[_Pred1UID],Tasks[[#This Row],[UID]]),_xlfn.MAXIFS(Tasks[_Row],Tasks[_Pred2UID],Tasks[[#This Row],[UID]]),_xlfn.MAXIFS(Tasks[_Row],Tasks[_Pred3UID],Tasks[[#This Row],[UID]]),_xlfn.MAXIFS(Tasks[_Row],Tasks[_Pred4UID],Tasks[[#This Row],[UID]])))</f>
        <v>0</v>
      </c>
      <c r="FA7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1" s="91" t="str">
        <f aca="false">IF(NOT(Tasks[[#This Row],[_IsLeaf]]=1),"",IF(N(Tasks[[#This Row],[_Days]])&lt;=0,Tasks[[#This Row],[_LeafLateFinish]],WORKDAY.INTL(Tasks[[#This Row],[_LeafLateFinish]],-(Tasks[[#This Row],[_Days]]-1),WorkWeek,Holidays)))</f>
        <v/>
      </c>
      <c r="FD7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1" s="90" t="b">
        <f aca="false">AND(Tasks[[#This Row],[_IsLeaf]]=1,Tasks[[#This Row],[_LeafProgress]]&lt;1,N(Tasks[[#This Row],[_LeafTotalSlack]])&lt;=CriticalSlackDays)</f>
        <v>0</v>
      </c>
      <c r="FF71" s="43" t="n">
        <f aca="false">IF(AND(Tasks[[#This Row],[_IsLeaf]]=1,Tasks[[#This Row],[_ConstraintCode]]=1,Tasks[[#This Row],[Mode]]&lt;&gt;"Manual",N(Tasks[[#This Row],[Actual Start]])=0),MAX(0,N(Tasks[[#This Row],[Free Slack]])),0)</f>
        <v>0</v>
      </c>
      <c r="FG71" s="91" t="str">
        <f aca="false">IF(NOT(Tasks[[#This Row],[_IsLeaf]]=1),"",IF(Tasks[[#This Row],[_AlapShift]]=0,Tasks[[#This Row],[_LeafCalcStart]],WORKDAY.INTL(Tasks[[#This Row],[_LeafCalcStart]],Tasks[[#This Row],[_AlapShift]],WorkWeek,Holidays)))</f>
        <v/>
      </c>
      <c r="FH71" s="91" t="str">
        <f aca="false">IF(NOT(Tasks[[#This Row],[_IsLeaf]]=1),"",IF(Tasks[[#This Row],[_AlapShift]]=0,Tasks[[#This Row],[_LeafCalcFinish]],WORKDAY.INTL(Tasks[[#This Row],[_LeafCalcFinish]],Tasks[[#This Row],[_AlapShift]],WorkWeek,Holidays)))</f>
        <v/>
      </c>
      <c r="FI71" s="91" t="str">
        <f aca="false">IF(NOT(Tasks[[#This Row],[_IsLeaf]]=1),"",IF(Tasks[[#This Row],[_AlapShift]]=0,Tasks[[#This Row],[_LeafFcstStart]],WORKDAY.INTL(Tasks[[#This Row],[_LeafFcstStart]],Tasks[[#This Row],[_AlapShift]],WorkWeek,Holidays)))</f>
        <v/>
      </c>
      <c r="FJ71" s="91" t="str">
        <f aca="false">IF(NOT(Tasks[[#This Row],[_IsLeaf]]=1),"",IF(Tasks[[#This Row],[_AlapShift]]=0,Tasks[[#This Row],[_LeafFcstFinish]],WORKDAY.INTL(Tasks[[#This Row],[_LeafFcstFinish]],Tasks[[#This Row],[_AlapShift]],WorkWeek,Holidays)))</f>
        <v/>
      </c>
      <c r="FK71" s="91" t="str">
        <f aca="false">IF(Tasks[[#This Row],[Task Name]]="","",IF(Tasks[[#This Row],[_IsSummary]],MIN(INDEX(Tasks[_ShownCalcStart],Tasks[[#This Row],[_Row]]+1):INDEX(Tasks[_ShownCalcStart],Tasks[[#This Row],[_Row]]+Tasks[[#This Row],[_Descendants]])),Tasks[[#This Row],[_ShownCalcStart]]))</f>
        <v/>
      </c>
      <c r="FL71" s="91" t="str">
        <f aca="false">IF(Tasks[[#This Row],[Task Name]]="","",IF(Tasks[[#This Row],[_IsSummary]],MAX(INDEX(Tasks[_ShownCalcFinish],Tasks[[#This Row],[_Row]]+1):INDEX(Tasks[_ShownCalcFinish],Tasks[[#This Row],[_Row]]+Tasks[[#This Row],[_Descendants]])),Tasks[[#This Row],[_ShownCalcFinish]]))</f>
        <v/>
      </c>
      <c r="FM7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1" s="43" t="n">
        <f aca="false">IF(AND(Tasks[[#This Row],[_IsLeaf]]=1,Tasks[[#This Row],[_LeafTotalWork]]&gt;0),NETWORKDAYS.INTL(ProjectStart,Tasks[[#This Row],[_ShownFcstStart]],WorkWeek,Holidays),0)</f>
        <v>0</v>
      </c>
      <c r="FZ71" s="43" t="n">
        <f aca="false">IF(AND(Tasks[[#This Row],[_IsLeaf]]=1,Tasks[[#This Row],[_LeafTotalWork]]&gt;0),MAX(Tasks[[#This Row],[_StartWorkday]],NETWORKDAYS.INTL(ProjectStart,Tasks[[#This Row],[_ShownFcstFinish]],WorkWeek,Holidays)),0)</f>
        <v>0</v>
      </c>
      <c r="GA71" s="43" t="n">
        <f aca="false">IF(AND(Tasks[[#This Row],[_IsLeaf]]=1,Tasks[[#This Row],[_LeafTotalWork]]&gt;0),Tasks[[#This Row],[_LeafWork]]/(Tasks[[#This Row],[_FinishWorkday]]-Tasks[[#This Row],[_StartWorkday]]+1),0)</f>
        <v>0</v>
      </c>
      <c r="GB71" s="43" t="n">
        <f aca="false">Tasks[[#This Row],[_WorkPerWorkday]]*(Tasks[[#This Row],[_StartWorkday]]-1)</f>
        <v>-0</v>
      </c>
      <c r="GC71" s="43" t="n">
        <f aca="false">IF(Tasks[[#This Row],[_IsLeaf]]=1,MAX(N(Tasks[[#This Row],[_Days]]),0.1),0)</f>
        <v>0</v>
      </c>
      <c r="GD71" s="43" t="n">
        <f aca="false">Tasks[[#This Row],[_WeightDur]]*Tasks[[#This Row],[_LeafProgress]]</f>
        <v>0</v>
      </c>
      <c r="GE71" s="43" t="n">
        <f aca="false">Tasks[[#This Row],[_WeightDur]]*Tasks[[#This Row],[_PlannedPct]]</f>
        <v>0</v>
      </c>
      <c r="GF7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1" s="43" t="str">
        <f aca="false">IF(AND(Tasks[[#This Row],[_IsLeaf]]=1,N(Tasks[[#This Row],[_Days]])=0,Tasks[[#This Row],[_LeafProgress]]&lt;1),Tasks[[#This Row],[_ShownFcstFinish]]+Tasks[[#This Row],[_Row]]/100000,"")</f>
        <v/>
      </c>
      <c r="GH7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1" s="43" t="str">
        <f aca="false">IF(Tasks[[#This Row],[Task Name]]="","",LEFT(Tasks[[#This Row],[WBS]],FIND(".",Tasks[[#This Row],[WBS]]&amp;".")-1))</f>
        <v/>
      </c>
      <c r="GJ71" s="43" t="str">
        <f aca="false">IF(AND(Tasks[[#This Row],[Task Name]]&lt;&gt;"",Tasks[[#This Row],[_Level]]=1),Tasks[[#This Row],[_Row]],"")</f>
        <v/>
      </c>
      <c r="GK71" s="43" t="str">
        <f aca="false">IF(AND(Tasks[[#This Row],[_IsLeaf]]=1,N(Tasks[[#This Row],[_Days]])=0),Tasks[[#This Row],[Planned Finish]]+Tasks[[#This Row],[_Row]]/100000,"")</f>
        <v/>
      </c>
      <c r="GL71" s="43" t="str">
        <f aca="false">IF(AND(Tasks[[#This Row],[_IsLeaf]]=1,Tasks[[#This Row],[_LeafProgress]]&lt;1,OR(N(Tasks[[#This Row],[Finish Var]])&gt;0,Tasks[[#This Row],[Status]]="Late Start")),MAX(0,Tasks[[#This Row],[Finish Var]])+1-Tasks[[#This Row],[_Row]]/1000000,"")</f>
        <v/>
      </c>
      <c r="GM71" s="43" t="str">
        <f aca="false">IF(AND(Tasks[[#This Row],[_IsLeaf]]=1,N(Tasks[[#This Row],[Actual Start]])=0,Tasks[[#This Row],[_ShownFcstStart]]&gt;=StatusDate,Tasks[[#This Row],[_ShownFcstStart]]&lt;=LookaheadEnd),Tasks[[#This Row],[_ShownFcstStart]]+Tasks[[#This Row],[_Row]]/100000,"")</f>
        <v/>
      </c>
      <c r="GN71" s="43" t="str">
        <f aca="false">IF(AND(Tasks[[#This Row],[_IsLeaf]]=1,Tasks[[#This Row],[_LeafProgress]]&lt;1,Tasks[[#This Row],[_ShownFcstFinish]]&gt;=StatusDate,Tasks[[#This Row],[_ShownFcstFinish]]&lt;=LookaheadEnd),Tasks[[#This Row],[_ShownFcstFinish]]+Tasks[[#This Row],[_Row]]/100000,"")</f>
        <v/>
      </c>
      <c r="GO71" s="43" t="str">
        <f aca="false">IF(Tasks[[#This Row],[_LeafCritical]],Tasks[[#This Row],[_ShownFcstStart]]+Tasks[[#This Row],[_Row]]/100000,"")</f>
        <v/>
      </c>
      <c r="GP71" s="43" t="n">
        <f aca="false">Tasks[[#This Row],[_LeafWork]]*Tasks[[#This Row],[_LeafProgress]]</f>
        <v>0</v>
      </c>
      <c r="GQ71" s="91" t="str">
        <f aca="false">IF(AND(Tasks[[#This Row],[_IsLeaf]]=1,Tasks[[#This Row],[_LeafProgress]]&gt;=1),IF(N(Tasks[[#This Row],[Actual Finish]])&gt;0,Tasks[[#This Row],[Actual Finish]],Tasks[[#This Row],[_ShownFcstFinish]]),"")</f>
        <v/>
      </c>
      <c r="GR71" s="43" t="n">
        <f aca="false">IF(Tasks[[#This Row],[_IsLeaf]]=1,N(Tasks[[#This Row],[Story Points]]),0)</f>
        <v>0</v>
      </c>
      <c r="GS71" s="43" t="str">
        <f aca="false">""</f>
        <v/>
      </c>
      <c r="GT71" s="90" t="b">
        <f aca="false">IF(Tasks[[#This Row],[Task Name]]="",FALSE(),AND(Tasks[[#This Row],[_IsLeaf]]=1,N(Tasks[[#This Row],[_Days]])=0))</f>
        <v>0</v>
      </c>
      <c r="GU71" s="91" t="n">
        <f aca="false">IF(Tasks[[#This Row],[Task Name]]="",0,IF(AND(Tasks[[#This Row],[_IsLeaf]]=1,NOT(Tasks[[#This Row],[_IsMilestone]]),N(Tasks[[#This Row],[Progress]])&gt;0),Tasks[[#This Row],[Start]],0))</f>
        <v>0</v>
      </c>
      <c r="GV71" s="91" t="n">
        <f aca="false">IF(Tasks[[#This Row],[_DoneFrom]]=0,0,IF(Tasks[[#This Row],[Progress]]&gt;=1,Tasks[[#This Row],[Finish]],MAX(Tasks[[#This Row],[_DoneFrom]],Tasks[[#This Row],[Start]]+ROUND((Tasks[[#This Row],[Finish]]-Tasks[[#This Row],[Start]]+1)*Tasks[[#This Row],[Progress]],0)-1)))</f>
        <v>0</v>
      </c>
      <c r="GW71" s="91" t="n">
        <f aca="false">IF(Tasks[[#This Row],[Task Name]]="",0,IF(OR(NOT(Tasks[[#This Row],[_IsLeaf]]=1),Tasks[[#This Row],[_IsMilestone]],N(Tasks[[#This Row],[Progress]])&gt;=1),0,IF(Tasks[[#This Row],[_DoneTo]]&gt;0,Tasks[[#This Row],[_DoneTo]]+1,Tasks[[#This Row],[Start]])))</f>
        <v>0</v>
      </c>
      <c r="GX71" s="91" t="n">
        <f aca="false">IF(Tasks[[#This Row],[_RemFrom]]=0,0,Tasks[[#This Row],[Finish]])</f>
        <v>0</v>
      </c>
      <c r="GY71" s="90" t="b">
        <f aca="false">IF(Tasks[[#This Row],[Task Name]]="",FALSE(),OR(NOT(BaselineSet),N(Tasks[[#This Row],[Baseline Start]])&gt;0))</f>
        <v>0</v>
      </c>
      <c r="GZ7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1" s="92" t="str">
        <f aca="false">IF(Tasks[[#This Row],[_IsLeaf]]=1,Tasks[[#This Row],[_Row]],"")</f>
        <v/>
      </c>
      <c r="HD71" s="92" t="str">
        <f aca="false">IFERROR(INDEX(Tasks[UID],SMALL(Tasks[_PickKey],Tasks[[#This Row],[_Row]]))&amp;" "&amp;INDEX(Tasks[Task Name],SMALL(Tasks[_PickKey],Tasks[[#This Row],[_Row]])),"")</f>
        <v/>
      </c>
      <c r="HE71" s="43" t="str">
        <f aca="false">IF(Tasks[[#This Row],[Task Name]]="","",IF(Tasks[[#This Row],[_IsSummary]],NETWORKDAYS.INTL(Tasks[[#This Row],[Start]],Tasks[[#This Row],[Finish]],WorkWeek,Holidays),N(Tasks[[#This Row],[_Days]])))</f>
        <v/>
      </c>
      <c r="HF71" s="43" t="n">
        <f aca="false">IF(Tasks[[#This Row],[Expected]]="",0,((Tasks[[#This Row],[Pessimistic]]-Tasks[[#This Row],[Optimistic]])/6)^2)</f>
        <v>0</v>
      </c>
      <c r="HG71" s="43" t="n">
        <f aca="false">IF(Tasks[[#This Row],[Expected]]="",0,Tasks[[#This Row],[Expected]]-N(Tasks[[#This Row],[_Days]]))</f>
        <v>0</v>
      </c>
    </row>
    <row r="72" customFormat="false" ht="15" hidden="false" customHeight="false" outlineLevel="0" collapsed="false">
      <c r="A72" s="21" t="str">
        <f aca="false">IF(Tasks[[#This Row],[Task Name]]="","",COUNTA(Tasks[[#Headers],[Task Name]]:Tasks[[#This Row],[Task Name]])-1)</f>
        <v/>
      </c>
      <c r="B72" s="22" t="n">
        <v>80</v>
      </c>
      <c r="C72" s="22"/>
      <c r="D72" s="23"/>
      <c r="E72" s="22"/>
      <c r="F72" s="23"/>
      <c r="G72" s="22"/>
      <c r="H72" s="22"/>
      <c r="I72" s="23"/>
      <c r="J72" s="22"/>
      <c r="K72" s="22"/>
      <c r="L72" s="23"/>
      <c r="M72" s="22"/>
      <c r="N72" s="22"/>
      <c r="O72" s="23"/>
      <c r="P72" s="22"/>
      <c r="Q72" s="22"/>
      <c r="R72" s="23"/>
      <c r="S72" s="23"/>
      <c r="T72" s="84"/>
      <c r="U72" s="23"/>
      <c r="V72" s="84"/>
      <c r="W72" s="23"/>
      <c r="X72" s="84"/>
      <c r="Y72" s="23"/>
      <c r="Z72" s="84"/>
      <c r="AA72" s="23"/>
      <c r="AB72" s="23"/>
      <c r="AC72" s="7"/>
      <c r="AD72" s="7"/>
      <c r="AE72" s="63" t="str">
        <f aca="false">IF(Tasks[[#This Row],[Task Name]]="","",IF(Tasks[[#This Row],[_IsSummary]],MIN(INDEX(Tasks[_ShownFcstStart],Tasks[[#This Row],[_Row]]+1):INDEX(Tasks[_ShownFcstStart],Tasks[[#This Row],[_Row]]+Tasks[[#This Row],[_Descendants]])),Tasks[[#This Row],[_ShownFcstStart]]))</f>
        <v/>
      </c>
      <c r="AF72" s="63" t="str">
        <f aca="false">IF(Tasks[[#This Row],[Task Name]]="","",IF(Tasks[[#This Row],[_IsSummary]],MAX(INDEX(Tasks[_ShownFcstFinish],Tasks[[#This Row],[_Row]]+1):INDEX(Tasks[_ShownFcstFinish],Tasks[[#This Row],[_Row]]+Tasks[[#This Row],[_Descendants]])),Tasks[[#This Row],[_ShownFcstFinish]]))</f>
        <v/>
      </c>
      <c r="AG72" s="21" t="str">
        <f aca="false">""</f>
        <v/>
      </c>
      <c r="AH72" s="23"/>
      <c r="AI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2" s="7"/>
      <c r="AK72" s="22"/>
      <c r="AL72" s="23"/>
      <c r="AM72" s="7"/>
      <c r="AN72" s="47" t="str">
        <f aca="false">IF(Tasks[[#This Row],[Task Name]]="","",IF(Tasks[[#This Row],[Finish]]&gt;=Tasks[[#This Row],[Planned Finish]],NETWORKDAYS.INTL(Tasks[[#This Row],[Planned Finish]],Tasks[[#This Row],[Finish]],WorkWeek,Holidays)-1,1-NETWORKDAYS.INTL(Tasks[[#This Row],[Finish]],Tasks[[#This Row],[Planned Finish]],WorkWeek,Holidays)))</f>
        <v/>
      </c>
      <c r="AO72" s="21" t="str">
        <f aca="false">IF(Tasks[[#This Row],[Task Name]]="","",IF(Tasks[[#This Row],[Progress]]&gt;=1,"Complete",IF(OR(N(Tasks[[#This Row],[Actual Start]])&gt;0,Tasks[[#This Row],[Progress]]&gt;0),IF(Tasks[[#This Row],[Finish Var]]&gt;0,"Behind","In Progress"),IF(Tasks[[#This Row],[Planned Start]]&lt;StatusDate,"Late Start","Not Started"))))</f>
        <v/>
      </c>
      <c r="AP72" s="21" t="str">
        <f aca="false">IF(Tasks[[#This Row],[Task Name]]="","",IF(IF(Tasks[[#This Row],[_IsSummary]],COUNTIF(INDEX(Tasks[_LeafCritical],Tasks[[#This Row],[_Row]]+1):INDEX(Tasks[_LeafCritical],Tasks[[#This Row],[_Row]]+Tasks[[#This Row],[_Descendants]]),TRUE())&gt;0,Tasks[[#This Row],[_LeafCritical]]),"Yes",""))</f>
        <v/>
      </c>
      <c r="AQ72" s="63" t="str">
        <f aca="false">IF(Tasks[[#This Row],[Task Name]]="","",IF(N(Tasks[[#This Row],[Baseline Start]])&gt;0,Tasks[[#This Row],[Baseline Start]],Tasks[[#This Row],[_CalcStart]]))</f>
        <v/>
      </c>
      <c r="AR72" s="63" t="str">
        <f aca="false">IF(Tasks[[#This Row],[Task Name]]="","",IF(N(Tasks[[#This Row],[Baseline Finish]])&gt;0,Tasks[[#This Row],[Baseline Finish]],Tasks[[#This Row],[_CalcFinish]]))</f>
        <v/>
      </c>
      <c r="AS72" s="47" t="str">
        <f aca="false">IF(Tasks[[#This Row],[Task Name]]="","",IF(Tasks[[#This Row],[Start]]&gt;=Tasks[[#This Row],[Planned Start]],NETWORKDAYS.INTL(Tasks[[#This Row],[Planned Start]],Tasks[[#This Row],[Start]],WorkWeek,Holidays)-1,1-NETWORKDAYS.INTL(Tasks[[#This Row],[Start]],Tasks[[#This Row],[Planned Start]],WorkWeek,Holidays)))</f>
        <v/>
      </c>
      <c r="AT72" s="63" t="str">
        <f aca="false">IF(Tasks[[#This Row],[Task Name]]="","",IF(Tasks[[#This Row],[_IsSummary]],MIN(INDEX(Tasks[_LeafLateStart],Tasks[[#This Row],[_Row]]+1):INDEX(Tasks[_LeafLateStart],Tasks[[#This Row],[_Row]]+Tasks[[#This Row],[_Descendants]])),Tasks[[#This Row],[_LeafLateStart]]))</f>
        <v/>
      </c>
      <c r="AU72" s="63" t="str">
        <f aca="false">IF(Tasks[[#This Row],[Task Name]]="","",IF(Tasks[[#This Row],[_IsSummary]],MAX(INDEX(Tasks[_LeafLateFinish],Tasks[[#This Row],[_Row]]+1):INDEX(Tasks[_LeafLateFinish],Tasks[[#This Row],[_Row]]+Tasks[[#This Row],[_Descendants]])),Tasks[[#This Row],[_LeafLateFinish]]))</f>
        <v/>
      </c>
      <c r="AV72" s="47" t="str">
        <f aca="false">IF(Tasks[[#This Row],[Task Name]]="","",IF(Tasks[[#This Row],[_IsSummary]],MIN(INDEX(Tasks[_LeafTotalSlack],Tasks[[#This Row],[_Row]]+1):INDEX(Tasks[_LeafTotalSlack],Tasks[[#This Row],[_Row]]+Tasks[[#This Row],[_Descendants]])),Tasks[[#This Row],[_LeafTotalSlack]]))</f>
        <v/>
      </c>
      <c r="AW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5"/>
      <c r="BA7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1" t="str">
        <f aca="false">IF(Tasks[[#This Row],[Task Name]]="","",IF(Tasks[[#This Row],[_Level]]&lt;=OutlineShowLevel,"Yes","No"))</f>
        <v/>
      </c>
      <c r="BE72" s="86" t="str">
        <f aca="false">IF(Tasks[[#This Row],[Task Name]]="","",IF(Tasks[[#This Row],[_IsSummary]],SUM(INDEX(Tasks[_LeafTotalWork],Tasks[[#This Row],[_Row]]+1):INDEX(Tasks[_LeafTotalWork],Tasks[[#This Row],[_Row]]+Tasks[[#This Row],[_Descendants]])),Tasks[[#This Row],[_LeafTotalWork]]))</f>
        <v/>
      </c>
      <c r="BF72" s="23"/>
      <c r="BG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2" s="21" t="str">
        <f aca="false">""</f>
        <v/>
      </c>
      <c r="BI72" s="87"/>
      <c r="BJ72" s="22"/>
      <c r="BK72" s="47" t="str">
        <f aca="false">IF(OR(Tasks[[#This Row],[Task Name]]="",Tasks[[#This Row],[Baseline Duration]]=""),"",Tasks[[#This Row],[_SpanDays]]-N(Tasks[[#This Row],[Baseline Duration]]))</f>
        <v/>
      </c>
      <c r="BL72" s="86" t="str">
        <f aca="false">IF(OR(Tasks[[#This Row],[Task Name]]="",Tasks[[#This Row],[Baseline Work]]=""),"",Tasks[[#This Row],[Work]]-N(Tasks[[#This Row],[Baseline Work]]))</f>
        <v/>
      </c>
      <c r="BM72" s="63" t="str">
        <f aca="false">IF(Tasks[[#This Row],[Task Name]]="","",IF(OR(TakeBaseline="Yes",N(Tasks[[#This Row],[Baseline Start]])=0),Tasks[[#This Row],[Start]],Tasks[[#This Row],[Baseline Start]]))</f>
        <v/>
      </c>
      <c r="BN72" s="63" t="str">
        <f aca="false">IF(Tasks[[#This Row],[Task Name]]="","",IF(OR(TakeBaseline="Yes",N(Tasks[[#This Row],[Baseline Finish]])=0),Tasks[[#This Row],[Finish]],Tasks[[#This Row],[Baseline Finish]]))</f>
        <v/>
      </c>
      <c r="BO72" s="21" t="str">
        <f aca="false">IF(Tasks[[#This Row],[Task Name]]="","",IF(OR(TakeBaseline="Yes",N(Tasks[[#This Row],[Baseline Duration]])=0),Tasks[[#This Row],[_SpanDays]],Tasks[[#This Row],[Baseline Duration]]))</f>
        <v/>
      </c>
      <c r="BP72" s="86" t="str">
        <f aca="false">IF(Tasks[[#This Row],[Task Name]]="","",IF(OR(TakeBaseline="Yes",N(Tasks[[#This Row],[Baseline Work]])=0),Tasks[[#This Row],[Work]],Tasks[[#This Row],[Baseline Work]]))</f>
        <v/>
      </c>
      <c r="BQ72" s="7"/>
      <c r="BR72" s="7"/>
      <c r="BS72" s="22"/>
      <c r="BT72" s="88"/>
      <c r="BU72" s="23"/>
      <c r="BV72" s="23"/>
      <c r="BW72" s="23"/>
      <c r="BX72" s="89" t="str">
        <f aca="false">IF(AND(Tasks[[#This Row],[_IsLeaf]]=1,ISNUMBER(Tasks[[#This Row],[Optimistic]]),ISNUMBER(Tasks[[#This Row],[Pessimistic]])),ROUND((Tasks[[#This Row],[Optimistic]]+4*N(Tasks[[#This Row],[_Days]])+Tasks[[#This Row],[Pessimistic]])/6,1),"")</f>
        <v/>
      </c>
      <c r="BY72" s="87"/>
      <c r="BZ72" s="87"/>
      <c r="CA72" s="22"/>
      <c r="CB72" s="43" t="str">
        <f aca="false">IF(Tasks[[#This Row],[Task Name]]="","",MAX(1,N(Tasks[[#This Row],[Level]])))</f>
        <v/>
      </c>
      <c r="CC72" s="43" t="n">
        <f aca="false">ROW()-ROW(Tasks[[#Headers],[ID]])</f>
        <v>67</v>
      </c>
      <c r="CD72" s="43" t="n">
        <f aca="false">IF(OR(Tasks[[#This Row],[Task Name]]="",Tasks[[#This Row],[_Level]]&lt;=1),0,IFERROR(LOOKUP(2,1/(Tasks[[#Headers],[_Level]]:Tasks[[#This Row],[_Level]]=Tasks[[#This Row],[_Level]]-1),ROW(Tasks[[#Headers],[_Level]]:Tasks[[#This Row],[_Level]])),0))</f>
        <v>0</v>
      </c>
      <c r="CE72" s="43" t="n">
        <f aca="false">IFERROR(N(INDEX(Tasks[_Level],Tasks[[#This Row],[_Row]]+1)),0)</f>
        <v>0</v>
      </c>
      <c r="CF72" s="90" t="b">
        <f aca="false">AND(Tasks[[#This Row],[Task Name]]&lt;&gt;"",Tasks[[#This Row],[_NextLevel]]&gt;Tasks[[#This Row],[_Level]])</f>
        <v>0</v>
      </c>
      <c r="CG72" s="43" t="n">
        <f aca="false">IF(Tasks[[#This Row],[_IsSummary]],COUNTIF(Tasks[WBS],Tasks[[#This Row],[WBS]]&amp;".*"),0)</f>
        <v>0</v>
      </c>
      <c r="CH72" s="43" t="n">
        <f aca="false">IF(AND(Tasks[[#This Row],[Task Name]]&lt;&gt;"",NOT(Tasks[[#This Row],[_IsSummary]])),1,0)</f>
        <v>0</v>
      </c>
      <c r="CI72" s="43" t="n">
        <f aca="false">IF(N(Tasks[[#This Row],[_Pred1UID]])=0,0,IFERROR(MATCH(Tasks[[#This Row],[_Pred1UID]],Tasks[UID],0),-1))</f>
        <v>0</v>
      </c>
      <c r="CJ72" s="43" t="n">
        <f aca="false">IF(N(Tasks[[#This Row],[_Pred2UID]])=0,0,IFERROR(MATCH(Tasks[[#This Row],[_Pred2UID]],Tasks[UID],0),-1))</f>
        <v>0</v>
      </c>
      <c r="CK72" s="43" t="n">
        <f aca="false">IF(N(Tasks[[#This Row],[_Pred3UID]])=0,0,IFERROR(MATCH(Tasks[[#This Row],[_Pred3UID]],Tasks[UID],0),-1))</f>
        <v>0</v>
      </c>
      <c r="CL72" s="43" t="n">
        <f aca="false">IF(N(Tasks[[#This Row],[_Pred4UID]])=0,0,IFERROR(MATCH(Tasks[[#This Row],[_Pred4UID]],Tasks[UID],0),-1))</f>
        <v>0</v>
      </c>
      <c r="CM7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2" s="91" t="n">
        <f aca="false">IF(OR(Tasks[[#This Row],[_ConstraintCode]]=2,Tasks[[#This Row],[_ConstraintCode]]=3,Tasks[[#This Row],[_ConstraintCode]]=4,Tasks[[#This Row],[_ConstraintCode]]=6),Tasks[[#This Row],[_ConstraintStart]],0)</f>
        <v>0</v>
      </c>
      <c r="CP72" s="91" t="n">
        <f aca="false">IF(OR(Tasks[[#This Row],[_ConstraintCode]]=2,Tasks[[#This Row],[_ConstraintCode]]=3,Tasks[[#This Row],[_ConstraintCode]]=5,Tasks[[#This Row],[_ConstraintCode]]=7),Tasks[[#This Row],[_ConstraintStart]],2958465)</f>
        <v>2958465</v>
      </c>
      <c r="CQ7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2" s="91" t="str">
        <f aca="false">IF(NOT(Tasks[[#This Row],[_IsLeaf]]=1),"",IF(N(Tasks[[#This Row],[_Days]])&lt;=0,Tasks[[#This Row],[_LeafCalcStart]],WORKDAY.INTL(Tasks[[#This Row],[_LeafCalcStart]],Tasks[[#This Row],[_Days]]-1,WorkWeek,Holidays)))</f>
        <v/>
      </c>
      <c r="CS7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2" s="43" t="str">
        <f aca="false">IF(Tasks[[#This Row],[_Predecessors]]="","",TRIM(MID(SUBSTITUTE(SUBSTITUTE(SUBSTITUTE(UPPER(Tasks[[#This Row],[_Predecessors]]),";",",")," ",""),",",REPT(" ",99)),1,99)))</f>
        <v/>
      </c>
      <c r="CV72" s="43" t="str">
        <f aca="false">IF(Tasks[[#This Row],[_Pred1Text]]="","",IFERROR(VALUE(LEFT(Tasks[[#This Row],[_Pred1Text]],MIN(FIND("F",Tasks[[#This Row],[_Pred1Text]]&amp;"F"),FIND("S",Tasks[[#This Row],[_Pred1Text]]&amp;"S"),FIND("+",Tasks[[#This Row],[_Pred1Text]]&amp;"+"),FIND("-",Tasks[[#This Row],[_Pred1Text]]&amp;"-"))-1)),""))</f>
        <v/>
      </c>
      <c r="CW7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2" s="43" t="str">
        <f aca="false">IF(Tasks[[#This Row],[_Pred1Text]]="","",TRIM(MID(SUBSTITUTE(SUBSTITUTE(SUBSTITUTE(UPPER(Tasks[[#This Row],[_Predecessors]]),";",",")," ",""),",",REPT(" ",99)),100,99)))</f>
        <v/>
      </c>
      <c r="CZ72" s="43" t="str">
        <f aca="false">IF(Tasks[[#This Row],[_Pred2Text]]="","",IFERROR(VALUE(LEFT(Tasks[[#This Row],[_Pred2Text]],MIN(FIND("F",Tasks[[#This Row],[_Pred2Text]]&amp;"F"),FIND("S",Tasks[[#This Row],[_Pred2Text]]&amp;"S"),FIND("+",Tasks[[#This Row],[_Pred2Text]]&amp;"+"),FIND("-",Tasks[[#This Row],[_Pred2Text]]&amp;"-"))-1)),""))</f>
        <v/>
      </c>
      <c r="DA7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2" s="43" t="str">
        <f aca="false">IF(Tasks[[#This Row],[_Pred2Text]]="","",TRIM(MID(SUBSTITUTE(SUBSTITUTE(SUBSTITUTE(UPPER(Tasks[[#This Row],[_Predecessors]]),";",",")," ",""),",",REPT(" ",99)),199,99)))</f>
        <v/>
      </c>
      <c r="DD72" s="43" t="str">
        <f aca="false">IF(Tasks[[#This Row],[_Pred3Text]]="","",IFERROR(VALUE(LEFT(Tasks[[#This Row],[_Pred3Text]],MIN(FIND("F",Tasks[[#This Row],[_Pred3Text]]&amp;"F"),FIND("S",Tasks[[#This Row],[_Pred3Text]]&amp;"S"),FIND("+",Tasks[[#This Row],[_Pred3Text]]&amp;"+"),FIND("-",Tasks[[#This Row],[_Pred3Text]]&amp;"-"))-1)),""))</f>
        <v/>
      </c>
      <c r="DE7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2" s="43" t="str">
        <f aca="false">IF(Tasks[[#This Row],[_Pred3Text]]="","",TRIM(MID(SUBSTITUTE(SUBSTITUTE(SUBSTITUTE(UPPER(Tasks[[#This Row],[_Predecessors]]),";",",")," ",""),",",REPT(" ",99)),298,99)))</f>
        <v/>
      </c>
      <c r="DH72" s="43" t="str">
        <f aca="false">IF(Tasks[[#This Row],[_Pred4Text]]="","",IFERROR(VALUE(LEFT(Tasks[[#This Row],[_Pred4Text]],MIN(FIND("F",Tasks[[#This Row],[_Pred4Text]]&amp;"F"),FIND("S",Tasks[[#This Row],[_Pred4Text]]&amp;"S"),FIND("+",Tasks[[#This Row],[_Pred4Text]]&amp;"+"),FIND("-",Tasks[[#This Row],[_Pred4Text]]&amp;"-"))-1)),""))</f>
        <v/>
      </c>
      <c r="DI7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2" s="43" t="str">
        <f aca="false">IF(OR(Tasks[[#This Row],[Task Name]]="",Tasks[[#This Row],[_Resources]]=""),"",TRIM(MID(SUBSTITUTE(Tasks[[#This Row],[_Resources]],",",REPT(" ",99)),1,99)))</f>
        <v/>
      </c>
      <c r="DL72" s="43" t="str">
        <f aca="false">IF(Tasks[[#This Row],[_Res1Text]]="","",TRIM(MID(SUBSTITUTE(Tasks[[#This Row],[_Resources]],",",REPT(" ",99)),100,99)))</f>
        <v/>
      </c>
      <c r="DM72" s="43" t="str">
        <f aca="false">IF(Tasks[[#This Row],[_Res2Text]]="","",TRIM(MID(SUBSTITUTE(Tasks[[#This Row],[_Resources]],",",REPT(" ",99)),199,99)))</f>
        <v/>
      </c>
      <c r="DN72" s="43" t="str">
        <f aca="false">IF(Tasks[[#This Row],[_Res3Text]]="","",TRIM(MID(SUBSTITUTE(Tasks[[#This Row],[_Resources]],",",REPT(" ",99)),298,99)))</f>
        <v/>
      </c>
      <c r="DO72" s="43" t="n">
        <f aca="false">IF(Tasks[[#This Row],[_Res1Text]]="",0,IFERROR(MATCH(TRIM(LEFT(Tasks[[#This Row],[_Res1Text]],FIND("[",Tasks[[#This Row],[_Res1Text]]&amp;"[")-1)),res_Name,0),IFERROR(MATCH(TRIM(LEFT(Tasks[[#This Row],[_Res1Text]],FIND("[",Tasks[[#This Row],[_Res1Text]]&amp;"[")-1)),res_Initials,0),0)))</f>
        <v>0</v>
      </c>
      <c r="DP72" s="43" t="n">
        <f aca="false">IF(Tasks[[#This Row],[_Res2Text]]="",0,IFERROR(MATCH(TRIM(LEFT(Tasks[[#This Row],[_Res2Text]],FIND("[",Tasks[[#This Row],[_Res2Text]]&amp;"[")-1)),res_Name,0),IFERROR(MATCH(TRIM(LEFT(Tasks[[#This Row],[_Res2Text]],FIND("[",Tasks[[#This Row],[_Res2Text]]&amp;"[")-1)),res_Initials,0),0)))</f>
        <v>0</v>
      </c>
      <c r="DQ72" s="43" t="n">
        <f aca="false">IF(Tasks[[#This Row],[_Res3Text]]="",0,IFERROR(MATCH(TRIM(LEFT(Tasks[[#This Row],[_Res3Text]],FIND("[",Tasks[[#This Row],[_Res3Text]]&amp;"[")-1)),res_Name,0),IFERROR(MATCH(TRIM(LEFT(Tasks[[#This Row],[_Res3Text]],FIND("[",Tasks[[#This Row],[_Res3Text]]&amp;"[")-1)),res_Initials,0),0)))</f>
        <v>0</v>
      </c>
      <c r="DR72" s="43" t="n">
        <f aca="false">IF(Tasks[[#This Row],[_Res4Text]]="",0,IFERROR(MATCH(TRIM(LEFT(Tasks[[#This Row],[_Res4Text]],FIND("[",Tasks[[#This Row],[_Res4Text]]&amp;"[")-1)),res_Name,0),IFERROR(MATCH(TRIM(LEFT(Tasks[[#This Row],[_Res4Text]],FIND("[",Tasks[[#This Row],[_Res4Text]]&amp;"[")-1)),res_Initials,0),0)))</f>
        <v>0</v>
      </c>
      <c r="DS72" s="43" t="str">
        <f aca="false">IF(Tasks[[#This Row],[_Res1Text]]="","",IF(Tasks[[#This Row],[_Res1Row]]&gt;0,INDEX(res_Name,Tasks[[#This Row],[_Res1Row]]),TRIM(LEFT(Tasks[[#This Row],[_Res1Text]],FIND("[",Tasks[[#This Row],[_Res1Text]]&amp;"[")-1))))</f>
        <v/>
      </c>
      <c r="DT7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2" s="43" t="n">
        <f aca="false">IF(NOT(Tasks[[#This Row],[_IsLeaf]]=1),0,(Tasks[[#This Row],[_Resource1]]&lt;&gt;"")+(Tasks[[#This Row],[_Res2]]&lt;&gt;"")+(Tasks[[#This Row],[_Res3]]&lt;&gt;"")+(Tasks[[#This Row],[_Res4]]&lt;&gt;""))</f>
        <v>0</v>
      </c>
      <c r="DV72" s="43" t="str">
        <f aca="false">IF(Tasks[[#This Row],[_Res2Text]]="","",IF(Tasks[[#This Row],[_Res2Row]]&gt;0,INDEX(res_Name,Tasks[[#This Row],[_Res2Row]]),TRIM(LEFT(Tasks[[#This Row],[_Res2Text]],FIND("[",Tasks[[#This Row],[_Res2Text]]&amp;"[")-1))))</f>
        <v/>
      </c>
      <c r="DW7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2" s="43" t="n">
        <f aca="false">IF(OR(NOT(Tasks[[#This Row],[_IsLeaf]]=1),Tasks[[#This Row],[_Res2Row]]=0),0,N(Tasks[[#This Row],[_Days]])*HoursPerDay*IF(Tasks[[#This Row],[_Res2Units]]="",DefaultUnits,Tasks[[#This Row],[_Res2Units]]))</f>
        <v>0</v>
      </c>
      <c r="DY72" s="43" t="n">
        <f aca="false">IF(AND(AND(Tasks[[#This Row],[_IsLeaf]]=1,Tasks[[#This Row],[_LeafTotalWork]]&gt;0),Tasks[[#This Row],[_Res2Work]]&gt;0),Tasks[[#This Row],[_Res2Work]]/(Tasks[[#This Row],[_FinishWorkday]]-Tasks[[#This Row],[_StartWorkday]]+1),0)</f>
        <v>0</v>
      </c>
      <c r="DZ72" s="43" t="n">
        <f aca="false">Tasks[[#This Row],[_Res2WorkPerWD]]*MAX(0,Tasks[[#This Row],[_StartWorkday]]-1)</f>
        <v>0</v>
      </c>
      <c r="EA72" s="43" t="n">
        <f aca="false">Tasks[[#This Row],[_Res2Work]]*Tasks[[#This Row],[_LeafProgress]]</f>
        <v>0</v>
      </c>
      <c r="EB72" s="43" t="str">
        <f aca="false">IF(Tasks[[#This Row],[_Res3Text]]="","",IF(Tasks[[#This Row],[_Res3Row]]&gt;0,INDEX(res_Name,Tasks[[#This Row],[_Res3Row]]),TRIM(LEFT(Tasks[[#This Row],[_Res3Text]],FIND("[",Tasks[[#This Row],[_Res3Text]]&amp;"[")-1))))</f>
        <v/>
      </c>
      <c r="EC7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2" s="43" t="n">
        <f aca="false">IF(OR(NOT(Tasks[[#This Row],[_IsLeaf]]=1),Tasks[[#This Row],[_Res3Row]]=0),0,N(Tasks[[#This Row],[_Days]])*HoursPerDay*IF(Tasks[[#This Row],[_Res3Units]]="",DefaultUnits,Tasks[[#This Row],[_Res3Units]]))</f>
        <v>0</v>
      </c>
      <c r="EE72" s="43" t="n">
        <f aca="false">IF(AND(AND(Tasks[[#This Row],[_IsLeaf]]=1,Tasks[[#This Row],[_LeafTotalWork]]&gt;0),Tasks[[#This Row],[_Res3Work]]&gt;0),Tasks[[#This Row],[_Res3Work]]/(Tasks[[#This Row],[_FinishWorkday]]-Tasks[[#This Row],[_StartWorkday]]+1),0)</f>
        <v>0</v>
      </c>
      <c r="EF72" s="43" t="n">
        <f aca="false">Tasks[[#This Row],[_Res3WorkPerWD]]*MAX(0,Tasks[[#This Row],[_StartWorkday]]-1)</f>
        <v>0</v>
      </c>
      <c r="EG72" s="43" t="n">
        <f aca="false">Tasks[[#This Row],[_Res3Work]]*Tasks[[#This Row],[_LeafProgress]]</f>
        <v>0</v>
      </c>
      <c r="EH72" s="43" t="str">
        <f aca="false">IF(Tasks[[#This Row],[_Res4Text]]="","",IF(Tasks[[#This Row],[_Res4Row]]&gt;0,INDEX(res_Name,Tasks[[#This Row],[_Res4Row]]),TRIM(LEFT(Tasks[[#This Row],[_Res4Text]],FIND("[",Tasks[[#This Row],[_Res4Text]]&amp;"[")-1))))</f>
        <v/>
      </c>
      <c r="EI7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2" s="43" t="n">
        <f aca="false">IF(OR(NOT(Tasks[[#This Row],[_IsLeaf]]=1),Tasks[[#This Row],[_Res4Row]]=0),0,N(Tasks[[#This Row],[_Days]])*HoursPerDay*IF(Tasks[[#This Row],[_Res4Units]]="",DefaultUnits,Tasks[[#This Row],[_Res4Units]]))</f>
        <v>0</v>
      </c>
      <c r="EK72" s="43" t="n">
        <f aca="false">IF(AND(AND(Tasks[[#This Row],[_IsLeaf]]=1,Tasks[[#This Row],[_LeafTotalWork]]&gt;0),Tasks[[#This Row],[_Res4Work]]&gt;0),Tasks[[#This Row],[_Res4Work]]/(Tasks[[#This Row],[_FinishWorkday]]-Tasks[[#This Row],[_StartWorkday]]+1),0)</f>
        <v>0</v>
      </c>
      <c r="EL72" s="43" t="n">
        <f aca="false">Tasks[[#This Row],[_Res4WorkPerWD]]*MAX(0,Tasks[[#This Row],[_StartWorkday]]-1)</f>
        <v>0</v>
      </c>
      <c r="EM72" s="43" t="n">
        <f aca="false">Tasks[[#This Row],[_Res4Work]]*Tasks[[#This Row],[_LeafProgress]]</f>
        <v>0</v>
      </c>
      <c r="EN72" s="43" t="n">
        <f aca="false">IF(ISNUMBER(Tasks[[#This Row],[% Complete]]),Tasks[[#This Row],[% Complete]],IF(Tasks[[#This Row],[Stage]]="",0,IFERROR(INDEX(stg_Pct,MATCH(Tasks[[#This Row],[Stage]],stg_Name,0)),0)))</f>
        <v>0</v>
      </c>
      <c r="EO72" s="43" t="n">
        <f aca="false">IF(NOT(Tasks[[#This Row],[_IsLeaf]]=1),0,IF(N(Tasks[[#This Row],[Actual Finish]])&gt;0,1,MIN(1,Tasks[[#This Row],[_Pct]])))</f>
        <v>0</v>
      </c>
      <c r="EP72" s="43" t="n">
        <f aca="false">IF(OR(NOT(Tasks[[#This Row],[_IsLeaf]]=1),Tasks[[#This Row],[_Res1Row]]=0),0,N(Tasks[[#This Row],[_Days]])*HoursPerDay*IF(Tasks[[#This Row],[_Units1]]="",DefaultUnits,Tasks[[#This Row],[_Units1]]))</f>
        <v>0</v>
      </c>
      <c r="EQ72" s="43" t="n">
        <f aca="false">Tasks[[#This Row],[_LeafWork]]+Tasks[[#This Row],[_Res2Work]]+Tasks[[#This Row],[_Res3Work]]+Tasks[[#This Row],[_Res4Work]]</f>
        <v>0</v>
      </c>
      <c r="ER7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2" s="43" t="n">
        <f aca="false">IF(NOT(Tasks[[#This Row],[_IsLeaf]]=1),0,MAX(_xlfn.MAXIFS(Tasks[_Row],Tasks[_Pred1UID],Tasks[[#This Row],[UID]]),_xlfn.MAXIFS(Tasks[_Row],Tasks[_Pred2UID],Tasks[[#This Row],[UID]]),_xlfn.MAXIFS(Tasks[_Row],Tasks[_Pred3UID],Tasks[[#This Row],[UID]]),_xlfn.MAXIFS(Tasks[_Row],Tasks[_Pred4UID],Tasks[[#This Row],[UID]])))</f>
        <v>0</v>
      </c>
      <c r="FA7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2" s="91" t="str">
        <f aca="false">IF(NOT(Tasks[[#This Row],[_IsLeaf]]=1),"",IF(N(Tasks[[#This Row],[_Days]])&lt;=0,Tasks[[#This Row],[_LeafLateFinish]],WORKDAY.INTL(Tasks[[#This Row],[_LeafLateFinish]],-(Tasks[[#This Row],[_Days]]-1),WorkWeek,Holidays)))</f>
        <v/>
      </c>
      <c r="FD7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2" s="90" t="b">
        <f aca="false">AND(Tasks[[#This Row],[_IsLeaf]]=1,Tasks[[#This Row],[_LeafProgress]]&lt;1,N(Tasks[[#This Row],[_LeafTotalSlack]])&lt;=CriticalSlackDays)</f>
        <v>0</v>
      </c>
      <c r="FF72" s="43" t="n">
        <f aca="false">IF(AND(Tasks[[#This Row],[_IsLeaf]]=1,Tasks[[#This Row],[_ConstraintCode]]=1,Tasks[[#This Row],[Mode]]&lt;&gt;"Manual",N(Tasks[[#This Row],[Actual Start]])=0),MAX(0,N(Tasks[[#This Row],[Free Slack]])),0)</f>
        <v>0</v>
      </c>
      <c r="FG72" s="91" t="str">
        <f aca="false">IF(NOT(Tasks[[#This Row],[_IsLeaf]]=1),"",IF(Tasks[[#This Row],[_AlapShift]]=0,Tasks[[#This Row],[_LeafCalcStart]],WORKDAY.INTL(Tasks[[#This Row],[_LeafCalcStart]],Tasks[[#This Row],[_AlapShift]],WorkWeek,Holidays)))</f>
        <v/>
      </c>
      <c r="FH72" s="91" t="str">
        <f aca="false">IF(NOT(Tasks[[#This Row],[_IsLeaf]]=1),"",IF(Tasks[[#This Row],[_AlapShift]]=0,Tasks[[#This Row],[_LeafCalcFinish]],WORKDAY.INTL(Tasks[[#This Row],[_LeafCalcFinish]],Tasks[[#This Row],[_AlapShift]],WorkWeek,Holidays)))</f>
        <v/>
      </c>
      <c r="FI72" s="91" t="str">
        <f aca="false">IF(NOT(Tasks[[#This Row],[_IsLeaf]]=1),"",IF(Tasks[[#This Row],[_AlapShift]]=0,Tasks[[#This Row],[_LeafFcstStart]],WORKDAY.INTL(Tasks[[#This Row],[_LeafFcstStart]],Tasks[[#This Row],[_AlapShift]],WorkWeek,Holidays)))</f>
        <v/>
      </c>
      <c r="FJ72" s="91" t="str">
        <f aca="false">IF(NOT(Tasks[[#This Row],[_IsLeaf]]=1),"",IF(Tasks[[#This Row],[_AlapShift]]=0,Tasks[[#This Row],[_LeafFcstFinish]],WORKDAY.INTL(Tasks[[#This Row],[_LeafFcstFinish]],Tasks[[#This Row],[_AlapShift]],WorkWeek,Holidays)))</f>
        <v/>
      </c>
      <c r="FK72" s="91" t="str">
        <f aca="false">IF(Tasks[[#This Row],[Task Name]]="","",IF(Tasks[[#This Row],[_IsSummary]],MIN(INDEX(Tasks[_ShownCalcStart],Tasks[[#This Row],[_Row]]+1):INDEX(Tasks[_ShownCalcStart],Tasks[[#This Row],[_Row]]+Tasks[[#This Row],[_Descendants]])),Tasks[[#This Row],[_ShownCalcStart]]))</f>
        <v/>
      </c>
      <c r="FL72" s="91" t="str">
        <f aca="false">IF(Tasks[[#This Row],[Task Name]]="","",IF(Tasks[[#This Row],[_IsSummary]],MAX(INDEX(Tasks[_ShownCalcFinish],Tasks[[#This Row],[_Row]]+1):INDEX(Tasks[_ShownCalcFinish],Tasks[[#This Row],[_Row]]+Tasks[[#This Row],[_Descendants]])),Tasks[[#This Row],[_ShownCalcFinish]]))</f>
        <v/>
      </c>
      <c r="FM7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2" s="43" t="n">
        <f aca="false">IF(AND(Tasks[[#This Row],[_IsLeaf]]=1,Tasks[[#This Row],[_LeafTotalWork]]&gt;0),NETWORKDAYS.INTL(ProjectStart,Tasks[[#This Row],[_ShownFcstStart]],WorkWeek,Holidays),0)</f>
        <v>0</v>
      </c>
      <c r="FZ72" s="43" t="n">
        <f aca="false">IF(AND(Tasks[[#This Row],[_IsLeaf]]=1,Tasks[[#This Row],[_LeafTotalWork]]&gt;0),MAX(Tasks[[#This Row],[_StartWorkday]],NETWORKDAYS.INTL(ProjectStart,Tasks[[#This Row],[_ShownFcstFinish]],WorkWeek,Holidays)),0)</f>
        <v>0</v>
      </c>
      <c r="GA72" s="43" t="n">
        <f aca="false">IF(AND(Tasks[[#This Row],[_IsLeaf]]=1,Tasks[[#This Row],[_LeafTotalWork]]&gt;0),Tasks[[#This Row],[_LeafWork]]/(Tasks[[#This Row],[_FinishWorkday]]-Tasks[[#This Row],[_StartWorkday]]+1),0)</f>
        <v>0</v>
      </c>
      <c r="GB72" s="43" t="n">
        <f aca="false">Tasks[[#This Row],[_WorkPerWorkday]]*(Tasks[[#This Row],[_StartWorkday]]-1)</f>
        <v>-0</v>
      </c>
      <c r="GC72" s="43" t="n">
        <f aca="false">IF(Tasks[[#This Row],[_IsLeaf]]=1,MAX(N(Tasks[[#This Row],[_Days]]),0.1),0)</f>
        <v>0</v>
      </c>
      <c r="GD72" s="43" t="n">
        <f aca="false">Tasks[[#This Row],[_WeightDur]]*Tasks[[#This Row],[_LeafProgress]]</f>
        <v>0</v>
      </c>
      <c r="GE72" s="43" t="n">
        <f aca="false">Tasks[[#This Row],[_WeightDur]]*Tasks[[#This Row],[_PlannedPct]]</f>
        <v>0</v>
      </c>
      <c r="GF7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2" s="43" t="str">
        <f aca="false">IF(AND(Tasks[[#This Row],[_IsLeaf]]=1,N(Tasks[[#This Row],[_Days]])=0,Tasks[[#This Row],[_LeafProgress]]&lt;1),Tasks[[#This Row],[_ShownFcstFinish]]+Tasks[[#This Row],[_Row]]/100000,"")</f>
        <v/>
      </c>
      <c r="GH7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2" s="43" t="str">
        <f aca="false">IF(Tasks[[#This Row],[Task Name]]="","",LEFT(Tasks[[#This Row],[WBS]],FIND(".",Tasks[[#This Row],[WBS]]&amp;".")-1))</f>
        <v/>
      </c>
      <c r="GJ72" s="43" t="str">
        <f aca="false">IF(AND(Tasks[[#This Row],[Task Name]]&lt;&gt;"",Tasks[[#This Row],[_Level]]=1),Tasks[[#This Row],[_Row]],"")</f>
        <v/>
      </c>
      <c r="GK72" s="43" t="str">
        <f aca="false">IF(AND(Tasks[[#This Row],[_IsLeaf]]=1,N(Tasks[[#This Row],[_Days]])=0),Tasks[[#This Row],[Planned Finish]]+Tasks[[#This Row],[_Row]]/100000,"")</f>
        <v/>
      </c>
      <c r="GL72" s="43" t="str">
        <f aca="false">IF(AND(Tasks[[#This Row],[_IsLeaf]]=1,Tasks[[#This Row],[_LeafProgress]]&lt;1,OR(N(Tasks[[#This Row],[Finish Var]])&gt;0,Tasks[[#This Row],[Status]]="Late Start")),MAX(0,Tasks[[#This Row],[Finish Var]])+1-Tasks[[#This Row],[_Row]]/1000000,"")</f>
        <v/>
      </c>
      <c r="GM72" s="43" t="str">
        <f aca="false">IF(AND(Tasks[[#This Row],[_IsLeaf]]=1,N(Tasks[[#This Row],[Actual Start]])=0,Tasks[[#This Row],[_ShownFcstStart]]&gt;=StatusDate,Tasks[[#This Row],[_ShownFcstStart]]&lt;=LookaheadEnd),Tasks[[#This Row],[_ShownFcstStart]]+Tasks[[#This Row],[_Row]]/100000,"")</f>
        <v/>
      </c>
      <c r="GN72" s="43" t="str">
        <f aca="false">IF(AND(Tasks[[#This Row],[_IsLeaf]]=1,Tasks[[#This Row],[_LeafProgress]]&lt;1,Tasks[[#This Row],[_ShownFcstFinish]]&gt;=StatusDate,Tasks[[#This Row],[_ShownFcstFinish]]&lt;=LookaheadEnd),Tasks[[#This Row],[_ShownFcstFinish]]+Tasks[[#This Row],[_Row]]/100000,"")</f>
        <v/>
      </c>
      <c r="GO72" s="43" t="str">
        <f aca="false">IF(Tasks[[#This Row],[_LeafCritical]],Tasks[[#This Row],[_ShownFcstStart]]+Tasks[[#This Row],[_Row]]/100000,"")</f>
        <v/>
      </c>
      <c r="GP72" s="43" t="n">
        <f aca="false">Tasks[[#This Row],[_LeafWork]]*Tasks[[#This Row],[_LeafProgress]]</f>
        <v>0</v>
      </c>
      <c r="GQ72" s="91" t="str">
        <f aca="false">IF(AND(Tasks[[#This Row],[_IsLeaf]]=1,Tasks[[#This Row],[_LeafProgress]]&gt;=1),IF(N(Tasks[[#This Row],[Actual Finish]])&gt;0,Tasks[[#This Row],[Actual Finish]],Tasks[[#This Row],[_ShownFcstFinish]]),"")</f>
        <v/>
      </c>
      <c r="GR72" s="43" t="n">
        <f aca="false">IF(Tasks[[#This Row],[_IsLeaf]]=1,N(Tasks[[#This Row],[Story Points]]),0)</f>
        <v>0</v>
      </c>
      <c r="GS72" s="43" t="str">
        <f aca="false">""</f>
        <v/>
      </c>
      <c r="GT72" s="90" t="b">
        <f aca="false">IF(Tasks[[#This Row],[Task Name]]="",FALSE(),AND(Tasks[[#This Row],[_IsLeaf]]=1,N(Tasks[[#This Row],[_Days]])=0))</f>
        <v>0</v>
      </c>
      <c r="GU72" s="91" t="n">
        <f aca="false">IF(Tasks[[#This Row],[Task Name]]="",0,IF(AND(Tasks[[#This Row],[_IsLeaf]]=1,NOT(Tasks[[#This Row],[_IsMilestone]]),N(Tasks[[#This Row],[Progress]])&gt;0),Tasks[[#This Row],[Start]],0))</f>
        <v>0</v>
      </c>
      <c r="GV72" s="91" t="n">
        <f aca="false">IF(Tasks[[#This Row],[_DoneFrom]]=0,0,IF(Tasks[[#This Row],[Progress]]&gt;=1,Tasks[[#This Row],[Finish]],MAX(Tasks[[#This Row],[_DoneFrom]],Tasks[[#This Row],[Start]]+ROUND((Tasks[[#This Row],[Finish]]-Tasks[[#This Row],[Start]]+1)*Tasks[[#This Row],[Progress]],0)-1)))</f>
        <v>0</v>
      </c>
      <c r="GW72" s="91" t="n">
        <f aca="false">IF(Tasks[[#This Row],[Task Name]]="",0,IF(OR(NOT(Tasks[[#This Row],[_IsLeaf]]=1),Tasks[[#This Row],[_IsMilestone]],N(Tasks[[#This Row],[Progress]])&gt;=1),0,IF(Tasks[[#This Row],[_DoneTo]]&gt;0,Tasks[[#This Row],[_DoneTo]]+1,Tasks[[#This Row],[Start]])))</f>
        <v>0</v>
      </c>
      <c r="GX72" s="91" t="n">
        <f aca="false">IF(Tasks[[#This Row],[_RemFrom]]=0,0,Tasks[[#This Row],[Finish]])</f>
        <v>0</v>
      </c>
      <c r="GY72" s="90" t="b">
        <f aca="false">IF(Tasks[[#This Row],[Task Name]]="",FALSE(),OR(NOT(BaselineSet),N(Tasks[[#This Row],[Baseline Start]])&gt;0))</f>
        <v>0</v>
      </c>
      <c r="GZ7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2" s="92" t="str">
        <f aca="false">IF(Tasks[[#This Row],[_IsLeaf]]=1,Tasks[[#This Row],[_Row]],"")</f>
        <v/>
      </c>
      <c r="HD72" s="92" t="str">
        <f aca="false">IFERROR(INDEX(Tasks[UID],SMALL(Tasks[_PickKey],Tasks[[#This Row],[_Row]]))&amp;" "&amp;INDEX(Tasks[Task Name],SMALL(Tasks[_PickKey],Tasks[[#This Row],[_Row]])),"")</f>
        <v/>
      </c>
      <c r="HE72" s="43" t="str">
        <f aca="false">IF(Tasks[[#This Row],[Task Name]]="","",IF(Tasks[[#This Row],[_IsSummary]],NETWORKDAYS.INTL(Tasks[[#This Row],[Start]],Tasks[[#This Row],[Finish]],WorkWeek,Holidays),N(Tasks[[#This Row],[_Days]])))</f>
        <v/>
      </c>
      <c r="HF72" s="43" t="n">
        <f aca="false">IF(Tasks[[#This Row],[Expected]]="",0,((Tasks[[#This Row],[Pessimistic]]-Tasks[[#This Row],[Optimistic]])/6)^2)</f>
        <v>0</v>
      </c>
      <c r="HG72" s="43" t="n">
        <f aca="false">IF(Tasks[[#This Row],[Expected]]="",0,Tasks[[#This Row],[Expected]]-N(Tasks[[#This Row],[_Days]]))</f>
        <v>0</v>
      </c>
    </row>
    <row r="73" customFormat="false" ht="15" hidden="false" customHeight="false" outlineLevel="0" collapsed="false">
      <c r="A73" s="21" t="str">
        <f aca="false">IF(Tasks[[#This Row],[Task Name]]="","",COUNTA(Tasks[[#Headers],[Task Name]]:Tasks[[#This Row],[Task Name]])-1)</f>
        <v/>
      </c>
      <c r="B73" s="22" t="n">
        <v>81</v>
      </c>
      <c r="C73" s="22"/>
      <c r="D73" s="23"/>
      <c r="E73" s="22"/>
      <c r="F73" s="23"/>
      <c r="G73" s="22"/>
      <c r="H73" s="22"/>
      <c r="I73" s="23"/>
      <c r="J73" s="22"/>
      <c r="K73" s="22"/>
      <c r="L73" s="23"/>
      <c r="M73" s="22"/>
      <c r="N73" s="22"/>
      <c r="O73" s="23"/>
      <c r="P73" s="22"/>
      <c r="Q73" s="22"/>
      <c r="R73" s="23"/>
      <c r="S73" s="23"/>
      <c r="T73" s="84"/>
      <c r="U73" s="23"/>
      <c r="V73" s="84"/>
      <c r="W73" s="23"/>
      <c r="X73" s="84"/>
      <c r="Y73" s="23"/>
      <c r="Z73" s="84"/>
      <c r="AA73" s="23"/>
      <c r="AB73" s="23"/>
      <c r="AC73" s="7"/>
      <c r="AD73" s="7"/>
      <c r="AE73" s="63" t="str">
        <f aca="false">IF(Tasks[[#This Row],[Task Name]]="","",IF(Tasks[[#This Row],[_IsSummary]],MIN(INDEX(Tasks[_ShownFcstStart],Tasks[[#This Row],[_Row]]+1):INDEX(Tasks[_ShownFcstStart],Tasks[[#This Row],[_Row]]+Tasks[[#This Row],[_Descendants]])),Tasks[[#This Row],[_ShownFcstStart]]))</f>
        <v/>
      </c>
      <c r="AF73" s="63" t="str">
        <f aca="false">IF(Tasks[[#This Row],[Task Name]]="","",IF(Tasks[[#This Row],[_IsSummary]],MAX(INDEX(Tasks[_ShownFcstFinish],Tasks[[#This Row],[_Row]]+1):INDEX(Tasks[_ShownFcstFinish],Tasks[[#This Row],[_Row]]+Tasks[[#This Row],[_Descendants]])),Tasks[[#This Row],[_ShownFcstFinish]]))</f>
        <v/>
      </c>
      <c r="AG73" s="21" t="str">
        <f aca="false">""</f>
        <v/>
      </c>
      <c r="AH73" s="23"/>
      <c r="AI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3" s="7"/>
      <c r="AK73" s="22"/>
      <c r="AL73" s="23"/>
      <c r="AM73" s="7"/>
      <c r="AN73" s="47" t="str">
        <f aca="false">IF(Tasks[[#This Row],[Task Name]]="","",IF(Tasks[[#This Row],[Finish]]&gt;=Tasks[[#This Row],[Planned Finish]],NETWORKDAYS.INTL(Tasks[[#This Row],[Planned Finish]],Tasks[[#This Row],[Finish]],WorkWeek,Holidays)-1,1-NETWORKDAYS.INTL(Tasks[[#This Row],[Finish]],Tasks[[#This Row],[Planned Finish]],WorkWeek,Holidays)))</f>
        <v/>
      </c>
      <c r="AO73" s="21" t="str">
        <f aca="false">IF(Tasks[[#This Row],[Task Name]]="","",IF(Tasks[[#This Row],[Progress]]&gt;=1,"Complete",IF(OR(N(Tasks[[#This Row],[Actual Start]])&gt;0,Tasks[[#This Row],[Progress]]&gt;0),IF(Tasks[[#This Row],[Finish Var]]&gt;0,"Behind","In Progress"),IF(Tasks[[#This Row],[Planned Start]]&lt;StatusDate,"Late Start","Not Started"))))</f>
        <v/>
      </c>
      <c r="AP73" s="21" t="str">
        <f aca="false">IF(Tasks[[#This Row],[Task Name]]="","",IF(IF(Tasks[[#This Row],[_IsSummary]],COUNTIF(INDEX(Tasks[_LeafCritical],Tasks[[#This Row],[_Row]]+1):INDEX(Tasks[_LeafCritical],Tasks[[#This Row],[_Row]]+Tasks[[#This Row],[_Descendants]]),TRUE())&gt;0,Tasks[[#This Row],[_LeafCritical]]),"Yes",""))</f>
        <v/>
      </c>
      <c r="AQ73" s="63" t="str">
        <f aca="false">IF(Tasks[[#This Row],[Task Name]]="","",IF(N(Tasks[[#This Row],[Baseline Start]])&gt;0,Tasks[[#This Row],[Baseline Start]],Tasks[[#This Row],[_CalcStart]]))</f>
        <v/>
      </c>
      <c r="AR73" s="63" t="str">
        <f aca="false">IF(Tasks[[#This Row],[Task Name]]="","",IF(N(Tasks[[#This Row],[Baseline Finish]])&gt;0,Tasks[[#This Row],[Baseline Finish]],Tasks[[#This Row],[_CalcFinish]]))</f>
        <v/>
      </c>
      <c r="AS73" s="47" t="str">
        <f aca="false">IF(Tasks[[#This Row],[Task Name]]="","",IF(Tasks[[#This Row],[Start]]&gt;=Tasks[[#This Row],[Planned Start]],NETWORKDAYS.INTL(Tasks[[#This Row],[Planned Start]],Tasks[[#This Row],[Start]],WorkWeek,Holidays)-1,1-NETWORKDAYS.INTL(Tasks[[#This Row],[Start]],Tasks[[#This Row],[Planned Start]],WorkWeek,Holidays)))</f>
        <v/>
      </c>
      <c r="AT73" s="63" t="str">
        <f aca="false">IF(Tasks[[#This Row],[Task Name]]="","",IF(Tasks[[#This Row],[_IsSummary]],MIN(INDEX(Tasks[_LeafLateStart],Tasks[[#This Row],[_Row]]+1):INDEX(Tasks[_LeafLateStart],Tasks[[#This Row],[_Row]]+Tasks[[#This Row],[_Descendants]])),Tasks[[#This Row],[_LeafLateStart]]))</f>
        <v/>
      </c>
      <c r="AU73" s="63" t="str">
        <f aca="false">IF(Tasks[[#This Row],[Task Name]]="","",IF(Tasks[[#This Row],[_IsSummary]],MAX(INDEX(Tasks[_LeafLateFinish],Tasks[[#This Row],[_Row]]+1):INDEX(Tasks[_LeafLateFinish],Tasks[[#This Row],[_Row]]+Tasks[[#This Row],[_Descendants]])),Tasks[[#This Row],[_LeafLateFinish]]))</f>
        <v/>
      </c>
      <c r="AV73" s="47" t="str">
        <f aca="false">IF(Tasks[[#This Row],[Task Name]]="","",IF(Tasks[[#This Row],[_IsSummary]],MIN(INDEX(Tasks[_LeafTotalSlack],Tasks[[#This Row],[_Row]]+1):INDEX(Tasks[_LeafTotalSlack],Tasks[[#This Row],[_Row]]+Tasks[[#This Row],[_Descendants]])),Tasks[[#This Row],[_LeafTotalSlack]]))</f>
        <v/>
      </c>
      <c r="AW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5"/>
      <c r="BA7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1" t="str">
        <f aca="false">IF(Tasks[[#This Row],[Task Name]]="","",IF(Tasks[[#This Row],[_Level]]&lt;=OutlineShowLevel,"Yes","No"))</f>
        <v/>
      </c>
      <c r="BE73" s="86" t="str">
        <f aca="false">IF(Tasks[[#This Row],[Task Name]]="","",IF(Tasks[[#This Row],[_IsSummary]],SUM(INDEX(Tasks[_LeafTotalWork],Tasks[[#This Row],[_Row]]+1):INDEX(Tasks[_LeafTotalWork],Tasks[[#This Row],[_Row]]+Tasks[[#This Row],[_Descendants]])),Tasks[[#This Row],[_LeafTotalWork]]))</f>
        <v/>
      </c>
      <c r="BF73" s="23"/>
      <c r="BG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3" s="21" t="str">
        <f aca="false">""</f>
        <v/>
      </c>
      <c r="BI73" s="87"/>
      <c r="BJ73" s="22"/>
      <c r="BK73" s="47" t="str">
        <f aca="false">IF(OR(Tasks[[#This Row],[Task Name]]="",Tasks[[#This Row],[Baseline Duration]]=""),"",Tasks[[#This Row],[_SpanDays]]-N(Tasks[[#This Row],[Baseline Duration]]))</f>
        <v/>
      </c>
      <c r="BL73" s="86" t="str">
        <f aca="false">IF(OR(Tasks[[#This Row],[Task Name]]="",Tasks[[#This Row],[Baseline Work]]=""),"",Tasks[[#This Row],[Work]]-N(Tasks[[#This Row],[Baseline Work]]))</f>
        <v/>
      </c>
      <c r="BM73" s="63" t="str">
        <f aca="false">IF(Tasks[[#This Row],[Task Name]]="","",IF(OR(TakeBaseline="Yes",N(Tasks[[#This Row],[Baseline Start]])=0),Tasks[[#This Row],[Start]],Tasks[[#This Row],[Baseline Start]]))</f>
        <v/>
      </c>
      <c r="BN73" s="63" t="str">
        <f aca="false">IF(Tasks[[#This Row],[Task Name]]="","",IF(OR(TakeBaseline="Yes",N(Tasks[[#This Row],[Baseline Finish]])=0),Tasks[[#This Row],[Finish]],Tasks[[#This Row],[Baseline Finish]]))</f>
        <v/>
      </c>
      <c r="BO73" s="21" t="str">
        <f aca="false">IF(Tasks[[#This Row],[Task Name]]="","",IF(OR(TakeBaseline="Yes",N(Tasks[[#This Row],[Baseline Duration]])=0),Tasks[[#This Row],[_SpanDays]],Tasks[[#This Row],[Baseline Duration]]))</f>
        <v/>
      </c>
      <c r="BP73" s="86" t="str">
        <f aca="false">IF(Tasks[[#This Row],[Task Name]]="","",IF(OR(TakeBaseline="Yes",N(Tasks[[#This Row],[Baseline Work]])=0),Tasks[[#This Row],[Work]],Tasks[[#This Row],[Baseline Work]]))</f>
        <v/>
      </c>
      <c r="BQ73" s="7"/>
      <c r="BR73" s="7"/>
      <c r="BS73" s="22"/>
      <c r="BT73" s="88"/>
      <c r="BU73" s="23"/>
      <c r="BV73" s="23"/>
      <c r="BW73" s="23"/>
      <c r="BX73" s="89" t="str">
        <f aca="false">IF(AND(Tasks[[#This Row],[_IsLeaf]]=1,ISNUMBER(Tasks[[#This Row],[Optimistic]]),ISNUMBER(Tasks[[#This Row],[Pessimistic]])),ROUND((Tasks[[#This Row],[Optimistic]]+4*N(Tasks[[#This Row],[_Days]])+Tasks[[#This Row],[Pessimistic]])/6,1),"")</f>
        <v/>
      </c>
      <c r="BY73" s="87"/>
      <c r="BZ73" s="87"/>
      <c r="CA73" s="22"/>
      <c r="CB73" s="43" t="str">
        <f aca="false">IF(Tasks[[#This Row],[Task Name]]="","",MAX(1,N(Tasks[[#This Row],[Level]])))</f>
        <v/>
      </c>
      <c r="CC73" s="43" t="n">
        <f aca="false">ROW()-ROW(Tasks[[#Headers],[ID]])</f>
        <v>68</v>
      </c>
      <c r="CD73" s="43" t="n">
        <f aca="false">IF(OR(Tasks[[#This Row],[Task Name]]="",Tasks[[#This Row],[_Level]]&lt;=1),0,IFERROR(LOOKUP(2,1/(Tasks[[#Headers],[_Level]]:Tasks[[#This Row],[_Level]]=Tasks[[#This Row],[_Level]]-1),ROW(Tasks[[#Headers],[_Level]]:Tasks[[#This Row],[_Level]])),0))</f>
        <v>0</v>
      </c>
      <c r="CE73" s="43" t="n">
        <f aca="false">IFERROR(N(INDEX(Tasks[_Level],Tasks[[#This Row],[_Row]]+1)),0)</f>
        <v>0</v>
      </c>
      <c r="CF73" s="90" t="b">
        <f aca="false">AND(Tasks[[#This Row],[Task Name]]&lt;&gt;"",Tasks[[#This Row],[_NextLevel]]&gt;Tasks[[#This Row],[_Level]])</f>
        <v>0</v>
      </c>
      <c r="CG73" s="43" t="n">
        <f aca="false">IF(Tasks[[#This Row],[_IsSummary]],COUNTIF(Tasks[WBS],Tasks[[#This Row],[WBS]]&amp;".*"),0)</f>
        <v>0</v>
      </c>
      <c r="CH73" s="43" t="n">
        <f aca="false">IF(AND(Tasks[[#This Row],[Task Name]]&lt;&gt;"",NOT(Tasks[[#This Row],[_IsSummary]])),1,0)</f>
        <v>0</v>
      </c>
      <c r="CI73" s="43" t="n">
        <f aca="false">IF(N(Tasks[[#This Row],[_Pred1UID]])=0,0,IFERROR(MATCH(Tasks[[#This Row],[_Pred1UID]],Tasks[UID],0),-1))</f>
        <v>0</v>
      </c>
      <c r="CJ73" s="43" t="n">
        <f aca="false">IF(N(Tasks[[#This Row],[_Pred2UID]])=0,0,IFERROR(MATCH(Tasks[[#This Row],[_Pred2UID]],Tasks[UID],0),-1))</f>
        <v>0</v>
      </c>
      <c r="CK73" s="43" t="n">
        <f aca="false">IF(N(Tasks[[#This Row],[_Pred3UID]])=0,0,IFERROR(MATCH(Tasks[[#This Row],[_Pred3UID]],Tasks[UID],0),-1))</f>
        <v>0</v>
      </c>
      <c r="CL73" s="43" t="n">
        <f aca="false">IF(N(Tasks[[#This Row],[_Pred4UID]])=0,0,IFERROR(MATCH(Tasks[[#This Row],[_Pred4UID]],Tasks[UID],0),-1))</f>
        <v>0</v>
      </c>
      <c r="CM7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3" s="91" t="n">
        <f aca="false">IF(OR(Tasks[[#This Row],[_ConstraintCode]]=2,Tasks[[#This Row],[_ConstraintCode]]=3,Tasks[[#This Row],[_ConstraintCode]]=4,Tasks[[#This Row],[_ConstraintCode]]=6),Tasks[[#This Row],[_ConstraintStart]],0)</f>
        <v>0</v>
      </c>
      <c r="CP73" s="91" t="n">
        <f aca="false">IF(OR(Tasks[[#This Row],[_ConstraintCode]]=2,Tasks[[#This Row],[_ConstraintCode]]=3,Tasks[[#This Row],[_ConstraintCode]]=5,Tasks[[#This Row],[_ConstraintCode]]=7),Tasks[[#This Row],[_ConstraintStart]],2958465)</f>
        <v>2958465</v>
      </c>
      <c r="CQ7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3" s="91" t="str">
        <f aca="false">IF(NOT(Tasks[[#This Row],[_IsLeaf]]=1),"",IF(N(Tasks[[#This Row],[_Days]])&lt;=0,Tasks[[#This Row],[_LeafCalcStart]],WORKDAY.INTL(Tasks[[#This Row],[_LeafCalcStart]],Tasks[[#This Row],[_Days]]-1,WorkWeek,Holidays)))</f>
        <v/>
      </c>
      <c r="CS7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3" s="43" t="str">
        <f aca="false">IF(Tasks[[#This Row],[_Predecessors]]="","",TRIM(MID(SUBSTITUTE(SUBSTITUTE(SUBSTITUTE(UPPER(Tasks[[#This Row],[_Predecessors]]),";",",")," ",""),",",REPT(" ",99)),1,99)))</f>
        <v/>
      </c>
      <c r="CV73" s="43" t="str">
        <f aca="false">IF(Tasks[[#This Row],[_Pred1Text]]="","",IFERROR(VALUE(LEFT(Tasks[[#This Row],[_Pred1Text]],MIN(FIND("F",Tasks[[#This Row],[_Pred1Text]]&amp;"F"),FIND("S",Tasks[[#This Row],[_Pred1Text]]&amp;"S"),FIND("+",Tasks[[#This Row],[_Pred1Text]]&amp;"+"),FIND("-",Tasks[[#This Row],[_Pred1Text]]&amp;"-"))-1)),""))</f>
        <v/>
      </c>
      <c r="CW7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3" s="43" t="str">
        <f aca="false">IF(Tasks[[#This Row],[_Pred1Text]]="","",TRIM(MID(SUBSTITUTE(SUBSTITUTE(SUBSTITUTE(UPPER(Tasks[[#This Row],[_Predecessors]]),";",",")," ",""),",",REPT(" ",99)),100,99)))</f>
        <v/>
      </c>
      <c r="CZ73" s="43" t="str">
        <f aca="false">IF(Tasks[[#This Row],[_Pred2Text]]="","",IFERROR(VALUE(LEFT(Tasks[[#This Row],[_Pred2Text]],MIN(FIND("F",Tasks[[#This Row],[_Pred2Text]]&amp;"F"),FIND("S",Tasks[[#This Row],[_Pred2Text]]&amp;"S"),FIND("+",Tasks[[#This Row],[_Pred2Text]]&amp;"+"),FIND("-",Tasks[[#This Row],[_Pred2Text]]&amp;"-"))-1)),""))</f>
        <v/>
      </c>
      <c r="DA7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3" s="43" t="str">
        <f aca="false">IF(Tasks[[#This Row],[_Pred2Text]]="","",TRIM(MID(SUBSTITUTE(SUBSTITUTE(SUBSTITUTE(UPPER(Tasks[[#This Row],[_Predecessors]]),";",",")," ",""),",",REPT(" ",99)),199,99)))</f>
        <v/>
      </c>
      <c r="DD73" s="43" t="str">
        <f aca="false">IF(Tasks[[#This Row],[_Pred3Text]]="","",IFERROR(VALUE(LEFT(Tasks[[#This Row],[_Pred3Text]],MIN(FIND("F",Tasks[[#This Row],[_Pred3Text]]&amp;"F"),FIND("S",Tasks[[#This Row],[_Pred3Text]]&amp;"S"),FIND("+",Tasks[[#This Row],[_Pred3Text]]&amp;"+"),FIND("-",Tasks[[#This Row],[_Pred3Text]]&amp;"-"))-1)),""))</f>
        <v/>
      </c>
      <c r="DE7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3" s="43" t="str">
        <f aca="false">IF(Tasks[[#This Row],[_Pred3Text]]="","",TRIM(MID(SUBSTITUTE(SUBSTITUTE(SUBSTITUTE(UPPER(Tasks[[#This Row],[_Predecessors]]),";",",")," ",""),",",REPT(" ",99)),298,99)))</f>
        <v/>
      </c>
      <c r="DH73" s="43" t="str">
        <f aca="false">IF(Tasks[[#This Row],[_Pred4Text]]="","",IFERROR(VALUE(LEFT(Tasks[[#This Row],[_Pred4Text]],MIN(FIND("F",Tasks[[#This Row],[_Pred4Text]]&amp;"F"),FIND("S",Tasks[[#This Row],[_Pred4Text]]&amp;"S"),FIND("+",Tasks[[#This Row],[_Pred4Text]]&amp;"+"),FIND("-",Tasks[[#This Row],[_Pred4Text]]&amp;"-"))-1)),""))</f>
        <v/>
      </c>
      <c r="DI7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3" s="43" t="str">
        <f aca="false">IF(OR(Tasks[[#This Row],[Task Name]]="",Tasks[[#This Row],[_Resources]]=""),"",TRIM(MID(SUBSTITUTE(Tasks[[#This Row],[_Resources]],",",REPT(" ",99)),1,99)))</f>
        <v/>
      </c>
      <c r="DL73" s="43" t="str">
        <f aca="false">IF(Tasks[[#This Row],[_Res1Text]]="","",TRIM(MID(SUBSTITUTE(Tasks[[#This Row],[_Resources]],",",REPT(" ",99)),100,99)))</f>
        <v/>
      </c>
      <c r="DM73" s="43" t="str">
        <f aca="false">IF(Tasks[[#This Row],[_Res2Text]]="","",TRIM(MID(SUBSTITUTE(Tasks[[#This Row],[_Resources]],",",REPT(" ",99)),199,99)))</f>
        <v/>
      </c>
      <c r="DN73" s="43" t="str">
        <f aca="false">IF(Tasks[[#This Row],[_Res3Text]]="","",TRIM(MID(SUBSTITUTE(Tasks[[#This Row],[_Resources]],",",REPT(" ",99)),298,99)))</f>
        <v/>
      </c>
      <c r="DO73" s="43" t="n">
        <f aca="false">IF(Tasks[[#This Row],[_Res1Text]]="",0,IFERROR(MATCH(TRIM(LEFT(Tasks[[#This Row],[_Res1Text]],FIND("[",Tasks[[#This Row],[_Res1Text]]&amp;"[")-1)),res_Name,0),IFERROR(MATCH(TRIM(LEFT(Tasks[[#This Row],[_Res1Text]],FIND("[",Tasks[[#This Row],[_Res1Text]]&amp;"[")-1)),res_Initials,0),0)))</f>
        <v>0</v>
      </c>
      <c r="DP73" s="43" t="n">
        <f aca="false">IF(Tasks[[#This Row],[_Res2Text]]="",0,IFERROR(MATCH(TRIM(LEFT(Tasks[[#This Row],[_Res2Text]],FIND("[",Tasks[[#This Row],[_Res2Text]]&amp;"[")-1)),res_Name,0),IFERROR(MATCH(TRIM(LEFT(Tasks[[#This Row],[_Res2Text]],FIND("[",Tasks[[#This Row],[_Res2Text]]&amp;"[")-1)),res_Initials,0),0)))</f>
        <v>0</v>
      </c>
      <c r="DQ73" s="43" t="n">
        <f aca="false">IF(Tasks[[#This Row],[_Res3Text]]="",0,IFERROR(MATCH(TRIM(LEFT(Tasks[[#This Row],[_Res3Text]],FIND("[",Tasks[[#This Row],[_Res3Text]]&amp;"[")-1)),res_Name,0),IFERROR(MATCH(TRIM(LEFT(Tasks[[#This Row],[_Res3Text]],FIND("[",Tasks[[#This Row],[_Res3Text]]&amp;"[")-1)),res_Initials,0),0)))</f>
        <v>0</v>
      </c>
      <c r="DR73" s="43" t="n">
        <f aca="false">IF(Tasks[[#This Row],[_Res4Text]]="",0,IFERROR(MATCH(TRIM(LEFT(Tasks[[#This Row],[_Res4Text]],FIND("[",Tasks[[#This Row],[_Res4Text]]&amp;"[")-1)),res_Name,0),IFERROR(MATCH(TRIM(LEFT(Tasks[[#This Row],[_Res4Text]],FIND("[",Tasks[[#This Row],[_Res4Text]]&amp;"[")-1)),res_Initials,0),0)))</f>
        <v>0</v>
      </c>
      <c r="DS73" s="43" t="str">
        <f aca="false">IF(Tasks[[#This Row],[_Res1Text]]="","",IF(Tasks[[#This Row],[_Res1Row]]&gt;0,INDEX(res_Name,Tasks[[#This Row],[_Res1Row]]),TRIM(LEFT(Tasks[[#This Row],[_Res1Text]],FIND("[",Tasks[[#This Row],[_Res1Text]]&amp;"[")-1))))</f>
        <v/>
      </c>
      <c r="DT7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3" s="43" t="n">
        <f aca="false">IF(NOT(Tasks[[#This Row],[_IsLeaf]]=1),0,(Tasks[[#This Row],[_Resource1]]&lt;&gt;"")+(Tasks[[#This Row],[_Res2]]&lt;&gt;"")+(Tasks[[#This Row],[_Res3]]&lt;&gt;"")+(Tasks[[#This Row],[_Res4]]&lt;&gt;""))</f>
        <v>0</v>
      </c>
      <c r="DV73" s="43" t="str">
        <f aca="false">IF(Tasks[[#This Row],[_Res2Text]]="","",IF(Tasks[[#This Row],[_Res2Row]]&gt;0,INDEX(res_Name,Tasks[[#This Row],[_Res2Row]]),TRIM(LEFT(Tasks[[#This Row],[_Res2Text]],FIND("[",Tasks[[#This Row],[_Res2Text]]&amp;"[")-1))))</f>
        <v/>
      </c>
      <c r="DW7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3" s="43" t="n">
        <f aca="false">IF(OR(NOT(Tasks[[#This Row],[_IsLeaf]]=1),Tasks[[#This Row],[_Res2Row]]=0),0,N(Tasks[[#This Row],[_Days]])*HoursPerDay*IF(Tasks[[#This Row],[_Res2Units]]="",DefaultUnits,Tasks[[#This Row],[_Res2Units]]))</f>
        <v>0</v>
      </c>
      <c r="DY73" s="43" t="n">
        <f aca="false">IF(AND(AND(Tasks[[#This Row],[_IsLeaf]]=1,Tasks[[#This Row],[_LeafTotalWork]]&gt;0),Tasks[[#This Row],[_Res2Work]]&gt;0),Tasks[[#This Row],[_Res2Work]]/(Tasks[[#This Row],[_FinishWorkday]]-Tasks[[#This Row],[_StartWorkday]]+1),0)</f>
        <v>0</v>
      </c>
      <c r="DZ73" s="43" t="n">
        <f aca="false">Tasks[[#This Row],[_Res2WorkPerWD]]*MAX(0,Tasks[[#This Row],[_StartWorkday]]-1)</f>
        <v>0</v>
      </c>
      <c r="EA73" s="43" t="n">
        <f aca="false">Tasks[[#This Row],[_Res2Work]]*Tasks[[#This Row],[_LeafProgress]]</f>
        <v>0</v>
      </c>
      <c r="EB73" s="43" t="str">
        <f aca="false">IF(Tasks[[#This Row],[_Res3Text]]="","",IF(Tasks[[#This Row],[_Res3Row]]&gt;0,INDEX(res_Name,Tasks[[#This Row],[_Res3Row]]),TRIM(LEFT(Tasks[[#This Row],[_Res3Text]],FIND("[",Tasks[[#This Row],[_Res3Text]]&amp;"[")-1))))</f>
        <v/>
      </c>
      <c r="EC7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3" s="43" t="n">
        <f aca="false">IF(OR(NOT(Tasks[[#This Row],[_IsLeaf]]=1),Tasks[[#This Row],[_Res3Row]]=0),0,N(Tasks[[#This Row],[_Days]])*HoursPerDay*IF(Tasks[[#This Row],[_Res3Units]]="",DefaultUnits,Tasks[[#This Row],[_Res3Units]]))</f>
        <v>0</v>
      </c>
      <c r="EE73" s="43" t="n">
        <f aca="false">IF(AND(AND(Tasks[[#This Row],[_IsLeaf]]=1,Tasks[[#This Row],[_LeafTotalWork]]&gt;0),Tasks[[#This Row],[_Res3Work]]&gt;0),Tasks[[#This Row],[_Res3Work]]/(Tasks[[#This Row],[_FinishWorkday]]-Tasks[[#This Row],[_StartWorkday]]+1),0)</f>
        <v>0</v>
      </c>
      <c r="EF73" s="43" t="n">
        <f aca="false">Tasks[[#This Row],[_Res3WorkPerWD]]*MAX(0,Tasks[[#This Row],[_StartWorkday]]-1)</f>
        <v>0</v>
      </c>
      <c r="EG73" s="43" t="n">
        <f aca="false">Tasks[[#This Row],[_Res3Work]]*Tasks[[#This Row],[_LeafProgress]]</f>
        <v>0</v>
      </c>
      <c r="EH73" s="43" t="str">
        <f aca="false">IF(Tasks[[#This Row],[_Res4Text]]="","",IF(Tasks[[#This Row],[_Res4Row]]&gt;0,INDEX(res_Name,Tasks[[#This Row],[_Res4Row]]),TRIM(LEFT(Tasks[[#This Row],[_Res4Text]],FIND("[",Tasks[[#This Row],[_Res4Text]]&amp;"[")-1))))</f>
        <v/>
      </c>
      <c r="EI7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3" s="43" t="n">
        <f aca="false">IF(OR(NOT(Tasks[[#This Row],[_IsLeaf]]=1),Tasks[[#This Row],[_Res4Row]]=0),0,N(Tasks[[#This Row],[_Days]])*HoursPerDay*IF(Tasks[[#This Row],[_Res4Units]]="",DefaultUnits,Tasks[[#This Row],[_Res4Units]]))</f>
        <v>0</v>
      </c>
      <c r="EK73" s="43" t="n">
        <f aca="false">IF(AND(AND(Tasks[[#This Row],[_IsLeaf]]=1,Tasks[[#This Row],[_LeafTotalWork]]&gt;0),Tasks[[#This Row],[_Res4Work]]&gt;0),Tasks[[#This Row],[_Res4Work]]/(Tasks[[#This Row],[_FinishWorkday]]-Tasks[[#This Row],[_StartWorkday]]+1),0)</f>
        <v>0</v>
      </c>
      <c r="EL73" s="43" t="n">
        <f aca="false">Tasks[[#This Row],[_Res4WorkPerWD]]*MAX(0,Tasks[[#This Row],[_StartWorkday]]-1)</f>
        <v>0</v>
      </c>
      <c r="EM73" s="43" t="n">
        <f aca="false">Tasks[[#This Row],[_Res4Work]]*Tasks[[#This Row],[_LeafProgress]]</f>
        <v>0</v>
      </c>
      <c r="EN73" s="43" t="n">
        <f aca="false">IF(ISNUMBER(Tasks[[#This Row],[% Complete]]),Tasks[[#This Row],[% Complete]],IF(Tasks[[#This Row],[Stage]]="",0,IFERROR(INDEX(stg_Pct,MATCH(Tasks[[#This Row],[Stage]],stg_Name,0)),0)))</f>
        <v>0</v>
      </c>
      <c r="EO73" s="43" t="n">
        <f aca="false">IF(NOT(Tasks[[#This Row],[_IsLeaf]]=1),0,IF(N(Tasks[[#This Row],[Actual Finish]])&gt;0,1,MIN(1,Tasks[[#This Row],[_Pct]])))</f>
        <v>0</v>
      </c>
      <c r="EP73" s="43" t="n">
        <f aca="false">IF(OR(NOT(Tasks[[#This Row],[_IsLeaf]]=1),Tasks[[#This Row],[_Res1Row]]=0),0,N(Tasks[[#This Row],[_Days]])*HoursPerDay*IF(Tasks[[#This Row],[_Units1]]="",DefaultUnits,Tasks[[#This Row],[_Units1]]))</f>
        <v>0</v>
      </c>
      <c r="EQ73" s="43" t="n">
        <f aca="false">Tasks[[#This Row],[_LeafWork]]+Tasks[[#This Row],[_Res2Work]]+Tasks[[#This Row],[_Res3Work]]+Tasks[[#This Row],[_Res4Work]]</f>
        <v>0</v>
      </c>
      <c r="ER7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3" s="43" t="n">
        <f aca="false">IF(NOT(Tasks[[#This Row],[_IsLeaf]]=1),0,MAX(_xlfn.MAXIFS(Tasks[_Row],Tasks[_Pred1UID],Tasks[[#This Row],[UID]]),_xlfn.MAXIFS(Tasks[_Row],Tasks[_Pred2UID],Tasks[[#This Row],[UID]]),_xlfn.MAXIFS(Tasks[_Row],Tasks[_Pred3UID],Tasks[[#This Row],[UID]]),_xlfn.MAXIFS(Tasks[_Row],Tasks[_Pred4UID],Tasks[[#This Row],[UID]])))</f>
        <v>0</v>
      </c>
      <c r="FA7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3" s="91" t="str">
        <f aca="false">IF(NOT(Tasks[[#This Row],[_IsLeaf]]=1),"",IF(N(Tasks[[#This Row],[_Days]])&lt;=0,Tasks[[#This Row],[_LeafLateFinish]],WORKDAY.INTL(Tasks[[#This Row],[_LeafLateFinish]],-(Tasks[[#This Row],[_Days]]-1),WorkWeek,Holidays)))</f>
        <v/>
      </c>
      <c r="FD7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3" s="90" t="b">
        <f aca="false">AND(Tasks[[#This Row],[_IsLeaf]]=1,Tasks[[#This Row],[_LeafProgress]]&lt;1,N(Tasks[[#This Row],[_LeafTotalSlack]])&lt;=CriticalSlackDays)</f>
        <v>0</v>
      </c>
      <c r="FF73" s="43" t="n">
        <f aca="false">IF(AND(Tasks[[#This Row],[_IsLeaf]]=1,Tasks[[#This Row],[_ConstraintCode]]=1,Tasks[[#This Row],[Mode]]&lt;&gt;"Manual",N(Tasks[[#This Row],[Actual Start]])=0),MAX(0,N(Tasks[[#This Row],[Free Slack]])),0)</f>
        <v>0</v>
      </c>
      <c r="FG73" s="91" t="str">
        <f aca="false">IF(NOT(Tasks[[#This Row],[_IsLeaf]]=1),"",IF(Tasks[[#This Row],[_AlapShift]]=0,Tasks[[#This Row],[_LeafCalcStart]],WORKDAY.INTL(Tasks[[#This Row],[_LeafCalcStart]],Tasks[[#This Row],[_AlapShift]],WorkWeek,Holidays)))</f>
        <v/>
      </c>
      <c r="FH73" s="91" t="str">
        <f aca="false">IF(NOT(Tasks[[#This Row],[_IsLeaf]]=1),"",IF(Tasks[[#This Row],[_AlapShift]]=0,Tasks[[#This Row],[_LeafCalcFinish]],WORKDAY.INTL(Tasks[[#This Row],[_LeafCalcFinish]],Tasks[[#This Row],[_AlapShift]],WorkWeek,Holidays)))</f>
        <v/>
      </c>
      <c r="FI73" s="91" t="str">
        <f aca="false">IF(NOT(Tasks[[#This Row],[_IsLeaf]]=1),"",IF(Tasks[[#This Row],[_AlapShift]]=0,Tasks[[#This Row],[_LeafFcstStart]],WORKDAY.INTL(Tasks[[#This Row],[_LeafFcstStart]],Tasks[[#This Row],[_AlapShift]],WorkWeek,Holidays)))</f>
        <v/>
      </c>
      <c r="FJ73" s="91" t="str">
        <f aca="false">IF(NOT(Tasks[[#This Row],[_IsLeaf]]=1),"",IF(Tasks[[#This Row],[_AlapShift]]=0,Tasks[[#This Row],[_LeafFcstFinish]],WORKDAY.INTL(Tasks[[#This Row],[_LeafFcstFinish]],Tasks[[#This Row],[_AlapShift]],WorkWeek,Holidays)))</f>
        <v/>
      </c>
      <c r="FK73" s="91" t="str">
        <f aca="false">IF(Tasks[[#This Row],[Task Name]]="","",IF(Tasks[[#This Row],[_IsSummary]],MIN(INDEX(Tasks[_ShownCalcStart],Tasks[[#This Row],[_Row]]+1):INDEX(Tasks[_ShownCalcStart],Tasks[[#This Row],[_Row]]+Tasks[[#This Row],[_Descendants]])),Tasks[[#This Row],[_ShownCalcStart]]))</f>
        <v/>
      </c>
      <c r="FL73" s="91" t="str">
        <f aca="false">IF(Tasks[[#This Row],[Task Name]]="","",IF(Tasks[[#This Row],[_IsSummary]],MAX(INDEX(Tasks[_ShownCalcFinish],Tasks[[#This Row],[_Row]]+1):INDEX(Tasks[_ShownCalcFinish],Tasks[[#This Row],[_Row]]+Tasks[[#This Row],[_Descendants]])),Tasks[[#This Row],[_ShownCalcFinish]]))</f>
        <v/>
      </c>
      <c r="FM7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3" s="43" t="n">
        <f aca="false">IF(AND(Tasks[[#This Row],[_IsLeaf]]=1,Tasks[[#This Row],[_LeafTotalWork]]&gt;0),NETWORKDAYS.INTL(ProjectStart,Tasks[[#This Row],[_ShownFcstStart]],WorkWeek,Holidays),0)</f>
        <v>0</v>
      </c>
      <c r="FZ73" s="43" t="n">
        <f aca="false">IF(AND(Tasks[[#This Row],[_IsLeaf]]=1,Tasks[[#This Row],[_LeafTotalWork]]&gt;0),MAX(Tasks[[#This Row],[_StartWorkday]],NETWORKDAYS.INTL(ProjectStart,Tasks[[#This Row],[_ShownFcstFinish]],WorkWeek,Holidays)),0)</f>
        <v>0</v>
      </c>
      <c r="GA73" s="43" t="n">
        <f aca="false">IF(AND(Tasks[[#This Row],[_IsLeaf]]=1,Tasks[[#This Row],[_LeafTotalWork]]&gt;0),Tasks[[#This Row],[_LeafWork]]/(Tasks[[#This Row],[_FinishWorkday]]-Tasks[[#This Row],[_StartWorkday]]+1),0)</f>
        <v>0</v>
      </c>
      <c r="GB73" s="43" t="n">
        <f aca="false">Tasks[[#This Row],[_WorkPerWorkday]]*(Tasks[[#This Row],[_StartWorkday]]-1)</f>
        <v>-0</v>
      </c>
      <c r="GC73" s="43" t="n">
        <f aca="false">IF(Tasks[[#This Row],[_IsLeaf]]=1,MAX(N(Tasks[[#This Row],[_Days]]),0.1),0)</f>
        <v>0</v>
      </c>
      <c r="GD73" s="43" t="n">
        <f aca="false">Tasks[[#This Row],[_WeightDur]]*Tasks[[#This Row],[_LeafProgress]]</f>
        <v>0</v>
      </c>
      <c r="GE73" s="43" t="n">
        <f aca="false">Tasks[[#This Row],[_WeightDur]]*Tasks[[#This Row],[_PlannedPct]]</f>
        <v>0</v>
      </c>
      <c r="GF7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3" s="43" t="str">
        <f aca="false">IF(AND(Tasks[[#This Row],[_IsLeaf]]=1,N(Tasks[[#This Row],[_Days]])=0,Tasks[[#This Row],[_LeafProgress]]&lt;1),Tasks[[#This Row],[_ShownFcstFinish]]+Tasks[[#This Row],[_Row]]/100000,"")</f>
        <v/>
      </c>
      <c r="GH7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3" s="43" t="str">
        <f aca="false">IF(Tasks[[#This Row],[Task Name]]="","",LEFT(Tasks[[#This Row],[WBS]],FIND(".",Tasks[[#This Row],[WBS]]&amp;".")-1))</f>
        <v/>
      </c>
      <c r="GJ73" s="43" t="str">
        <f aca="false">IF(AND(Tasks[[#This Row],[Task Name]]&lt;&gt;"",Tasks[[#This Row],[_Level]]=1),Tasks[[#This Row],[_Row]],"")</f>
        <v/>
      </c>
      <c r="GK73" s="43" t="str">
        <f aca="false">IF(AND(Tasks[[#This Row],[_IsLeaf]]=1,N(Tasks[[#This Row],[_Days]])=0),Tasks[[#This Row],[Planned Finish]]+Tasks[[#This Row],[_Row]]/100000,"")</f>
        <v/>
      </c>
      <c r="GL73" s="43" t="str">
        <f aca="false">IF(AND(Tasks[[#This Row],[_IsLeaf]]=1,Tasks[[#This Row],[_LeafProgress]]&lt;1,OR(N(Tasks[[#This Row],[Finish Var]])&gt;0,Tasks[[#This Row],[Status]]="Late Start")),MAX(0,Tasks[[#This Row],[Finish Var]])+1-Tasks[[#This Row],[_Row]]/1000000,"")</f>
        <v/>
      </c>
      <c r="GM73" s="43" t="str">
        <f aca="false">IF(AND(Tasks[[#This Row],[_IsLeaf]]=1,N(Tasks[[#This Row],[Actual Start]])=0,Tasks[[#This Row],[_ShownFcstStart]]&gt;=StatusDate,Tasks[[#This Row],[_ShownFcstStart]]&lt;=LookaheadEnd),Tasks[[#This Row],[_ShownFcstStart]]+Tasks[[#This Row],[_Row]]/100000,"")</f>
        <v/>
      </c>
      <c r="GN73" s="43" t="str">
        <f aca="false">IF(AND(Tasks[[#This Row],[_IsLeaf]]=1,Tasks[[#This Row],[_LeafProgress]]&lt;1,Tasks[[#This Row],[_ShownFcstFinish]]&gt;=StatusDate,Tasks[[#This Row],[_ShownFcstFinish]]&lt;=LookaheadEnd),Tasks[[#This Row],[_ShownFcstFinish]]+Tasks[[#This Row],[_Row]]/100000,"")</f>
        <v/>
      </c>
      <c r="GO73" s="43" t="str">
        <f aca="false">IF(Tasks[[#This Row],[_LeafCritical]],Tasks[[#This Row],[_ShownFcstStart]]+Tasks[[#This Row],[_Row]]/100000,"")</f>
        <v/>
      </c>
      <c r="GP73" s="43" t="n">
        <f aca="false">Tasks[[#This Row],[_LeafWork]]*Tasks[[#This Row],[_LeafProgress]]</f>
        <v>0</v>
      </c>
      <c r="GQ73" s="91" t="str">
        <f aca="false">IF(AND(Tasks[[#This Row],[_IsLeaf]]=1,Tasks[[#This Row],[_LeafProgress]]&gt;=1),IF(N(Tasks[[#This Row],[Actual Finish]])&gt;0,Tasks[[#This Row],[Actual Finish]],Tasks[[#This Row],[_ShownFcstFinish]]),"")</f>
        <v/>
      </c>
      <c r="GR73" s="43" t="n">
        <f aca="false">IF(Tasks[[#This Row],[_IsLeaf]]=1,N(Tasks[[#This Row],[Story Points]]),0)</f>
        <v>0</v>
      </c>
      <c r="GS73" s="43" t="str">
        <f aca="false">""</f>
        <v/>
      </c>
      <c r="GT73" s="90" t="b">
        <f aca="false">IF(Tasks[[#This Row],[Task Name]]="",FALSE(),AND(Tasks[[#This Row],[_IsLeaf]]=1,N(Tasks[[#This Row],[_Days]])=0))</f>
        <v>0</v>
      </c>
      <c r="GU73" s="91" t="n">
        <f aca="false">IF(Tasks[[#This Row],[Task Name]]="",0,IF(AND(Tasks[[#This Row],[_IsLeaf]]=1,NOT(Tasks[[#This Row],[_IsMilestone]]),N(Tasks[[#This Row],[Progress]])&gt;0),Tasks[[#This Row],[Start]],0))</f>
        <v>0</v>
      </c>
      <c r="GV73" s="91" t="n">
        <f aca="false">IF(Tasks[[#This Row],[_DoneFrom]]=0,0,IF(Tasks[[#This Row],[Progress]]&gt;=1,Tasks[[#This Row],[Finish]],MAX(Tasks[[#This Row],[_DoneFrom]],Tasks[[#This Row],[Start]]+ROUND((Tasks[[#This Row],[Finish]]-Tasks[[#This Row],[Start]]+1)*Tasks[[#This Row],[Progress]],0)-1)))</f>
        <v>0</v>
      </c>
      <c r="GW73" s="91" t="n">
        <f aca="false">IF(Tasks[[#This Row],[Task Name]]="",0,IF(OR(NOT(Tasks[[#This Row],[_IsLeaf]]=1),Tasks[[#This Row],[_IsMilestone]],N(Tasks[[#This Row],[Progress]])&gt;=1),0,IF(Tasks[[#This Row],[_DoneTo]]&gt;0,Tasks[[#This Row],[_DoneTo]]+1,Tasks[[#This Row],[Start]])))</f>
        <v>0</v>
      </c>
      <c r="GX73" s="91" t="n">
        <f aca="false">IF(Tasks[[#This Row],[_RemFrom]]=0,0,Tasks[[#This Row],[Finish]])</f>
        <v>0</v>
      </c>
      <c r="GY73" s="90" t="b">
        <f aca="false">IF(Tasks[[#This Row],[Task Name]]="",FALSE(),OR(NOT(BaselineSet),N(Tasks[[#This Row],[Baseline Start]])&gt;0))</f>
        <v>0</v>
      </c>
      <c r="GZ7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3" s="92" t="str">
        <f aca="false">IF(Tasks[[#This Row],[_IsLeaf]]=1,Tasks[[#This Row],[_Row]],"")</f>
        <v/>
      </c>
      <c r="HD73" s="92" t="str">
        <f aca="false">IFERROR(INDEX(Tasks[UID],SMALL(Tasks[_PickKey],Tasks[[#This Row],[_Row]]))&amp;" "&amp;INDEX(Tasks[Task Name],SMALL(Tasks[_PickKey],Tasks[[#This Row],[_Row]])),"")</f>
        <v/>
      </c>
      <c r="HE73" s="43" t="str">
        <f aca="false">IF(Tasks[[#This Row],[Task Name]]="","",IF(Tasks[[#This Row],[_IsSummary]],NETWORKDAYS.INTL(Tasks[[#This Row],[Start]],Tasks[[#This Row],[Finish]],WorkWeek,Holidays),N(Tasks[[#This Row],[_Days]])))</f>
        <v/>
      </c>
      <c r="HF73" s="43" t="n">
        <f aca="false">IF(Tasks[[#This Row],[Expected]]="",0,((Tasks[[#This Row],[Pessimistic]]-Tasks[[#This Row],[Optimistic]])/6)^2)</f>
        <v>0</v>
      </c>
      <c r="HG73" s="43" t="n">
        <f aca="false">IF(Tasks[[#This Row],[Expected]]="",0,Tasks[[#This Row],[Expected]]-N(Tasks[[#This Row],[_Days]]))</f>
        <v>0</v>
      </c>
    </row>
    <row r="74" customFormat="false" ht="15" hidden="false" customHeight="false" outlineLevel="0" collapsed="false">
      <c r="A74" s="21" t="str">
        <f aca="false">IF(Tasks[[#This Row],[Task Name]]="","",COUNTA(Tasks[[#Headers],[Task Name]]:Tasks[[#This Row],[Task Name]])-1)</f>
        <v/>
      </c>
      <c r="B74" s="22" t="n">
        <v>82</v>
      </c>
      <c r="C74" s="22"/>
      <c r="D74" s="23"/>
      <c r="E74" s="22"/>
      <c r="F74" s="23"/>
      <c r="G74" s="22"/>
      <c r="H74" s="22"/>
      <c r="I74" s="23"/>
      <c r="J74" s="22"/>
      <c r="K74" s="22"/>
      <c r="L74" s="23"/>
      <c r="M74" s="22"/>
      <c r="N74" s="22"/>
      <c r="O74" s="23"/>
      <c r="P74" s="22"/>
      <c r="Q74" s="22"/>
      <c r="R74" s="23"/>
      <c r="S74" s="23"/>
      <c r="T74" s="84"/>
      <c r="U74" s="23"/>
      <c r="V74" s="84"/>
      <c r="W74" s="23"/>
      <c r="X74" s="84"/>
      <c r="Y74" s="23"/>
      <c r="Z74" s="84"/>
      <c r="AA74" s="23"/>
      <c r="AB74" s="23"/>
      <c r="AC74" s="7"/>
      <c r="AD74" s="7"/>
      <c r="AE74" s="63" t="str">
        <f aca="false">IF(Tasks[[#This Row],[Task Name]]="","",IF(Tasks[[#This Row],[_IsSummary]],MIN(INDEX(Tasks[_ShownFcstStart],Tasks[[#This Row],[_Row]]+1):INDEX(Tasks[_ShownFcstStart],Tasks[[#This Row],[_Row]]+Tasks[[#This Row],[_Descendants]])),Tasks[[#This Row],[_ShownFcstStart]]))</f>
        <v/>
      </c>
      <c r="AF74" s="63" t="str">
        <f aca="false">IF(Tasks[[#This Row],[Task Name]]="","",IF(Tasks[[#This Row],[_IsSummary]],MAX(INDEX(Tasks[_ShownFcstFinish],Tasks[[#This Row],[_Row]]+1):INDEX(Tasks[_ShownFcstFinish],Tasks[[#This Row],[_Row]]+Tasks[[#This Row],[_Descendants]])),Tasks[[#This Row],[_ShownFcstFinish]]))</f>
        <v/>
      </c>
      <c r="AG74" s="21" t="str">
        <f aca="false">""</f>
        <v/>
      </c>
      <c r="AH74" s="23"/>
      <c r="AI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4" s="7"/>
      <c r="AK74" s="22"/>
      <c r="AL74" s="23"/>
      <c r="AM74" s="7"/>
      <c r="AN74" s="47" t="str">
        <f aca="false">IF(Tasks[[#This Row],[Task Name]]="","",IF(Tasks[[#This Row],[Finish]]&gt;=Tasks[[#This Row],[Planned Finish]],NETWORKDAYS.INTL(Tasks[[#This Row],[Planned Finish]],Tasks[[#This Row],[Finish]],WorkWeek,Holidays)-1,1-NETWORKDAYS.INTL(Tasks[[#This Row],[Finish]],Tasks[[#This Row],[Planned Finish]],WorkWeek,Holidays)))</f>
        <v/>
      </c>
      <c r="AO74" s="21" t="str">
        <f aca="false">IF(Tasks[[#This Row],[Task Name]]="","",IF(Tasks[[#This Row],[Progress]]&gt;=1,"Complete",IF(OR(N(Tasks[[#This Row],[Actual Start]])&gt;0,Tasks[[#This Row],[Progress]]&gt;0),IF(Tasks[[#This Row],[Finish Var]]&gt;0,"Behind","In Progress"),IF(Tasks[[#This Row],[Planned Start]]&lt;StatusDate,"Late Start","Not Started"))))</f>
        <v/>
      </c>
      <c r="AP74" s="21" t="str">
        <f aca="false">IF(Tasks[[#This Row],[Task Name]]="","",IF(IF(Tasks[[#This Row],[_IsSummary]],COUNTIF(INDEX(Tasks[_LeafCritical],Tasks[[#This Row],[_Row]]+1):INDEX(Tasks[_LeafCritical],Tasks[[#This Row],[_Row]]+Tasks[[#This Row],[_Descendants]]),TRUE())&gt;0,Tasks[[#This Row],[_LeafCritical]]),"Yes",""))</f>
        <v/>
      </c>
      <c r="AQ74" s="63" t="str">
        <f aca="false">IF(Tasks[[#This Row],[Task Name]]="","",IF(N(Tasks[[#This Row],[Baseline Start]])&gt;0,Tasks[[#This Row],[Baseline Start]],Tasks[[#This Row],[_CalcStart]]))</f>
        <v/>
      </c>
      <c r="AR74" s="63" t="str">
        <f aca="false">IF(Tasks[[#This Row],[Task Name]]="","",IF(N(Tasks[[#This Row],[Baseline Finish]])&gt;0,Tasks[[#This Row],[Baseline Finish]],Tasks[[#This Row],[_CalcFinish]]))</f>
        <v/>
      </c>
      <c r="AS74" s="47" t="str">
        <f aca="false">IF(Tasks[[#This Row],[Task Name]]="","",IF(Tasks[[#This Row],[Start]]&gt;=Tasks[[#This Row],[Planned Start]],NETWORKDAYS.INTL(Tasks[[#This Row],[Planned Start]],Tasks[[#This Row],[Start]],WorkWeek,Holidays)-1,1-NETWORKDAYS.INTL(Tasks[[#This Row],[Start]],Tasks[[#This Row],[Planned Start]],WorkWeek,Holidays)))</f>
        <v/>
      </c>
      <c r="AT74" s="63" t="str">
        <f aca="false">IF(Tasks[[#This Row],[Task Name]]="","",IF(Tasks[[#This Row],[_IsSummary]],MIN(INDEX(Tasks[_LeafLateStart],Tasks[[#This Row],[_Row]]+1):INDEX(Tasks[_LeafLateStart],Tasks[[#This Row],[_Row]]+Tasks[[#This Row],[_Descendants]])),Tasks[[#This Row],[_LeafLateStart]]))</f>
        <v/>
      </c>
      <c r="AU74" s="63" t="str">
        <f aca="false">IF(Tasks[[#This Row],[Task Name]]="","",IF(Tasks[[#This Row],[_IsSummary]],MAX(INDEX(Tasks[_LeafLateFinish],Tasks[[#This Row],[_Row]]+1):INDEX(Tasks[_LeafLateFinish],Tasks[[#This Row],[_Row]]+Tasks[[#This Row],[_Descendants]])),Tasks[[#This Row],[_LeafLateFinish]]))</f>
        <v/>
      </c>
      <c r="AV74" s="47" t="str">
        <f aca="false">IF(Tasks[[#This Row],[Task Name]]="","",IF(Tasks[[#This Row],[_IsSummary]],MIN(INDEX(Tasks[_LeafTotalSlack],Tasks[[#This Row],[_Row]]+1):INDEX(Tasks[_LeafTotalSlack],Tasks[[#This Row],[_Row]]+Tasks[[#This Row],[_Descendants]])),Tasks[[#This Row],[_LeafTotalSlack]]))</f>
        <v/>
      </c>
      <c r="AW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5"/>
      <c r="BA7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1" t="str">
        <f aca="false">IF(Tasks[[#This Row],[Task Name]]="","",IF(Tasks[[#This Row],[_Level]]&lt;=OutlineShowLevel,"Yes","No"))</f>
        <v/>
      </c>
      <c r="BE74" s="86" t="str">
        <f aca="false">IF(Tasks[[#This Row],[Task Name]]="","",IF(Tasks[[#This Row],[_IsSummary]],SUM(INDEX(Tasks[_LeafTotalWork],Tasks[[#This Row],[_Row]]+1):INDEX(Tasks[_LeafTotalWork],Tasks[[#This Row],[_Row]]+Tasks[[#This Row],[_Descendants]])),Tasks[[#This Row],[_LeafTotalWork]]))</f>
        <v/>
      </c>
      <c r="BF74" s="23"/>
      <c r="BG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4" s="21" t="str">
        <f aca="false">""</f>
        <v/>
      </c>
      <c r="BI74" s="87"/>
      <c r="BJ74" s="22"/>
      <c r="BK74" s="47" t="str">
        <f aca="false">IF(OR(Tasks[[#This Row],[Task Name]]="",Tasks[[#This Row],[Baseline Duration]]=""),"",Tasks[[#This Row],[_SpanDays]]-N(Tasks[[#This Row],[Baseline Duration]]))</f>
        <v/>
      </c>
      <c r="BL74" s="86" t="str">
        <f aca="false">IF(OR(Tasks[[#This Row],[Task Name]]="",Tasks[[#This Row],[Baseline Work]]=""),"",Tasks[[#This Row],[Work]]-N(Tasks[[#This Row],[Baseline Work]]))</f>
        <v/>
      </c>
      <c r="BM74" s="63" t="str">
        <f aca="false">IF(Tasks[[#This Row],[Task Name]]="","",IF(OR(TakeBaseline="Yes",N(Tasks[[#This Row],[Baseline Start]])=0),Tasks[[#This Row],[Start]],Tasks[[#This Row],[Baseline Start]]))</f>
        <v/>
      </c>
      <c r="BN74" s="63" t="str">
        <f aca="false">IF(Tasks[[#This Row],[Task Name]]="","",IF(OR(TakeBaseline="Yes",N(Tasks[[#This Row],[Baseline Finish]])=0),Tasks[[#This Row],[Finish]],Tasks[[#This Row],[Baseline Finish]]))</f>
        <v/>
      </c>
      <c r="BO74" s="21" t="str">
        <f aca="false">IF(Tasks[[#This Row],[Task Name]]="","",IF(OR(TakeBaseline="Yes",N(Tasks[[#This Row],[Baseline Duration]])=0),Tasks[[#This Row],[_SpanDays]],Tasks[[#This Row],[Baseline Duration]]))</f>
        <v/>
      </c>
      <c r="BP74" s="86" t="str">
        <f aca="false">IF(Tasks[[#This Row],[Task Name]]="","",IF(OR(TakeBaseline="Yes",N(Tasks[[#This Row],[Baseline Work]])=0),Tasks[[#This Row],[Work]],Tasks[[#This Row],[Baseline Work]]))</f>
        <v/>
      </c>
      <c r="BQ74" s="7"/>
      <c r="BR74" s="7"/>
      <c r="BS74" s="22"/>
      <c r="BT74" s="88"/>
      <c r="BU74" s="23"/>
      <c r="BV74" s="23"/>
      <c r="BW74" s="23"/>
      <c r="BX74" s="89" t="str">
        <f aca="false">IF(AND(Tasks[[#This Row],[_IsLeaf]]=1,ISNUMBER(Tasks[[#This Row],[Optimistic]]),ISNUMBER(Tasks[[#This Row],[Pessimistic]])),ROUND((Tasks[[#This Row],[Optimistic]]+4*N(Tasks[[#This Row],[_Days]])+Tasks[[#This Row],[Pessimistic]])/6,1),"")</f>
        <v/>
      </c>
      <c r="BY74" s="87"/>
      <c r="BZ74" s="87"/>
      <c r="CA74" s="22"/>
      <c r="CB74" s="43" t="str">
        <f aca="false">IF(Tasks[[#This Row],[Task Name]]="","",MAX(1,N(Tasks[[#This Row],[Level]])))</f>
        <v/>
      </c>
      <c r="CC74" s="43" t="n">
        <f aca="false">ROW()-ROW(Tasks[[#Headers],[ID]])</f>
        <v>69</v>
      </c>
      <c r="CD74" s="43" t="n">
        <f aca="false">IF(OR(Tasks[[#This Row],[Task Name]]="",Tasks[[#This Row],[_Level]]&lt;=1),0,IFERROR(LOOKUP(2,1/(Tasks[[#Headers],[_Level]]:Tasks[[#This Row],[_Level]]=Tasks[[#This Row],[_Level]]-1),ROW(Tasks[[#Headers],[_Level]]:Tasks[[#This Row],[_Level]])),0))</f>
        <v>0</v>
      </c>
      <c r="CE74" s="43" t="n">
        <f aca="false">IFERROR(N(INDEX(Tasks[_Level],Tasks[[#This Row],[_Row]]+1)),0)</f>
        <v>0</v>
      </c>
      <c r="CF74" s="90" t="b">
        <f aca="false">AND(Tasks[[#This Row],[Task Name]]&lt;&gt;"",Tasks[[#This Row],[_NextLevel]]&gt;Tasks[[#This Row],[_Level]])</f>
        <v>0</v>
      </c>
      <c r="CG74" s="43" t="n">
        <f aca="false">IF(Tasks[[#This Row],[_IsSummary]],COUNTIF(Tasks[WBS],Tasks[[#This Row],[WBS]]&amp;".*"),0)</f>
        <v>0</v>
      </c>
      <c r="CH74" s="43" t="n">
        <f aca="false">IF(AND(Tasks[[#This Row],[Task Name]]&lt;&gt;"",NOT(Tasks[[#This Row],[_IsSummary]])),1,0)</f>
        <v>0</v>
      </c>
      <c r="CI74" s="43" t="n">
        <f aca="false">IF(N(Tasks[[#This Row],[_Pred1UID]])=0,0,IFERROR(MATCH(Tasks[[#This Row],[_Pred1UID]],Tasks[UID],0),-1))</f>
        <v>0</v>
      </c>
      <c r="CJ74" s="43" t="n">
        <f aca="false">IF(N(Tasks[[#This Row],[_Pred2UID]])=0,0,IFERROR(MATCH(Tasks[[#This Row],[_Pred2UID]],Tasks[UID],0),-1))</f>
        <v>0</v>
      </c>
      <c r="CK74" s="43" t="n">
        <f aca="false">IF(N(Tasks[[#This Row],[_Pred3UID]])=0,0,IFERROR(MATCH(Tasks[[#This Row],[_Pred3UID]],Tasks[UID],0),-1))</f>
        <v>0</v>
      </c>
      <c r="CL74" s="43" t="n">
        <f aca="false">IF(N(Tasks[[#This Row],[_Pred4UID]])=0,0,IFERROR(MATCH(Tasks[[#This Row],[_Pred4UID]],Tasks[UID],0),-1))</f>
        <v>0</v>
      </c>
      <c r="CM7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4" s="91" t="n">
        <f aca="false">IF(OR(Tasks[[#This Row],[_ConstraintCode]]=2,Tasks[[#This Row],[_ConstraintCode]]=3,Tasks[[#This Row],[_ConstraintCode]]=4,Tasks[[#This Row],[_ConstraintCode]]=6),Tasks[[#This Row],[_ConstraintStart]],0)</f>
        <v>0</v>
      </c>
      <c r="CP74" s="91" t="n">
        <f aca="false">IF(OR(Tasks[[#This Row],[_ConstraintCode]]=2,Tasks[[#This Row],[_ConstraintCode]]=3,Tasks[[#This Row],[_ConstraintCode]]=5,Tasks[[#This Row],[_ConstraintCode]]=7),Tasks[[#This Row],[_ConstraintStart]],2958465)</f>
        <v>2958465</v>
      </c>
      <c r="CQ7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4" s="91" t="str">
        <f aca="false">IF(NOT(Tasks[[#This Row],[_IsLeaf]]=1),"",IF(N(Tasks[[#This Row],[_Days]])&lt;=0,Tasks[[#This Row],[_LeafCalcStart]],WORKDAY.INTL(Tasks[[#This Row],[_LeafCalcStart]],Tasks[[#This Row],[_Days]]-1,WorkWeek,Holidays)))</f>
        <v/>
      </c>
      <c r="CS7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4" s="43" t="str">
        <f aca="false">IF(Tasks[[#This Row],[_Predecessors]]="","",TRIM(MID(SUBSTITUTE(SUBSTITUTE(SUBSTITUTE(UPPER(Tasks[[#This Row],[_Predecessors]]),";",",")," ",""),",",REPT(" ",99)),1,99)))</f>
        <v/>
      </c>
      <c r="CV74" s="43" t="str">
        <f aca="false">IF(Tasks[[#This Row],[_Pred1Text]]="","",IFERROR(VALUE(LEFT(Tasks[[#This Row],[_Pred1Text]],MIN(FIND("F",Tasks[[#This Row],[_Pred1Text]]&amp;"F"),FIND("S",Tasks[[#This Row],[_Pred1Text]]&amp;"S"),FIND("+",Tasks[[#This Row],[_Pred1Text]]&amp;"+"),FIND("-",Tasks[[#This Row],[_Pred1Text]]&amp;"-"))-1)),""))</f>
        <v/>
      </c>
      <c r="CW7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4" s="43" t="str">
        <f aca="false">IF(Tasks[[#This Row],[_Pred1Text]]="","",TRIM(MID(SUBSTITUTE(SUBSTITUTE(SUBSTITUTE(UPPER(Tasks[[#This Row],[_Predecessors]]),";",",")," ",""),",",REPT(" ",99)),100,99)))</f>
        <v/>
      </c>
      <c r="CZ74" s="43" t="str">
        <f aca="false">IF(Tasks[[#This Row],[_Pred2Text]]="","",IFERROR(VALUE(LEFT(Tasks[[#This Row],[_Pred2Text]],MIN(FIND("F",Tasks[[#This Row],[_Pred2Text]]&amp;"F"),FIND("S",Tasks[[#This Row],[_Pred2Text]]&amp;"S"),FIND("+",Tasks[[#This Row],[_Pred2Text]]&amp;"+"),FIND("-",Tasks[[#This Row],[_Pred2Text]]&amp;"-"))-1)),""))</f>
        <v/>
      </c>
      <c r="DA7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4" s="43" t="str">
        <f aca="false">IF(Tasks[[#This Row],[_Pred2Text]]="","",TRIM(MID(SUBSTITUTE(SUBSTITUTE(SUBSTITUTE(UPPER(Tasks[[#This Row],[_Predecessors]]),";",",")," ",""),",",REPT(" ",99)),199,99)))</f>
        <v/>
      </c>
      <c r="DD74" s="43" t="str">
        <f aca="false">IF(Tasks[[#This Row],[_Pred3Text]]="","",IFERROR(VALUE(LEFT(Tasks[[#This Row],[_Pred3Text]],MIN(FIND("F",Tasks[[#This Row],[_Pred3Text]]&amp;"F"),FIND("S",Tasks[[#This Row],[_Pred3Text]]&amp;"S"),FIND("+",Tasks[[#This Row],[_Pred3Text]]&amp;"+"),FIND("-",Tasks[[#This Row],[_Pred3Text]]&amp;"-"))-1)),""))</f>
        <v/>
      </c>
      <c r="DE7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4" s="43" t="str">
        <f aca="false">IF(Tasks[[#This Row],[_Pred3Text]]="","",TRIM(MID(SUBSTITUTE(SUBSTITUTE(SUBSTITUTE(UPPER(Tasks[[#This Row],[_Predecessors]]),";",",")," ",""),",",REPT(" ",99)),298,99)))</f>
        <v/>
      </c>
      <c r="DH74" s="43" t="str">
        <f aca="false">IF(Tasks[[#This Row],[_Pred4Text]]="","",IFERROR(VALUE(LEFT(Tasks[[#This Row],[_Pred4Text]],MIN(FIND("F",Tasks[[#This Row],[_Pred4Text]]&amp;"F"),FIND("S",Tasks[[#This Row],[_Pred4Text]]&amp;"S"),FIND("+",Tasks[[#This Row],[_Pred4Text]]&amp;"+"),FIND("-",Tasks[[#This Row],[_Pred4Text]]&amp;"-"))-1)),""))</f>
        <v/>
      </c>
      <c r="DI7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4" s="43" t="str">
        <f aca="false">IF(OR(Tasks[[#This Row],[Task Name]]="",Tasks[[#This Row],[_Resources]]=""),"",TRIM(MID(SUBSTITUTE(Tasks[[#This Row],[_Resources]],",",REPT(" ",99)),1,99)))</f>
        <v/>
      </c>
      <c r="DL74" s="43" t="str">
        <f aca="false">IF(Tasks[[#This Row],[_Res1Text]]="","",TRIM(MID(SUBSTITUTE(Tasks[[#This Row],[_Resources]],",",REPT(" ",99)),100,99)))</f>
        <v/>
      </c>
      <c r="DM74" s="43" t="str">
        <f aca="false">IF(Tasks[[#This Row],[_Res2Text]]="","",TRIM(MID(SUBSTITUTE(Tasks[[#This Row],[_Resources]],",",REPT(" ",99)),199,99)))</f>
        <v/>
      </c>
      <c r="DN74" s="43" t="str">
        <f aca="false">IF(Tasks[[#This Row],[_Res3Text]]="","",TRIM(MID(SUBSTITUTE(Tasks[[#This Row],[_Resources]],",",REPT(" ",99)),298,99)))</f>
        <v/>
      </c>
      <c r="DO74" s="43" t="n">
        <f aca="false">IF(Tasks[[#This Row],[_Res1Text]]="",0,IFERROR(MATCH(TRIM(LEFT(Tasks[[#This Row],[_Res1Text]],FIND("[",Tasks[[#This Row],[_Res1Text]]&amp;"[")-1)),res_Name,0),IFERROR(MATCH(TRIM(LEFT(Tasks[[#This Row],[_Res1Text]],FIND("[",Tasks[[#This Row],[_Res1Text]]&amp;"[")-1)),res_Initials,0),0)))</f>
        <v>0</v>
      </c>
      <c r="DP74" s="43" t="n">
        <f aca="false">IF(Tasks[[#This Row],[_Res2Text]]="",0,IFERROR(MATCH(TRIM(LEFT(Tasks[[#This Row],[_Res2Text]],FIND("[",Tasks[[#This Row],[_Res2Text]]&amp;"[")-1)),res_Name,0),IFERROR(MATCH(TRIM(LEFT(Tasks[[#This Row],[_Res2Text]],FIND("[",Tasks[[#This Row],[_Res2Text]]&amp;"[")-1)),res_Initials,0),0)))</f>
        <v>0</v>
      </c>
      <c r="DQ74" s="43" t="n">
        <f aca="false">IF(Tasks[[#This Row],[_Res3Text]]="",0,IFERROR(MATCH(TRIM(LEFT(Tasks[[#This Row],[_Res3Text]],FIND("[",Tasks[[#This Row],[_Res3Text]]&amp;"[")-1)),res_Name,0),IFERROR(MATCH(TRIM(LEFT(Tasks[[#This Row],[_Res3Text]],FIND("[",Tasks[[#This Row],[_Res3Text]]&amp;"[")-1)),res_Initials,0),0)))</f>
        <v>0</v>
      </c>
      <c r="DR74" s="43" t="n">
        <f aca="false">IF(Tasks[[#This Row],[_Res4Text]]="",0,IFERROR(MATCH(TRIM(LEFT(Tasks[[#This Row],[_Res4Text]],FIND("[",Tasks[[#This Row],[_Res4Text]]&amp;"[")-1)),res_Name,0),IFERROR(MATCH(TRIM(LEFT(Tasks[[#This Row],[_Res4Text]],FIND("[",Tasks[[#This Row],[_Res4Text]]&amp;"[")-1)),res_Initials,0),0)))</f>
        <v>0</v>
      </c>
      <c r="DS74" s="43" t="str">
        <f aca="false">IF(Tasks[[#This Row],[_Res1Text]]="","",IF(Tasks[[#This Row],[_Res1Row]]&gt;0,INDEX(res_Name,Tasks[[#This Row],[_Res1Row]]),TRIM(LEFT(Tasks[[#This Row],[_Res1Text]],FIND("[",Tasks[[#This Row],[_Res1Text]]&amp;"[")-1))))</f>
        <v/>
      </c>
      <c r="DT7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4" s="43" t="n">
        <f aca="false">IF(NOT(Tasks[[#This Row],[_IsLeaf]]=1),0,(Tasks[[#This Row],[_Resource1]]&lt;&gt;"")+(Tasks[[#This Row],[_Res2]]&lt;&gt;"")+(Tasks[[#This Row],[_Res3]]&lt;&gt;"")+(Tasks[[#This Row],[_Res4]]&lt;&gt;""))</f>
        <v>0</v>
      </c>
      <c r="DV74" s="43" t="str">
        <f aca="false">IF(Tasks[[#This Row],[_Res2Text]]="","",IF(Tasks[[#This Row],[_Res2Row]]&gt;0,INDEX(res_Name,Tasks[[#This Row],[_Res2Row]]),TRIM(LEFT(Tasks[[#This Row],[_Res2Text]],FIND("[",Tasks[[#This Row],[_Res2Text]]&amp;"[")-1))))</f>
        <v/>
      </c>
      <c r="DW7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4" s="43" t="n">
        <f aca="false">IF(OR(NOT(Tasks[[#This Row],[_IsLeaf]]=1),Tasks[[#This Row],[_Res2Row]]=0),0,N(Tasks[[#This Row],[_Days]])*HoursPerDay*IF(Tasks[[#This Row],[_Res2Units]]="",DefaultUnits,Tasks[[#This Row],[_Res2Units]]))</f>
        <v>0</v>
      </c>
      <c r="DY74" s="43" t="n">
        <f aca="false">IF(AND(AND(Tasks[[#This Row],[_IsLeaf]]=1,Tasks[[#This Row],[_LeafTotalWork]]&gt;0),Tasks[[#This Row],[_Res2Work]]&gt;0),Tasks[[#This Row],[_Res2Work]]/(Tasks[[#This Row],[_FinishWorkday]]-Tasks[[#This Row],[_StartWorkday]]+1),0)</f>
        <v>0</v>
      </c>
      <c r="DZ74" s="43" t="n">
        <f aca="false">Tasks[[#This Row],[_Res2WorkPerWD]]*MAX(0,Tasks[[#This Row],[_StartWorkday]]-1)</f>
        <v>0</v>
      </c>
      <c r="EA74" s="43" t="n">
        <f aca="false">Tasks[[#This Row],[_Res2Work]]*Tasks[[#This Row],[_LeafProgress]]</f>
        <v>0</v>
      </c>
      <c r="EB74" s="43" t="str">
        <f aca="false">IF(Tasks[[#This Row],[_Res3Text]]="","",IF(Tasks[[#This Row],[_Res3Row]]&gt;0,INDEX(res_Name,Tasks[[#This Row],[_Res3Row]]),TRIM(LEFT(Tasks[[#This Row],[_Res3Text]],FIND("[",Tasks[[#This Row],[_Res3Text]]&amp;"[")-1))))</f>
        <v/>
      </c>
      <c r="EC7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4" s="43" t="n">
        <f aca="false">IF(OR(NOT(Tasks[[#This Row],[_IsLeaf]]=1),Tasks[[#This Row],[_Res3Row]]=0),0,N(Tasks[[#This Row],[_Days]])*HoursPerDay*IF(Tasks[[#This Row],[_Res3Units]]="",DefaultUnits,Tasks[[#This Row],[_Res3Units]]))</f>
        <v>0</v>
      </c>
      <c r="EE74" s="43" t="n">
        <f aca="false">IF(AND(AND(Tasks[[#This Row],[_IsLeaf]]=1,Tasks[[#This Row],[_LeafTotalWork]]&gt;0),Tasks[[#This Row],[_Res3Work]]&gt;0),Tasks[[#This Row],[_Res3Work]]/(Tasks[[#This Row],[_FinishWorkday]]-Tasks[[#This Row],[_StartWorkday]]+1),0)</f>
        <v>0</v>
      </c>
      <c r="EF74" s="43" t="n">
        <f aca="false">Tasks[[#This Row],[_Res3WorkPerWD]]*MAX(0,Tasks[[#This Row],[_StartWorkday]]-1)</f>
        <v>0</v>
      </c>
      <c r="EG74" s="43" t="n">
        <f aca="false">Tasks[[#This Row],[_Res3Work]]*Tasks[[#This Row],[_LeafProgress]]</f>
        <v>0</v>
      </c>
      <c r="EH74" s="43" t="str">
        <f aca="false">IF(Tasks[[#This Row],[_Res4Text]]="","",IF(Tasks[[#This Row],[_Res4Row]]&gt;0,INDEX(res_Name,Tasks[[#This Row],[_Res4Row]]),TRIM(LEFT(Tasks[[#This Row],[_Res4Text]],FIND("[",Tasks[[#This Row],[_Res4Text]]&amp;"[")-1))))</f>
        <v/>
      </c>
      <c r="EI7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4" s="43" t="n">
        <f aca="false">IF(OR(NOT(Tasks[[#This Row],[_IsLeaf]]=1),Tasks[[#This Row],[_Res4Row]]=0),0,N(Tasks[[#This Row],[_Days]])*HoursPerDay*IF(Tasks[[#This Row],[_Res4Units]]="",DefaultUnits,Tasks[[#This Row],[_Res4Units]]))</f>
        <v>0</v>
      </c>
      <c r="EK74" s="43" t="n">
        <f aca="false">IF(AND(AND(Tasks[[#This Row],[_IsLeaf]]=1,Tasks[[#This Row],[_LeafTotalWork]]&gt;0),Tasks[[#This Row],[_Res4Work]]&gt;0),Tasks[[#This Row],[_Res4Work]]/(Tasks[[#This Row],[_FinishWorkday]]-Tasks[[#This Row],[_StartWorkday]]+1),0)</f>
        <v>0</v>
      </c>
      <c r="EL74" s="43" t="n">
        <f aca="false">Tasks[[#This Row],[_Res4WorkPerWD]]*MAX(0,Tasks[[#This Row],[_StartWorkday]]-1)</f>
        <v>0</v>
      </c>
      <c r="EM74" s="43" t="n">
        <f aca="false">Tasks[[#This Row],[_Res4Work]]*Tasks[[#This Row],[_LeafProgress]]</f>
        <v>0</v>
      </c>
      <c r="EN74" s="43" t="n">
        <f aca="false">IF(ISNUMBER(Tasks[[#This Row],[% Complete]]),Tasks[[#This Row],[% Complete]],IF(Tasks[[#This Row],[Stage]]="",0,IFERROR(INDEX(stg_Pct,MATCH(Tasks[[#This Row],[Stage]],stg_Name,0)),0)))</f>
        <v>0</v>
      </c>
      <c r="EO74" s="43" t="n">
        <f aca="false">IF(NOT(Tasks[[#This Row],[_IsLeaf]]=1),0,IF(N(Tasks[[#This Row],[Actual Finish]])&gt;0,1,MIN(1,Tasks[[#This Row],[_Pct]])))</f>
        <v>0</v>
      </c>
      <c r="EP74" s="43" t="n">
        <f aca="false">IF(OR(NOT(Tasks[[#This Row],[_IsLeaf]]=1),Tasks[[#This Row],[_Res1Row]]=0),0,N(Tasks[[#This Row],[_Days]])*HoursPerDay*IF(Tasks[[#This Row],[_Units1]]="",DefaultUnits,Tasks[[#This Row],[_Units1]]))</f>
        <v>0</v>
      </c>
      <c r="EQ74" s="43" t="n">
        <f aca="false">Tasks[[#This Row],[_LeafWork]]+Tasks[[#This Row],[_Res2Work]]+Tasks[[#This Row],[_Res3Work]]+Tasks[[#This Row],[_Res4Work]]</f>
        <v>0</v>
      </c>
      <c r="ER7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4" s="43" t="n">
        <f aca="false">IF(NOT(Tasks[[#This Row],[_IsLeaf]]=1),0,MAX(_xlfn.MAXIFS(Tasks[_Row],Tasks[_Pred1UID],Tasks[[#This Row],[UID]]),_xlfn.MAXIFS(Tasks[_Row],Tasks[_Pred2UID],Tasks[[#This Row],[UID]]),_xlfn.MAXIFS(Tasks[_Row],Tasks[_Pred3UID],Tasks[[#This Row],[UID]]),_xlfn.MAXIFS(Tasks[_Row],Tasks[_Pred4UID],Tasks[[#This Row],[UID]])))</f>
        <v>0</v>
      </c>
      <c r="FA7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4" s="91" t="str">
        <f aca="false">IF(NOT(Tasks[[#This Row],[_IsLeaf]]=1),"",IF(N(Tasks[[#This Row],[_Days]])&lt;=0,Tasks[[#This Row],[_LeafLateFinish]],WORKDAY.INTL(Tasks[[#This Row],[_LeafLateFinish]],-(Tasks[[#This Row],[_Days]]-1),WorkWeek,Holidays)))</f>
        <v/>
      </c>
      <c r="FD7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4" s="90" t="b">
        <f aca="false">AND(Tasks[[#This Row],[_IsLeaf]]=1,Tasks[[#This Row],[_LeafProgress]]&lt;1,N(Tasks[[#This Row],[_LeafTotalSlack]])&lt;=CriticalSlackDays)</f>
        <v>0</v>
      </c>
      <c r="FF74" s="43" t="n">
        <f aca="false">IF(AND(Tasks[[#This Row],[_IsLeaf]]=1,Tasks[[#This Row],[_ConstraintCode]]=1,Tasks[[#This Row],[Mode]]&lt;&gt;"Manual",N(Tasks[[#This Row],[Actual Start]])=0),MAX(0,N(Tasks[[#This Row],[Free Slack]])),0)</f>
        <v>0</v>
      </c>
      <c r="FG74" s="91" t="str">
        <f aca="false">IF(NOT(Tasks[[#This Row],[_IsLeaf]]=1),"",IF(Tasks[[#This Row],[_AlapShift]]=0,Tasks[[#This Row],[_LeafCalcStart]],WORKDAY.INTL(Tasks[[#This Row],[_LeafCalcStart]],Tasks[[#This Row],[_AlapShift]],WorkWeek,Holidays)))</f>
        <v/>
      </c>
      <c r="FH74" s="91" t="str">
        <f aca="false">IF(NOT(Tasks[[#This Row],[_IsLeaf]]=1),"",IF(Tasks[[#This Row],[_AlapShift]]=0,Tasks[[#This Row],[_LeafCalcFinish]],WORKDAY.INTL(Tasks[[#This Row],[_LeafCalcFinish]],Tasks[[#This Row],[_AlapShift]],WorkWeek,Holidays)))</f>
        <v/>
      </c>
      <c r="FI74" s="91" t="str">
        <f aca="false">IF(NOT(Tasks[[#This Row],[_IsLeaf]]=1),"",IF(Tasks[[#This Row],[_AlapShift]]=0,Tasks[[#This Row],[_LeafFcstStart]],WORKDAY.INTL(Tasks[[#This Row],[_LeafFcstStart]],Tasks[[#This Row],[_AlapShift]],WorkWeek,Holidays)))</f>
        <v/>
      </c>
      <c r="FJ74" s="91" t="str">
        <f aca="false">IF(NOT(Tasks[[#This Row],[_IsLeaf]]=1),"",IF(Tasks[[#This Row],[_AlapShift]]=0,Tasks[[#This Row],[_LeafFcstFinish]],WORKDAY.INTL(Tasks[[#This Row],[_LeafFcstFinish]],Tasks[[#This Row],[_AlapShift]],WorkWeek,Holidays)))</f>
        <v/>
      </c>
      <c r="FK74" s="91" t="str">
        <f aca="false">IF(Tasks[[#This Row],[Task Name]]="","",IF(Tasks[[#This Row],[_IsSummary]],MIN(INDEX(Tasks[_ShownCalcStart],Tasks[[#This Row],[_Row]]+1):INDEX(Tasks[_ShownCalcStart],Tasks[[#This Row],[_Row]]+Tasks[[#This Row],[_Descendants]])),Tasks[[#This Row],[_ShownCalcStart]]))</f>
        <v/>
      </c>
      <c r="FL74" s="91" t="str">
        <f aca="false">IF(Tasks[[#This Row],[Task Name]]="","",IF(Tasks[[#This Row],[_IsSummary]],MAX(INDEX(Tasks[_ShownCalcFinish],Tasks[[#This Row],[_Row]]+1):INDEX(Tasks[_ShownCalcFinish],Tasks[[#This Row],[_Row]]+Tasks[[#This Row],[_Descendants]])),Tasks[[#This Row],[_ShownCalcFinish]]))</f>
        <v/>
      </c>
      <c r="FM7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4" s="43" t="n">
        <f aca="false">IF(AND(Tasks[[#This Row],[_IsLeaf]]=1,Tasks[[#This Row],[_LeafTotalWork]]&gt;0),NETWORKDAYS.INTL(ProjectStart,Tasks[[#This Row],[_ShownFcstStart]],WorkWeek,Holidays),0)</f>
        <v>0</v>
      </c>
      <c r="FZ74" s="43" t="n">
        <f aca="false">IF(AND(Tasks[[#This Row],[_IsLeaf]]=1,Tasks[[#This Row],[_LeafTotalWork]]&gt;0),MAX(Tasks[[#This Row],[_StartWorkday]],NETWORKDAYS.INTL(ProjectStart,Tasks[[#This Row],[_ShownFcstFinish]],WorkWeek,Holidays)),0)</f>
        <v>0</v>
      </c>
      <c r="GA74" s="43" t="n">
        <f aca="false">IF(AND(Tasks[[#This Row],[_IsLeaf]]=1,Tasks[[#This Row],[_LeafTotalWork]]&gt;0),Tasks[[#This Row],[_LeafWork]]/(Tasks[[#This Row],[_FinishWorkday]]-Tasks[[#This Row],[_StartWorkday]]+1),0)</f>
        <v>0</v>
      </c>
      <c r="GB74" s="43" t="n">
        <f aca="false">Tasks[[#This Row],[_WorkPerWorkday]]*(Tasks[[#This Row],[_StartWorkday]]-1)</f>
        <v>-0</v>
      </c>
      <c r="GC74" s="43" t="n">
        <f aca="false">IF(Tasks[[#This Row],[_IsLeaf]]=1,MAX(N(Tasks[[#This Row],[_Days]]),0.1),0)</f>
        <v>0</v>
      </c>
      <c r="GD74" s="43" t="n">
        <f aca="false">Tasks[[#This Row],[_WeightDur]]*Tasks[[#This Row],[_LeafProgress]]</f>
        <v>0</v>
      </c>
      <c r="GE74" s="43" t="n">
        <f aca="false">Tasks[[#This Row],[_WeightDur]]*Tasks[[#This Row],[_PlannedPct]]</f>
        <v>0</v>
      </c>
      <c r="GF7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4" s="43" t="str">
        <f aca="false">IF(AND(Tasks[[#This Row],[_IsLeaf]]=1,N(Tasks[[#This Row],[_Days]])=0,Tasks[[#This Row],[_LeafProgress]]&lt;1),Tasks[[#This Row],[_ShownFcstFinish]]+Tasks[[#This Row],[_Row]]/100000,"")</f>
        <v/>
      </c>
      <c r="GH7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4" s="43" t="str">
        <f aca="false">IF(Tasks[[#This Row],[Task Name]]="","",LEFT(Tasks[[#This Row],[WBS]],FIND(".",Tasks[[#This Row],[WBS]]&amp;".")-1))</f>
        <v/>
      </c>
      <c r="GJ74" s="43" t="str">
        <f aca="false">IF(AND(Tasks[[#This Row],[Task Name]]&lt;&gt;"",Tasks[[#This Row],[_Level]]=1),Tasks[[#This Row],[_Row]],"")</f>
        <v/>
      </c>
      <c r="GK74" s="43" t="str">
        <f aca="false">IF(AND(Tasks[[#This Row],[_IsLeaf]]=1,N(Tasks[[#This Row],[_Days]])=0),Tasks[[#This Row],[Planned Finish]]+Tasks[[#This Row],[_Row]]/100000,"")</f>
        <v/>
      </c>
      <c r="GL74" s="43" t="str">
        <f aca="false">IF(AND(Tasks[[#This Row],[_IsLeaf]]=1,Tasks[[#This Row],[_LeafProgress]]&lt;1,OR(N(Tasks[[#This Row],[Finish Var]])&gt;0,Tasks[[#This Row],[Status]]="Late Start")),MAX(0,Tasks[[#This Row],[Finish Var]])+1-Tasks[[#This Row],[_Row]]/1000000,"")</f>
        <v/>
      </c>
      <c r="GM74" s="43" t="str">
        <f aca="false">IF(AND(Tasks[[#This Row],[_IsLeaf]]=1,N(Tasks[[#This Row],[Actual Start]])=0,Tasks[[#This Row],[_ShownFcstStart]]&gt;=StatusDate,Tasks[[#This Row],[_ShownFcstStart]]&lt;=LookaheadEnd),Tasks[[#This Row],[_ShownFcstStart]]+Tasks[[#This Row],[_Row]]/100000,"")</f>
        <v/>
      </c>
      <c r="GN74" s="43" t="str">
        <f aca="false">IF(AND(Tasks[[#This Row],[_IsLeaf]]=1,Tasks[[#This Row],[_LeafProgress]]&lt;1,Tasks[[#This Row],[_ShownFcstFinish]]&gt;=StatusDate,Tasks[[#This Row],[_ShownFcstFinish]]&lt;=LookaheadEnd),Tasks[[#This Row],[_ShownFcstFinish]]+Tasks[[#This Row],[_Row]]/100000,"")</f>
        <v/>
      </c>
      <c r="GO74" s="43" t="str">
        <f aca="false">IF(Tasks[[#This Row],[_LeafCritical]],Tasks[[#This Row],[_ShownFcstStart]]+Tasks[[#This Row],[_Row]]/100000,"")</f>
        <v/>
      </c>
      <c r="GP74" s="43" t="n">
        <f aca="false">Tasks[[#This Row],[_LeafWork]]*Tasks[[#This Row],[_LeafProgress]]</f>
        <v>0</v>
      </c>
      <c r="GQ74" s="91" t="str">
        <f aca="false">IF(AND(Tasks[[#This Row],[_IsLeaf]]=1,Tasks[[#This Row],[_LeafProgress]]&gt;=1),IF(N(Tasks[[#This Row],[Actual Finish]])&gt;0,Tasks[[#This Row],[Actual Finish]],Tasks[[#This Row],[_ShownFcstFinish]]),"")</f>
        <v/>
      </c>
      <c r="GR74" s="43" t="n">
        <f aca="false">IF(Tasks[[#This Row],[_IsLeaf]]=1,N(Tasks[[#This Row],[Story Points]]),0)</f>
        <v>0</v>
      </c>
      <c r="GS74" s="43" t="str">
        <f aca="false">""</f>
        <v/>
      </c>
      <c r="GT74" s="90" t="b">
        <f aca="false">IF(Tasks[[#This Row],[Task Name]]="",FALSE(),AND(Tasks[[#This Row],[_IsLeaf]]=1,N(Tasks[[#This Row],[_Days]])=0))</f>
        <v>0</v>
      </c>
      <c r="GU74" s="91" t="n">
        <f aca="false">IF(Tasks[[#This Row],[Task Name]]="",0,IF(AND(Tasks[[#This Row],[_IsLeaf]]=1,NOT(Tasks[[#This Row],[_IsMilestone]]),N(Tasks[[#This Row],[Progress]])&gt;0),Tasks[[#This Row],[Start]],0))</f>
        <v>0</v>
      </c>
      <c r="GV74" s="91" t="n">
        <f aca="false">IF(Tasks[[#This Row],[_DoneFrom]]=0,0,IF(Tasks[[#This Row],[Progress]]&gt;=1,Tasks[[#This Row],[Finish]],MAX(Tasks[[#This Row],[_DoneFrom]],Tasks[[#This Row],[Start]]+ROUND((Tasks[[#This Row],[Finish]]-Tasks[[#This Row],[Start]]+1)*Tasks[[#This Row],[Progress]],0)-1)))</f>
        <v>0</v>
      </c>
      <c r="GW74" s="91" t="n">
        <f aca="false">IF(Tasks[[#This Row],[Task Name]]="",0,IF(OR(NOT(Tasks[[#This Row],[_IsLeaf]]=1),Tasks[[#This Row],[_IsMilestone]],N(Tasks[[#This Row],[Progress]])&gt;=1),0,IF(Tasks[[#This Row],[_DoneTo]]&gt;0,Tasks[[#This Row],[_DoneTo]]+1,Tasks[[#This Row],[Start]])))</f>
        <v>0</v>
      </c>
      <c r="GX74" s="91" t="n">
        <f aca="false">IF(Tasks[[#This Row],[_RemFrom]]=0,0,Tasks[[#This Row],[Finish]])</f>
        <v>0</v>
      </c>
      <c r="GY74" s="90" t="b">
        <f aca="false">IF(Tasks[[#This Row],[Task Name]]="",FALSE(),OR(NOT(BaselineSet),N(Tasks[[#This Row],[Baseline Start]])&gt;0))</f>
        <v>0</v>
      </c>
      <c r="GZ7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4" s="92" t="str">
        <f aca="false">IF(Tasks[[#This Row],[_IsLeaf]]=1,Tasks[[#This Row],[_Row]],"")</f>
        <v/>
      </c>
      <c r="HD74" s="92" t="str">
        <f aca="false">IFERROR(INDEX(Tasks[UID],SMALL(Tasks[_PickKey],Tasks[[#This Row],[_Row]]))&amp;" "&amp;INDEX(Tasks[Task Name],SMALL(Tasks[_PickKey],Tasks[[#This Row],[_Row]])),"")</f>
        <v/>
      </c>
      <c r="HE74" s="43" t="str">
        <f aca="false">IF(Tasks[[#This Row],[Task Name]]="","",IF(Tasks[[#This Row],[_IsSummary]],NETWORKDAYS.INTL(Tasks[[#This Row],[Start]],Tasks[[#This Row],[Finish]],WorkWeek,Holidays),N(Tasks[[#This Row],[_Days]])))</f>
        <v/>
      </c>
      <c r="HF74" s="43" t="n">
        <f aca="false">IF(Tasks[[#This Row],[Expected]]="",0,((Tasks[[#This Row],[Pessimistic]]-Tasks[[#This Row],[Optimistic]])/6)^2)</f>
        <v>0</v>
      </c>
      <c r="HG74" s="43" t="n">
        <f aca="false">IF(Tasks[[#This Row],[Expected]]="",0,Tasks[[#This Row],[Expected]]-N(Tasks[[#This Row],[_Days]]))</f>
        <v>0</v>
      </c>
    </row>
    <row r="75" customFormat="false" ht="15" hidden="false" customHeight="false" outlineLevel="0" collapsed="false">
      <c r="A75" s="21" t="str">
        <f aca="false">IF(Tasks[[#This Row],[Task Name]]="","",COUNTA(Tasks[[#Headers],[Task Name]]:Tasks[[#This Row],[Task Name]])-1)</f>
        <v/>
      </c>
      <c r="B75" s="22" t="n">
        <v>83</v>
      </c>
      <c r="C75" s="22"/>
      <c r="D75" s="23"/>
      <c r="E75" s="22"/>
      <c r="F75" s="23"/>
      <c r="G75" s="22"/>
      <c r="H75" s="22"/>
      <c r="I75" s="23"/>
      <c r="J75" s="22"/>
      <c r="K75" s="22"/>
      <c r="L75" s="23"/>
      <c r="M75" s="22"/>
      <c r="N75" s="22"/>
      <c r="O75" s="23"/>
      <c r="P75" s="22"/>
      <c r="Q75" s="22"/>
      <c r="R75" s="23"/>
      <c r="S75" s="23"/>
      <c r="T75" s="84"/>
      <c r="U75" s="23"/>
      <c r="V75" s="84"/>
      <c r="W75" s="23"/>
      <c r="X75" s="84"/>
      <c r="Y75" s="23"/>
      <c r="Z75" s="84"/>
      <c r="AA75" s="23"/>
      <c r="AB75" s="23"/>
      <c r="AC75" s="7"/>
      <c r="AD75" s="7"/>
      <c r="AE75" s="63" t="str">
        <f aca="false">IF(Tasks[[#This Row],[Task Name]]="","",IF(Tasks[[#This Row],[_IsSummary]],MIN(INDEX(Tasks[_ShownFcstStart],Tasks[[#This Row],[_Row]]+1):INDEX(Tasks[_ShownFcstStart],Tasks[[#This Row],[_Row]]+Tasks[[#This Row],[_Descendants]])),Tasks[[#This Row],[_ShownFcstStart]]))</f>
        <v/>
      </c>
      <c r="AF75" s="63" t="str">
        <f aca="false">IF(Tasks[[#This Row],[Task Name]]="","",IF(Tasks[[#This Row],[_IsSummary]],MAX(INDEX(Tasks[_ShownFcstFinish],Tasks[[#This Row],[_Row]]+1):INDEX(Tasks[_ShownFcstFinish],Tasks[[#This Row],[_Row]]+Tasks[[#This Row],[_Descendants]])),Tasks[[#This Row],[_ShownFcstFinish]]))</f>
        <v/>
      </c>
      <c r="AG75" s="21" t="str">
        <f aca="false">""</f>
        <v/>
      </c>
      <c r="AH75" s="23"/>
      <c r="AI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5" s="7"/>
      <c r="AK75" s="22"/>
      <c r="AL75" s="23"/>
      <c r="AM75" s="7"/>
      <c r="AN75" s="47" t="str">
        <f aca="false">IF(Tasks[[#This Row],[Task Name]]="","",IF(Tasks[[#This Row],[Finish]]&gt;=Tasks[[#This Row],[Planned Finish]],NETWORKDAYS.INTL(Tasks[[#This Row],[Planned Finish]],Tasks[[#This Row],[Finish]],WorkWeek,Holidays)-1,1-NETWORKDAYS.INTL(Tasks[[#This Row],[Finish]],Tasks[[#This Row],[Planned Finish]],WorkWeek,Holidays)))</f>
        <v/>
      </c>
      <c r="AO75" s="21" t="str">
        <f aca="false">IF(Tasks[[#This Row],[Task Name]]="","",IF(Tasks[[#This Row],[Progress]]&gt;=1,"Complete",IF(OR(N(Tasks[[#This Row],[Actual Start]])&gt;0,Tasks[[#This Row],[Progress]]&gt;0),IF(Tasks[[#This Row],[Finish Var]]&gt;0,"Behind","In Progress"),IF(Tasks[[#This Row],[Planned Start]]&lt;StatusDate,"Late Start","Not Started"))))</f>
        <v/>
      </c>
      <c r="AP75" s="21" t="str">
        <f aca="false">IF(Tasks[[#This Row],[Task Name]]="","",IF(IF(Tasks[[#This Row],[_IsSummary]],COUNTIF(INDEX(Tasks[_LeafCritical],Tasks[[#This Row],[_Row]]+1):INDEX(Tasks[_LeafCritical],Tasks[[#This Row],[_Row]]+Tasks[[#This Row],[_Descendants]]),TRUE())&gt;0,Tasks[[#This Row],[_LeafCritical]]),"Yes",""))</f>
        <v/>
      </c>
      <c r="AQ75" s="63" t="str">
        <f aca="false">IF(Tasks[[#This Row],[Task Name]]="","",IF(N(Tasks[[#This Row],[Baseline Start]])&gt;0,Tasks[[#This Row],[Baseline Start]],Tasks[[#This Row],[_CalcStart]]))</f>
        <v/>
      </c>
      <c r="AR75" s="63" t="str">
        <f aca="false">IF(Tasks[[#This Row],[Task Name]]="","",IF(N(Tasks[[#This Row],[Baseline Finish]])&gt;0,Tasks[[#This Row],[Baseline Finish]],Tasks[[#This Row],[_CalcFinish]]))</f>
        <v/>
      </c>
      <c r="AS75" s="47" t="str">
        <f aca="false">IF(Tasks[[#This Row],[Task Name]]="","",IF(Tasks[[#This Row],[Start]]&gt;=Tasks[[#This Row],[Planned Start]],NETWORKDAYS.INTL(Tasks[[#This Row],[Planned Start]],Tasks[[#This Row],[Start]],WorkWeek,Holidays)-1,1-NETWORKDAYS.INTL(Tasks[[#This Row],[Start]],Tasks[[#This Row],[Planned Start]],WorkWeek,Holidays)))</f>
        <v/>
      </c>
      <c r="AT75" s="63" t="str">
        <f aca="false">IF(Tasks[[#This Row],[Task Name]]="","",IF(Tasks[[#This Row],[_IsSummary]],MIN(INDEX(Tasks[_LeafLateStart],Tasks[[#This Row],[_Row]]+1):INDEX(Tasks[_LeafLateStart],Tasks[[#This Row],[_Row]]+Tasks[[#This Row],[_Descendants]])),Tasks[[#This Row],[_LeafLateStart]]))</f>
        <v/>
      </c>
      <c r="AU75" s="63" t="str">
        <f aca="false">IF(Tasks[[#This Row],[Task Name]]="","",IF(Tasks[[#This Row],[_IsSummary]],MAX(INDEX(Tasks[_LeafLateFinish],Tasks[[#This Row],[_Row]]+1):INDEX(Tasks[_LeafLateFinish],Tasks[[#This Row],[_Row]]+Tasks[[#This Row],[_Descendants]])),Tasks[[#This Row],[_LeafLateFinish]]))</f>
        <v/>
      </c>
      <c r="AV75" s="47" t="str">
        <f aca="false">IF(Tasks[[#This Row],[Task Name]]="","",IF(Tasks[[#This Row],[_IsSummary]],MIN(INDEX(Tasks[_LeafTotalSlack],Tasks[[#This Row],[_Row]]+1):INDEX(Tasks[_LeafTotalSlack],Tasks[[#This Row],[_Row]]+Tasks[[#This Row],[_Descendants]])),Tasks[[#This Row],[_LeafTotalSlack]]))</f>
        <v/>
      </c>
      <c r="AW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5"/>
      <c r="BA7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1" t="str">
        <f aca="false">IF(Tasks[[#This Row],[Task Name]]="","",IF(Tasks[[#This Row],[_Level]]&lt;=OutlineShowLevel,"Yes","No"))</f>
        <v/>
      </c>
      <c r="BE75" s="86" t="str">
        <f aca="false">IF(Tasks[[#This Row],[Task Name]]="","",IF(Tasks[[#This Row],[_IsSummary]],SUM(INDEX(Tasks[_LeafTotalWork],Tasks[[#This Row],[_Row]]+1):INDEX(Tasks[_LeafTotalWork],Tasks[[#This Row],[_Row]]+Tasks[[#This Row],[_Descendants]])),Tasks[[#This Row],[_LeafTotalWork]]))</f>
        <v/>
      </c>
      <c r="BF75" s="23"/>
      <c r="BG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5" s="21" t="str">
        <f aca="false">""</f>
        <v/>
      </c>
      <c r="BI75" s="87"/>
      <c r="BJ75" s="22"/>
      <c r="BK75" s="47" t="str">
        <f aca="false">IF(OR(Tasks[[#This Row],[Task Name]]="",Tasks[[#This Row],[Baseline Duration]]=""),"",Tasks[[#This Row],[_SpanDays]]-N(Tasks[[#This Row],[Baseline Duration]]))</f>
        <v/>
      </c>
      <c r="BL75" s="86" t="str">
        <f aca="false">IF(OR(Tasks[[#This Row],[Task Name]]="",Tasks[[#This Row],[Baseline Work]]=""),"",Tasks[[#This Row],[Work]]-N(Tasks[[#This Row],[Baseline Work]]))</f>
        <v/>
      </c>
      <c r="BM75" s="63" t="str">
        <f aca="false">IF(Tasks[[#This Row],[Task Name]]="","",IF(OR(TakeBaseline="Yes",N(Tasks[[#This Row],[Baseline Start]])=0),Tasks[[#This Row],[Start]],Tasks[[#This Row],[Baseline Start]]))</f>
        <v/>
      </c>
      <c r="BN75" s="63" t="str">
        <f aca="false">IF(Tasks[[#This Row],[Task Name]]="","",IF(OR(TakeBaseline="Yes",N(Tasks[[#This Row],[Baseline Finish]])=0),Tasks[[#This Row],[Finish]],Tasks[[#This Row],[Baseline Finish]]))</f>
        <v/>
      </c>
      <c r="BO75" s="21" t="str">
        <f aca="false">IF(Tasks[[#This Row],[Task Name]]="","",IF(OR(TakeBaseline="Yes",N(Tasks[[#This Row],[Baseline Duration]])=0),Tasks[[#This Row],[_SpanDays]],Tasks[[#This Row],[Baseline Duration]]))</f>
        <v/>
      </c>
      <c r="BP75" s="86" t="str">
        <f aca="false">IF(Tasks[[#This Row],[Task Name]]="","",IF(OR(TakeBaseline="Yes",N(Tasks[[#This Row],[Baseline Work]])=0),Tasks[[#This Row],[Work]],Tasks[[#This Row],[Baseline Work]]))</f>
        <v/>
      </c>
      <c r="BQ75" s="7"/>
      <c r="BR75" s="7"/>
      <c r="BS75" s="22"/>
      <c r="BT75" s="88"/>
      <c r="BU75" s="23"/>
      <c r="BV75" s="23"/>
      <c r="BW75" s="23"/>
      <c r="BX75" s="89" t="str">
        <f aca="false">IF(AND(Tasks[[#This Row],[_IsLeaf]]=1,ISNUMBER(Tasks[[#This Row],[Optimistic]]),ISNUMBER(Tasks[[#This Row],[Pessimistic]])),ROUND((Tasks[[#This Row],[Optimistic]]+4*N(Tasks[[#This Row],[_Days]])+Tasks[[#This Row],[Pessimistic]])/6,1),"")</f>
        <v/>
      </c>
      <c r="BY75" s="87"/>
      <c r="BZ75" s="87"/>
      <c r="CA75" s="22"/>
      <c r="CB75" s="43" t="str">
        <f aca="false">IF(Tasks[[#This Row],[Task Name]]="","",MAX(1,N(Tasks[[#This Row],[Level]])))</f>
        <v/>
      </c>
      <c r="CC75" s="43" t="n">
        <f aca="false">ROW()-ROW(Tasks[[#Headers],[ID]])</f>
        <v>70</v>
      </c>
      <c r="CD75" s="43" t="n">
        <f aca="false">IF(OR(Tasks[[#This Row],[Task Name]]="",Tasks[[#This Row],[_Level]]&lt;=1),0,IFERROR(LOOKUP(2,1/(Tasks[[#Headers],[_Level]]:Tasks[[#This Row],[_Level]]=Tasks[[#This Row],[_Level]]-1),ROW(Tasks[[#Headers],[_Level]]:Tasks[[#This Row],[_Level]])),0))</f>
        <v>0</v>
      </c>
      <c r="CE75" s="43" t="n">
        <f aca="false">IFERROR(N(INDEX(Tasks[_Level],Tasks[[#This Row],[_Row]]+1)),0)</f>
        <v>0</v>
      </c>
      <c r="CF75" s="90" t="b">
        <f aca="false">AND(Tasks[[#This Row],[Task Name]]&lt;&gt;"",Tasks[[#This Row],[_NextLevel]]&gt;Tasks[[#This Row],[_Level]])</f>
        <v>0</v>
      </c>
      <c r="CG75" s="43" t="n">
        <f aca="false">IF(Tasks[[#This Row],[_IsSummary]],COUNTIF(Tasks[WBS],Tasks[[#This Row],[WBS]]&amp;".*"),0)</f>
        <v>0</v>
      </c>
      <c r="CH75" s="43" t="n">
        <f aca="false">IF(AND(Tasks[[#This Row],[Task Name]]&lt;&gt;"",NOT(Tasks[[#This Row],[_IsSummary]])),1,0)</f>
        <v>0</v>
      </c>
      <c r="CI75" s="43" t="n">
        <f aca="false">IF(N(Tasks[[#This Row],[_Pred1UID]])=0,0,IFERROR(MATCH(Tasks[[#This Row],[_Pred1UID]],Tasks[UID],0),-1))</f>
        <v>0</v>
      </c>
      <c r="CJ75" s="43" t="n">
        <f aca="false">IF(N(Tasks[[#This Row],[_Pred2UID]])=0,0,IFERROR(MATCH(Tasks[[#This Row],[_Pred2UID]],Tasks[UID],0),-1))</f>
        <v>0</v>
      </c>
      <c r="CK75" s="43" t="n">
        <f aca="false">IF(N(Tasks[[#This Row],[_Pred3UID]])=0,0,IFERROR(MATCH(Tasks[[#This Row],[_Pred3UID]],Tasks[UID],0),-1))</f>
        <v>0</v>
      </c>
      <c r="CL75" s="43" t="n">
        <f aca="false">IF(N(Tasks[[#This Row],[_Pred4UID]])=0,0,IFERROR(MATCH(Tasks[[#This Row],[_Pred4UID]],Tasks[UID],0),-1))</f>
        <v>0</v>
      </c>
      <c r="CM7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5" s="91" t="n">
        <f aca="false">IF(OR(Tasks[[#This Row],[_ConstraintCode]]=2,Tasks[[#This Row],[_ConstraintCode]]=3,Tasks[[#This Row],[_ConstraintCode]]=4,Tasks[[#This Row],[_ConstraintCode]]=6),Tasks[[#This Row],[_ConstraintStart]],0)</f>
        <v>0</v>
      </c>
      <c r="CP75" s="91" t="n">
        <f aca="false">IF(OR(Tasks[[#This Row],[_ConstraintCode]]=2,Tasks[[#This Row],[_ConstraintCode]]=3,Tasks[[#This Row],[_ConstraintCode]]=5,Tasks[[#This Row],[_ConstraintCode]]=7),Tasks[[#This Row],[_ConstraintStart]],2958465)</f>
        <v>2958465</v>
      </c>
      <c r="CQ7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5" s="91" t="str">
        <f aca="false">IF(NOT(Tasks[[#This Row],[_IsLeaf]]=1),"",IF(N(Tasks[[#This Row],[_Days]])&lt;=0,Tasks[[#This Row],[_LeafCalcStart]],WORKDAY.INTL(Tasks[[#This Row],[_LeafCalcStart]],Tasks[[#This Row],[_Days]]-1,WorkWeek,Holidays)))</f>
        <v/>
      </c>
      <c r="CS7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5" s="43" t="str">
        <f aca="false">IF(Tasks[[#This Row],[_Predecessors]]="","",TRIM(MID(SUBSTITUTE(SUBSTITUTE(SUBSTITUTE(UPPER(Tasks[[#This Row],[_Predecessors]]),";",",")," ",""),",",REPT(" ",99)),1,99)))</f>
        <v/>
      </c>
      <c r="CV75" s="43" t="str">
        <f aca="false">IF(Tasks[[#This Row],[_Pred1Text]]="","",IFERROR(VALUE(LEFT(Tasks[[#This Row],[_Pred1Text]],MIN(FIND("F",Tasks[[#This Row],[_Pred1Text]]&amp;"F"),FIND("S",Tasks[[#This Row],[_Pred1Text]]&amp;"S"),FIND("+",Tasks[[#This Row],[_Pred1Text]]&amp;"+"),FIND("-",Tasks[[#This Row],[_Pred1Text]]&amp;"-"))-1)),""))</f>
        <v/>
      </c>
      <c r="CW7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5" s="43" t="str">
        <f aca="false">IF(Tasks[[#This Row],[_Pred1Text]]="","",TRIM(MID(SUBSTITUTE(SUBSTITUTE(SUBSTITUTE(UPPER(Tasks[[#This Row],[_Predecessors]]),";",",")," ",""),",",REPT(" ",99)),100,99)))</f>
        <v/>
      </c>
      <c r="CZ75" s="43" t="str">
        <f aca="false">IF(Tasks[[#This Row],[_Pred2Text]]="","",IFERROR(VALUE(LEFT(Tasks[[#This Row],[_Pred2Text]],MIN(FIND("F",Tasks[[#This Row],[_Pred2Text]]&amp;"F"),FIND("S",Tasks[[#This Row],[_Pred2Text]]&amp;"S"),FIND("+",Tasks[[#This Row],[_Pred2Text]]&amp;"+"),FIND("-",Tasks[[#This Row],[_Pred2Text]]&amp;"-"))-1)),""))</f>
        <v/>
      </c>
      <c r="DA7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5" s="43" t="str">
        <f aca="false">IF(Tasks[[#This Row],[_Pred2Text]]="","",TRIM(MID(SUBSTITUTE(SUBSTITUTE(SUBSTITUTE(UPPER(Tasks[[#This Row],[_Predecessors]]),";",",")," ",""),",",REPT(" ",99)),199,99)))</f>
        <v/>
      </c>
      <c r="DD75" s="43" t="str">
        <f aca="false">IF(Tasks[[#This Row],[_Pred3Text]]="","",IFERROR(VALUE(LEFT(Tasks[[#This Row],[_Pred3Text]],MIN(FIND("F",Tasks[[#This Row],[_Pred3Text]]&amp;"F"),FIND("S",Tasks[[#This Row],[_Pred3Text]]&amp;"S"),FIND("+",Tasks[[#This Row],[_Pred3Text]]&amp;"+"),FIND("-",Tasks[[#This Row],[_Pred3Text]]&amp;"-"))-1)),""))</f>
        <v/>
      </c>
      <c r="DE7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5" s="43" t="str">
        <f aca="false">IF(Tasks[[#This Row],[_Pred3Text]]="","",TRIM(MID(SUBSTITUTE(SUBSTITUTE(SUBSTITUTE(UPPER(Tasks[[#This Row],[_Predecessors]]),";",",")," ",""),",",REPT(" ",99)),298,99)))</f>
        <v/>
      </c>
      <c r="DH75" s="43" t="str">
        <f aca="false">IF(Tasks[[#This Row],[_Pred4Text]]="","",IFERROR(VALUE(LEFT(Tasks[[#This Row],[_Pred4Text]],MIN(FIND("F",Tasks[[#This Row],[_Pred4Text]]&amp;"F"),FIND("S",Tasks[[#This Row],[_Pred4Text]]&amp;"S"),FIND("+",Tasks[[#This Row],[_Pred4Text]]&amp;"+"),FIND("-",Tasks[[#This Row],[_Pred4Text]]&amp;"-"))-1)),""))</f>
        <v/>
      </c>
      <c r="DI7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5" s="43" t="str">
        <f aca="false">IF(OR(Tasks[[#This Row],[Task Name]]="",Tasks[[#This Row],[_Resources]]=""),"",TRIM(MID(SUBSTITUTE(Tasks[[#This Row],[_Resources]],",",REPT(" ",99)),1,99)))</f>
        <v/>
      </c>
      <c r="DL75" s="43" t="str">
        <f aca="false">IF(Tasks[[#This Row],[_Res1Text]]="","",TRIM(MID(SUBSTITUTE(Tasks[[#This Row],[_Resources]],",",REPT(" ",99)),100,99)))</f>
        <v/>
      </c>
      <c r="DM75" s="43" t="str">
        <f aca="false">IF(Tasks[[#This Row],[_Res2Text]]="","",TRIM(MID(SUBSTITUTE(Tasks[[#This Row],[_Resources]],",",REPT(" ",99)),199,99)))</f>
        <v/>
      </c>
      <c r="DN75" s="43" t="str">
        <f aca="false">IF(Tasks[[#This Row],[_Res3Text]]="","",TRIM(MID(SUBSTITUTE(Tasks[[#This Row],[_Resources]],",",REPT(" ",99)),298,99)))</f>
        <v/>
      </c>
      <c r="DO75" s="43" t="n">
        <f aca="false">IF(Tasks[[#This Row],[_Res1Text]]="",0,IFERROR(MATCH(TRIM(LEFT(Tasks[[#This Row],[_Res1Text]],FIND("[",Tasks[[#This Row],[_Res1Text]]&amp;"[")-1)),res_Name,0),IFERROR(MATCH(TRIM(LEFT(Tasks[[#This Row],[_Res1Text]],FIND("[",Tasks[[#This Row],[_Res1Text]]&amp;"[")-1)),res_Initials,0),0)))</f>
        <v>0</v>
      </c>
      <c r="DP75" s="43" t="n">
        <f aca="false">IF(Tasks[[#This Row],[_Res2Text]]="",0,IFERROR(MATCH(TRIM(LEFT(Tasks[[#This Row],[_Res2Text]],FIND("[",Tasks[[#This Row],[_Res2Text]]&amp;"[")-1)),res_Name,0),IFERROR(MATCH(TRIM(LEFT(Tasks[[#This Row],[_Res2Text]],FIND("[",Tasks[[#This Row],[_Res2Text]]&amp;"[")-1)),res_Initials,0),0)))</f>
        <v>0</v>
      </c>
      <c r="DQ75" s="43" t="n">
        <f aca="false">IF(Tasks[[#This Row],[_Res3Text]]="",0,IFERROR(MATCH(TRIM(LEFT(Tasks[[#This Row],[_Res3Text]],FIND("[",Tasks[[#This Row],[_Res3Text]]&amp;"[")-1)),res_Name,0),IFERROR(MATCH(TRIM(LEFT(Tasks[[#This Row],[_Res3Text]],FIND("[",Tasks[[#This Row],[_Res3Text]]&amp;"[")-1)),res_Initials,0),0)))</f>
        <v>0</v>
      </c>
      <c r="DR75" s="43" t="n">
        <f aca="false">IF(Tasks[[#This Row],[_Res4Text]]="",0,IFERROR(MATCH(TRIM(LEFT(Tasks[[#This Row],[_Res4Text]],FIND("[",Tasks[[#This Row],[_Res4Text]]&amp;"[")-1)),res_Name,0),IFERROR(MATCH(TRIM(LEFT(Tasks[[#This Row],[_Res4Text]],FIND("[",Tasks[[#This Row],[_Res4Text]]&amp;"[")-1)),res_Initials,0),0)))</f>
        <v>0</v>
      </c>
      <c r="DS75" s="43" t="str">
        <f aca="false">IF(Tasks[[#This Row],[_Res1Text]]="","",IF(Tasks[[#This Row],[_Res1Row]]&gt;0,INDEX(res_Name,Tasks[[#This Row],[_Res1Row]]),TRIM(LEFT(Tasks[[#This Row],[_Res1Text]],FIND("[",Tasks[[#This Row],[_Res1Text]]&amp;"[")-1))))</f>
        <v/>
      </c>
      <c r="DT7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5" s="43" t="n">
        <f aca="false">IF(NOT(Tasks[[#This Row],[_IsLeaf]]=1),0,(Tasks[[#This Row],[_Resource1]]&lt;&gt;"")+(Tasks[[#This Row],[_Res2]]&lt;&gt;"")+(Tasks[[#This Row],[_Res3]]&lt;&gt;"")+(Tasks[[#This Row],[_Res4]]&lt;&gt;""))</f>
        <v>0</v>
      </c>
      <c r="DV75" s="43" t="str">
        <f aca="false">IF(Tasks[[#This Row],[_Res2Text]]="","",IF(Tasks[[#This Row],[_Res2Row]]&gt;0,INDEX(res_Name,Tasks[[#This Row],[_Res2Row]]),TRIM(LEFT(Tasks[[#This Row],[_Res2Text]],FIND("[",Tasks[[#This Row],[_Res2Text]]&amp;"[")-1))))</f>
        <v/>
      </c>
      <c r="DW7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5" s="43" t="n">
        <f aca="false">IF(OR(NOT(Tasks[[#This Row],[_IsLeaf]]=1),Tasks[[#This Row],[_Res2Row]]=0),0,N(Tasks[[#This Row],[_Days]])*HoursPerDay*IF(Tasks[[#This Row],[_Res2Units]]="",DefaultUnits,Tasks[[#This Row],[_Res2Units]]))</f>
        <v>0</v>
      </c>
      <c r="DY75" s="43" t="n">
        <f aca="false">IF(AND(AND(Tasks[[#This Row],[_IsLeaf]]=1,Tasks[[#This Row],[_LeafTotalWork]]&gt;0),Tasks[[#This Row],[_Res2Work]]&gt;0),Tasks[[#This Row],[_Res2Work]]/(Tasks[[#This Row],[_FinishWorkday]]-Tasks[[#This Row],[_StartWorkday]]+1),0)</f>
        <v>0</v>
      </c>
      <c r="DZ75" s="43" t="n">
        <f aca="false">Tasks[[#This Row],[_Res2WorkPerWD]]*MAX(0,Tasks[[#This Row],[_StartWorkday]]-1)</f>
        <v>0</v>
      </c>
      <c r="EA75" s="43" t="n">
        <f aca="false">Tasks[[#This Row],[_Res2Work]]*Tasks[[#This Row],[_LeafProgress]]</f>
        <v>0</v>
      </c>
      <c r="EB75" s="43" t="str">
        <f aca="false">IF(Tasks[[#This Row],[_Res3Text]]="","",IF(Tasks[[#This Row],[_Res3Row]]&gt;0,INDEX(res_Name,Tasks[[#This Row],[_Res3Row]]),TRIM(LEFT(Tasks[[#This Row],[_Res3Text]],FIND("[",Tasks[[#This Row],[_Res3Text]]&amp;"[")-1))))</f>
        <v/>
      </c>
      <c r="EC7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5" s="43" t="n">
        <f aca="false">IF(OR(NOT(Tasks[[#This Row],[_IsLeaf]]=1),Tasks[[#This Row],[_Res3Row]]=0),0,N(Tasks[[#This Row],[_Days]])*HoursPerDay*IF(Tasks[[#This Row],[_Res3Units]]="",DefaultUnits,Tasks[[#This Row],[_Res3Units]]))</f>
        <v>0</v>
      </c>
      <c r="EE75" s="43" t="n">
        <f aca="false">IF(AND(AND(Tasks[[#This Row],[_IsLeaf]]=1,Tasks[[#This Row],[_LeafTotalWork]]&gt;0),Tasks[[#This Row],[_Res3Work]]&gt;0),Tasks[[#This Row],[_Res3Work]]/(Tasks[[#This Row],[_FinishWorkday]]-Tasks[[#This Row],[_StartWorkday]]+1),0)</f>
        <v>0</v>
      </c>
      <c r="EF75" s="43" t="n">
        <f aca="false">Tasks[[#This Row],[_Res3WorkPerWD]]*MAX(0,Tasks[[#This Row],[_StartWorkday]]-1)</f>
        <v>0</v>
      </c>
      <c r="EG75" s="43" t="n">
        <f aca="false">Tasks[[#This Row],[_Res3Work]]*Tasks[[#This Row],[_LeafProgress]]</f>
        <v>0</v>
      </c>
      <c r="EH75" s="43" t="str">
        <f aca="false">IF(Tasks[[#This Row],[_Res4Text]]="","",IF(Tasks[[#This Row],[_Res4Row]]&gt;0,INDEX(res_Name,Tasks[[#This Row],[_Res4Row]]),TRIM(LEFT(Tasks[[#This Row],[_Res4Text]],FIND("[",Tasks[[#This Row],[_Res4Text]]&amp;"[")-1))))</f>
        <v/>
      </c>
      <c r="EI7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5" s="43" t="n">
        <f aca="false">IF(OR(NOT(Tasks[[#This Row],[_IsLeaf]]=1),Tasks[[#This Row],[_Res4Row]]=0),0,N(Tasks[[#This Row],[_Days]])*HoursPerDay*IF(Tasks[[#This Row],[_Res4Units]]="",DefaultUnits,Tasks[[#This Row],[_Res4Units]]))</f>
        <v>0</v>
      </c>
      <c r="EK75" s="43" t="n">
        <f aca="false">IF(AND(AND(Tasks[[#This Row],[_IsLeaf]]=1,Tasks[[#This Row],[_LeafTotalWork]]&gt;0),Tasks[[#This Row],[_Res4Work]]&gt;0),Tasks[[#This Row],[_Res4Work]]/(Tasks[[#This Row],[_FinishWorkday]]-Tasks[[#This Row],[_StartWorkday]]+1),0)</f>
        <v>0</v>
      </c>
      <c r="EL75" s="43" t="n">
        <f aca="false">Tasks[[#This Row],[_Res4WorkPerWD]]*MAX(0,Tasks[[#This Row],[_StartWorkday]]-1)</f>
        <v>0</v>
      </c>
      <c r="EM75" s="43" t="n">
        <f aca="false">Tasks[[#This Row],[_Res4Work]]*Tasks[[#This Row],[_LeafProgress]]</f>
        <v>0</v>
      </c>
      <c r="EN75" s="43" t="n">
        <f aca="false">IF(ISNUMBER(Tasks[[#This Row],[% Complete]]),Tasks[[#This Row],[% Complete]],IF(Tasks[[#This Row],[Stage]]="",0,IFERROR(INDEX(stg_Pct,MATCH(Tasks[[#This Row],[Stage]],stg_Name,0)),0)))</f>
        <v>0</v>
      </c>
      <c r="EO75" s="43" t="n">
        <f aca="false">IF(NOT(Tasks[[#This Row],[_IsLeaf]]=1),0,IF(N(Tasks[[#This Row],[Actual Finish]])&gt;0,1,MIN(1,Tasks[[#This Row],[_Pct]])))</f>
        <v>0</v>
      </c>
      <c r="EP75" s="43" t="n">
        <f aca="false">IF(OR(NOT(Tasks[[#This Row],[_IsLeaf]]=1),Tasks[[#This Row],[_Res1Row]]=0),0,N(Tasks[[#This Row],[_Days]])*HoursPerDay*IF(Tasks[[#This Row],[_Units1]]="",DefaultUnits,Tasks[[#This Row],[_Units1]]))</f>
        <v>0</v>
      </c>
      <c r="EQ75" s="43" t="n">
        <f aca="false">Tasks[[#This Row],[_LeafWork]]+Tasks[[#This Row],[_Res2Work]]+Tasks[[#This Row],[_Res3Work]]+Tasks[[#This Row],[_Res4Work]]</f>
        <v>0</v>
      </c>
      <c r="ER7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5" s="43" t="n">
        <f aca="false">IF(NOT(Tasks[[#This Row],[_IsLeaf]]=1),0,MAX(_xlfn.MAXIFS(Tasks[_Row],Tasks[_Pred1UID],Tasks[[#This Row],[UID]]),_xlfn.MAXIFS(Tasks[_Row],Tasks[_Pred2UID],Tasks[[#This Row],[UID]]),_xlfn.MAXIFS(Tasks[_Row],Tasks[_Pred3UID],Tasks[[#This Row],[UID]]),_xlfn.MAXIFS(Tasks[_Row],Tasks[_Pred4UID],Tasks[[#This Row],[UID]])))</f>
        <v>0</v>
      </c>
      <c r="FA7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5" s="91" t="str">
        <f aca="false">IF(NOT(Tasks[[#This Row],[_IsLeaf]]=1),"",IF(N(Tasks[[#This Row],[_Days]])&lt;=0,Tasks[[#This Row],[_LeafLateFinish]],WORKDAY.INTL(Tasks[[#This Row],[_LeafLateFinish]],-(Tasks[[#This Row],[_Days]]-1),WorkWeek,Holidays)))</f>
        <v/>
      </c>
      <c r="FD7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5" s="90" t="b">
        <f aca="false">AND(Tasks[[#This Row],[_IsLeaf]]=1,Tasks[[#This Row],[_LeafProgress]]&lt;1,N(Tasks[[#This Row],[_LeafTotalSlack]])&lt;=CriticalSlackDays)</f>
        <v>0</v>
      </c>
      <c r="FF75" s="43" t="n">
        <f aca="false">IF(AND(Tasks[[#This Row],[_IsLeaf]]=1,Tasks[[#This Row],[_ConstraintCode]]=1,Tasks[[#This Row],[Mode]]&lt;&gt;"Manual",N(Tasks[[#This Row],[Actual Start]])=0),MAX(0,N(Tasks[[#This Row],[Free Slack]])),0)</f>
        <v>0</v>
      </c>
      <c r="FG75" s="91" t="str">
        <f aca="false">IF(NOT(Tasks[[#This Row],[_IsLeaf]]=1),"",IF(Tasks[[#This Row],[_AlapShift]]=0,Tasks[[#This Row],[_LeafCalcStart]],WORKDAY.INTL(Tasks[[#This Row],[_LeafCalcStart]],Tasks[[#This Row],[_AlapShift]],WorkWeek,Holidays)))</f>
        <v/>
      </c>
      <c r="FH75" s="91" t="str">
        <f aca="false">IF(NOT(Tasks[[#This Row],[_IsLeaf]]=1),"",IF(Tasks[[#This Row],[_AlapShift]]=0,Tasks[[#This Row],[_LeafCalcFinish]],WORKDAY.INTL(Tasks[[#This Row],[_LeafCalcFinish]],Tasks[[#This Row],[_AlapShift]],WorkWeek,Holidays)))</f>
        <v/>
      </c>
      <c r="FI75" s="91" t="str">
        <f aca="false">IF(NOT(Tasks[[#This Row],[_IsLeaf]]=1),"",IF(Tasks[[#This Row],[_AlapShift]]=0,Tasks[[#This Row],[_LeafFcstStart]],WORKDAY.INTL(Tasks[[#This Row],[_LeafFcstStart]],Tasks[[#This Row],[_AlapShift]],WorkWeek,Holidays)))</f>
        <v/>
      </c>
      <c r="FJ75" s="91" t="str">
        <f aca="false">IF(NOT(Tasks[[#This Row],[_IsLeaf]]=1),"",IF(Tasks[[#This Row],[_AlapShift]]=0,Tasks[[#This Row],[_LeafFcstFinish]],WORKDAY.INTL(Tasks[[#This Row],[_LeafFcstFinish]],Tasks[[#This Row],[_AlapShift]],WorkWeek,Holidays)))</f>
        <v/>
      </c>
      <c r="FK75" s="91" t="str">
        <f aca="false">IF(Tasks[[#This Row],[Task Name]]="","",IF(Tasks[[#This Row],[_IsSummary]],MIN(INDEX(Tasks[_ShownCalcStart],Tasks[[#This Row],[_Row]]+1):INDEX(Tasks[_ShownCalcStart],Tasks[[#This Row],[_Row]]+Tasks[[#This Row],[_Descendants]])),Tasks[[#This Row],[_ShownCalcStart]]))</f>
        <v/>
      </c>
      <c r="FL75" s="91" t="str">
        <f aca="false">IF(Tasks[[#This Row],[Task Name]]="","",IF(Tasks[[#This Row],[_IsSummary]],MAX(INDEX(Tasks[_ShownCalcFinish],Tasks[[#This Row],[_Row]]+1):INDEX(Tasks[_ShownCalcFinish],Tasks[[#This Row],[_Row]]+Tasks[[#This Row],[_Descendants]])),Tasks[[#This Row],[_ShownCalcFinish]]))</f>
        <v/>
      </c>
      <c r="FM7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5" s="43" t="n">
        <f aca="false">IF(AND(Tasks[[#This Row],[_IsLeaf]]=1,Tasks[[#This Row],[_LeafTotalWork]]&gt;0),NETWORKDAYS.INTL(ProjectStart,Tasks[[#This Row],[_ShownFcstStart]],WorkWeek,Holidays),0)</f>
        <v>0</v>
      </c>
      <c r="FZ75" s="43" t="n">
        <f aca="false">IF(AND(Tasks[[#This Row],[_IsLeaf]]=1,Tasks[[#This Row],[_LeafTotalWork]]&gt;0),MAX(Tasks[[#This Row],[_StartWorkday]],NETWORKDAYS.INTL(ProjectStart,Tasks[[#This Row],[_ShownFcstFinish]],WorkWeek,Holidays)),0)</f>
        <v>0</v>
      </c>
      <c r="GA75" s="43" t="n">
        <f aca="false">IF(AND(Tasks[[#This Row],[_IsLeaf]]=1,Tasks[[#This Row],[_LeafTotalWork]]&gt;0),Tasks[[#This Row],[_LeafWork]]/(Tasks[[#This Row],[_FinishWorkday]]-Tasks[[#This Row],[_StartWorkday]]+1),0)</f>
        <v>0</v>
      </c>
      <c r="GB75" s="43" t="n">
        <f aca="false">Tasks[[#This Row],[_WorkPerWorkday]]*(Tasks[[#This Row],[_StartWorkday]]-1)</f>
        <v>-0</v>
      </c>
      <c r="GC75" s="43" t="n">
        <f aca="false">IF(Tasks[[#This Row],[_IsLeaf]]=1,MAX(N(Tasks[[#This Row],[_Days]]),0.1),0)</f>
        <v>0</v>
      </c>
      <c r="GD75" s="43" t="n">
        <f aca="false">Tasks[[#This Row],[_WeightDur]]*Tasks[[#This Row],[_LeafProgress]]</f>
        <v>0</v>
      </c>
      <c r="GE75" s="43" t="n">
        <f aca="false">Tasks[[#This Row],[_WeightDur]]*Tasks[[#This Row],[_PlannedPct]]</f>
        <v>0</v>
      </c>
      <c r="GF7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5" s="43" t="str">
        <f aca="false">IF(AND(Tasks[[#This Row],[_IsLeaf]]=1,N(Tasks[[#This Row],[_Days]])=0,Tasks[[#This Row],[_LeafProgress]]&lt;1),Tasks[[#This Row],[_ShownFcstFinish]]+Tasks[[#This Row],[_Row]]/100000,"")</f>
        <v/>
      </c>
      <c r="GH7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5" s="43" t="str">
        <f aca="false">IF(Tasks[[#This Row],[Task Name]]="","",LEFT(Tasks[[#This Row],[WBS]],FIND(".",Tasks[[#This Row],[WBS]]&amp;".")-1))</f>
        <v/>
      </c>
      <c r="GJ75" s="43" t="str">
        <f aca="false">IF(AND(Tasks[[#This Row],[Task Name]]&lt;&gt;"",Tasks[[#This Row],[_Level]]=1),Tasks[[#This Row],[_Row]],"")</f>
        <v/>
      </c>
      <c r="GK75" s="43" t="str">
        <f aca="false">IF(AND(Tasks[[#This Row],[_IsLeaf]]=1,N(Tasks[[#This Row],[_Days]])=0),Tasks[[#This Row],[Planned Finish]]+Tasks[[#This Row],[_Row]]/100000,"")</f>
        <v/>
      </c>
      <c r="GL75" s="43" t="str">
        <f aca="false">IF(AND(Tasks[[#This Row],[_IsLeaf]]=1,Tasks[[#This Row],[_LeafProgress]]&lt;1,OR(N(Tasks[[#This Row],[Finish Var]])&gt;0,Tasks[[#This Row],[Status]]="Late Start")),MAX(0,Tasks[[#This Row],[Finish Var]])+1-Tasks[[#This Row],[_Row]]/1000000,"")</f>
        <v/>
      </c>
      <c r="GM75" s="43" t="str">
        <f aca="false">IF(AND(Tasks[[#This Row],[_IsLeaf]]=1,N(Tasks[[#This Row],[Actual Start]])=0,Tasks[[#This Row],[_ShownFcstStart]]&gt;=StatusDate,Tasks[[#This Row],[_ShownFcstStart]]&lt;=LookaheadEnd),Tasks[[#This Row],[_ShownFcstStart]]+Tasks[[#This Row],[_Row]]/100000,"")</f>
        <v/>
      </c>
      <c r="GN75" s="43" t="str">
        <f aca="false">IF(AND(Tasks[[#This Row],[_IsLeaf]]=1,Tasks[[#This Row],[_LeafProgress]]&lt;1,Tasks[[#This Row],[_ShownFcstFinish]]&gt;=StatusDate,Tasks[[#This Row],[_ShownFcstFinish]]&lt;=LookaheadEnd),Tasks[[#This Row],[_ShownFcstFinish]]+Tasks[[#This Row],[_Row]]/100000,"")</f>
        <v/>
      </c>
      <c r="GO75" s="43" t="str">
        <f aca="false">IF(Tasks[[#This Row],[_LeafCritical]],Tasks[[#This Row],[_ShownFcstStart]]+Tasks[[#This Row],[_Row]]/100000,"")</f>
        <v/>
      </c>
      <c r="GP75" s="43" t="n">
        <f aca="false">Tasks[[#This Row],[_LeafWork]]*Tasks[[#This Row],[_LeafProgress]]</f>
        <v>0</v>
      </c>
      <c r="GQ75" s="91" t="str">
        <f aca="false">IF(AND(Tasks[[#This Row],[_IsLeaf]]=1,Tasks[[#This Row],[_LeafProgress]]&gt;=1),IF(N(Tasks[[#This Row],[Actual Finish]])&gt;0,Tasks[[#This Row],[Actual Finish]],Tasks[[#This Row],[_ShownFcstFinish]]),"")</f>
        <v/>
      </c>
      <c r="GR75" s="43" t="n">
        <f aca="false">IF(Tasks[[#This Row],[_IsLeaf]]=1,N(Tasks[[#This Row],[Story Points]]),0)</f>
        <v>0</v>
      </c>
      <c r="GS75" s="43" t="str">
        <f aca="false">""</f>
        <v/>
      </c>
      <c r="GT75" s="90" t="b">
        <f aca="false">IF(Tasks[[#This Row],[Task Name]]="",FALSE(),AND(Tasks[[#This Row],[_IsLeaf]]=1,N(Tasks[[#This Row],[_Days]])=0))</f>
        <v>0</v>
      </c>
      <c r="GU75" s="91" t="n">
        <f aca="false">IF(Tasks[[#This Row],[Task Name]]="",0,IF(AND(Tasks[[#This Row],[_IsLeaf]]=1,NOT(Tasks[[#This Row],[_IsMilestone]]),N(Tasks[[#This Row],[Progress]])&gt;0),Tasks[[#This Row],[Start]],0))</f>
        <v>0</v>
      </c>
      <c r="GV75" s="91" t="n">
        <f aca="false">IF(Tasks[[#This Row],[_DoneFrom]]=0,0,IF(Tasks[[#This Row],[Progress]]&gt;=1,Tasks[[#This Row],[Finish]],MAX(Tasks[[#This Row],[_DoneFrom]],Tasks[[#This Row],[Start]]+ROUND((Tasks[[#This Row],[Finish]]-Tasks[[#This Row],[Start]]+1)*Tasks[[#This Row],[Progress]],0)-1)))</f>
        <v>0</v>
      </c>
      <c r="GW75" s="91" t="n">
        <f aca="false">IF(Tasks[[#This Row],[Task Name]]="",0,IF(OR(NOT(Tasks[[#This Row],[_IsLeaf]]=1),Tasks[[#This Row],[_IsMilestone]],N(Tasks[[#This Row],[Progress]])&gt;=1),0,IF(Tasks[[#This Row],[_DoneTo]]&gt;0,Tasks[[#This Row],[_DoneTo]]+1,Tasks[[#This Row],[Start]])))</f>
        <v>0</v>
      </c>
      <c r="GX75" s="91" t="n">
        <f aca="false">IF(Tasks[[#This Row],[_RemFrom]]=0,0,Tasks[[#This Row],[Finish]])</f>
        <v>0</v>
      </c>
      <c r="GY75" s="90" t="b">
        <f aca="false">IF(Tasks[[#This Row],[Task Name]]="",FALSE(),OR(NOT(BaselineSet),N(Tasks[[#This Row],[Baseline Start]])&gt;0))</f>
        <v>0</v>
      </c>
      <c r="GZ7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5" s="92" t="str">
        <f aca="false">IF(Tasks[[#This Row],[_IsLeaf]]=1,Tasks[[#This Row],[_Row]],"")</f>
        <v/>
      </c>
      <c r="HD75" s="92" t="str">
        <f aca="false">IFERROR(INDEX(Tasks[UID],SMALL(Tasks[_PickKey],Tasks[[#This Row],[_Row]]))&amp;" "&amp;INDEX(Tasks[Task Name],SMALL(Tasks[_PickKey],Tasks[[#This Row],[_Row]])),"")</f>
        <v/>
      </c>
      <c r="HE75" s="43" t="str">
        <f aca="false">IF(Tasks[[#This Row],[Task Name]]="","",IF(Tasks[[#This Row],[_IsSummary]],NETWORKDAYS.INTL(Tasks[[#This Row],[Start]],Tasks[[#This Row],[Finish]],WorkWeek,Holidays),N(Tasks[[#This Row],[_Days]])))</f>
        <v/>
      </c>
      <c r="HF75" s="43" t="n">
        <f aca="false">IF(Tasks[[#This Row],[Expected]]="",0,((Tasks[[#This Row],[Pessimistic]]-Tasks[[#This Row],[Optimistic]])/6)^2)</f>
        <v>0</v>
      </c>
      <c r="HG75" s="43" t="n">
        <f aca="false">IF(Tasks[[#This Row],[Expected]]="",0,Tasks[[#This Row],[Expected]]-N(Tasks[[#This Row],[_Days]]))</f>
        <v>0</v>
      </c>
    </row>
    <row r="76" customFormat="false" ht="15" hidden="false" customHeight="false" outlineLevel="0" collapsed="false">
      <c r="A76" s="21" t="str">
        <f aca="false">IF(Tasks[[#This Row],[Task Name]]="","",COUNTA(Tasks[[#Headers],[Task Name]]:Tasks[[#This Row],[Task Name]])-1)</f>
        <v/>
      </c>
      <c r="B76" s="22" t="n">
        <v>84</v>
      </c>
      <c r="C76" s="22"/>
      <c r="D76" s="23"/>
      <c r="E76" s="22"/>
      <c r="F76" s="23"/>
      <c r="G76" s="22"/>
      <c r="H76" s="22"/>
      <c r="I76" s="23"/>
      <c r="J76" s="22"/>
      <c r="K76" s="22"/>
      <c r="L76" s="23"/>
      <c r="M76" s="22"/>
      <c r="N76" s="22"/>
      <c r="O76" s="23"/>
      <c r="P76" s="22"/>
      <c r="Q76" s="22"/>
      <c r="R76" s="23"/>
      <c r="S76" s="23"/>
      <c r="T76" s="84"/>
      <c r="U76" s="23"/>
      <c r="V76" s="84"/>
      <c r="W76" s="23"/>
      <c r="X76" s="84"/>
      <c r="Y76" s="23"/>
      <c r="Z76" s="84"/>
      <c r="AA76" s="23"/>
      <c r="AB76" s="23"/>
      <c r="AC76" s="7"/>
      <c r="AD76" s="7"/>
      <c r="AE76" s="63" t="str">
        <f aca="false">IF(Tasks[[#This Row],[Task Name]]="","",IF(Tasks[[#This Row],[_IsSummary]],MIN(INDEX(Tasks[_ShownFcstStart],Tasks[[#This Row],[_Row]]+1):INDEX(Tasks[_ShownFcstStart],Tasks[[#This Row],[_Row]]+Tasks[[#This Row],[_Descendants]])),Tasks[[#This Row],[_ShownFcstStart]]))</f>
        <v/>
      </c>
      <c r="AF76" s="63" t="str">
        <f aca="false">IF(Tasks[[#This Row],[Task Name]]="","",IF(Tasks[[#This Row],[_IsSummary]],MAX(INDEX(Tasks[_ShownFcstFinish],Tasks[[#This Row],[_Row]]+1):INDEX(Tasks[_ShownFcstFinish],Tasks[[#This Row],[_Row]]+Tasks[[#This Row],[_Descendants]])),Tasks[[#This Row],[_ShownFcstFinish]]))</f>
        <v/>
      </c>
      <c r="AG76" s="21" t="str">
        <f aca="false">""</f>
        <v/>
      </c>
      <c r="AH76" s="23"/>
      <c r="AI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6" s="7"/>
      <c r="AK76" s="22"/>
      <c r="AL76" s="23"/>
      <c r="AM76" s="7"/>
      <c r="AN76" s="47" t="str">
        <f aca="false">IF(Tasks[[#This Row],[Task Name]]="","",IF(Tasks[[#This Row],[Finish]]&gt;=Tasks[[#This Row],[Planned Finish]],NETWORKDAYS.INTL(Tasks[[#This Row],[Planned Finish]],Tasks[[#This Row],[Finish]],WorkWeek,Holidays)-1,1-NETWORKDAYS.INTL(Tasks[[#This Row],[Finish]],Tasks[[#This Row],[Planned Finish]],WorkWeek,Holidays)))</f>
        <v/>
      </c>
      <c r="AO76" s="21" t="str">
        <f aca="false">IF(Tasks[[#This Row],[Task Name]]="","",IF(Tasks[[#This Row],[Progress]]&gt;=1,"Complete",IF(OR(N(Tasks[[#This Row],[Actual Start]])&gt;0,Tasks[[#This Row],[Progress]]&gt;0),IF(Tasks[[#This Row],[Finish Var]]&gt;0,"Behind","In Progress"),IF(Tasks[[#This Row],[Planned Start]]&lt;StatusDate,"Late Start","Not Started"))))</f>
        <v/>
      </c>
      <c r="AP76" s="21" t="str">
        <f aca="false">IF(Tasks[[#This Row],[Task Name]]="","",IF(IF(Tasks[[#This Row],[_IsSummary]],COUNTIF(INDEX(Tasks[_LeafCritical],Tasks[[#This Row],[_Row]]+1):INDEX(Tasks[_LeafCritical],Tasks[[#This Row],[_Row]]+Tasks[[#This Row],[_Descendants]]),TRUE())&gt;0,Tasks[[#This Row],[_LeafCritical]]),"Yes",""))</f>
        <v/>
      </c>
      <c r="AQ76" s="63" t="str">
        <f aca="false">IF(Tasks[[#This Row],[Task Name]]="","",IF(N(Tasks[[#This Row],[Baseline Start]])&gt;0,Tasks[[#This Row],[Baseline Start]],Tasks[[#This Row],[_CalcStart]]))</f>
        <v/>
      </c>
      <c r="AR76" s="63" t="str">
        <f aca="false">IF(Tasks[[#This Row],[Task Name]]="","",IF(N(Tasks[[#This Row],[Baseline Finish]])&gt;0,Tasks[[#This Row],[Baseline Finish]],Tasks[[#This Row],[_CalcFinish]]))</f>
        <v/>
      </c>
      <c r="AS76" s="47" t="str">
        <f aca="false">IF(Tasks[[#This Row],[Task Name]]="","",IF(Tasks[[#This Row],[Start]]&gt;=Tasks[[#This Row],[Planned Start]],NETWORKDAYS.INTL(Tasks[[#This Row],[Planned Start]],Tasks[[#This Row],[Start]],WorkWeek,Holidays)-1,1-NETWORKDAYS.INTL(Tasks[[#This Row],[Start]],Tasks[[#This Row],[Planned Start]],WorkWeek,Holidays)))</f>
        <v/>
      </c>
      <c r="AT76" s="63" t="str">
        <f aca="false">IF(Tasks[[#This Row],[Task Name]]="","",IF(Tasks[[#This Row],[_IsSummary]],MIN(INDEX(Tasks[_LeafLateStart],Tasks[[#This Row],[_Row]]+1):INDEX(Tasks[_LeafLateStart],Tasks[[#This Row],[_Row]]+Tasks[[#This Row],[_Descendants]])),Tasks[[#This Row],[_LeafLateStart]]))</f>
        <v/>
      </c>
      <c r="AU76" s="63" t="str">
        <f aca="false">IF(Tasks[[#This Row],[Task Name]]="","",IF(Tasks[[#This Row],[_IsSummary]],MAX(INDEX(Tasks[_LeafLateFinish],Tasks[[#This Row],[_Row]]+1):INDEX(Tasks[_LeafLateFinish],Tasks[[#This Row],[_Row]]+Tasks[[#This Row],[_Descendants]])),Tasks[[#This Row],[_LeafLateFinish]]))</f>
        <v/>
      </c>
      <c r="AV76" s="47" t="str">
        <f aca="false">IF(Tasks[[#This Row],[Task Name]]="","",IF(Tasks[[#This Row],[_IsSummary]],MIN(INDEX(Tasks[_LeafTotalSlack],Tasks[[#This Row],[_Row]]+1):INDEX(Tasks[_LeafTotalSlack],Tasks[[#This Row],[_Row]]+Tasks[[#This Row],[_Descendants]])),Tasks[[#This Row],[_LeafTotalSlack]]))</f>
        <v/>
      </c>
      <c r="AW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5"/>
      <c r="BA7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1" t="str">
        <f aca="false">IF(Tasks[[#This Row],[Task Name]]="","",IF(Tasks[[#This Row],[_Level]]&lt;=OutlineShowLevel,"Yes","No"))</f>
        <v/>
      </c>
      <c r="BE76" s="86" t="str">
        <f aca="false">IF(Tasks[[#This Row],[Task Name]]="","",IF(Tasks[[#This Row],[_IsSummary]],SUM(INDEX(Tasks[_LeafTotalWork],Tasks[[#This Row],[_Row]]+1):INDEX(Tasks[_LeafTotalWork],Tasks[[#This Row],[_Row]]+Tasks[[#This Row],[_Descendants]])),Tasks[[#This Row],[_LeafTotalWork]]))</f>
        <v/>
      </c>
      <c r="BF76" s="23"/>
      <c r="BG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6" s="21" t="str">
        <f aca="false">""</f>
        <v/>
      </c>
      <c r="BI76" s="87"/>
      <c r="BJ76" s="22"/>
      <c r="BK76" s="47" t="str">
        <f aca="false">IF(OR(Tasks[[#This Row],[Task Name]]="",Tasks[[#This Row],[Baseline Duration]]=""),"",Tasks[[#This Row],[_SpanDays]]-N(Tasks[[#This Row],[Baseline Duration]]))</f>
        <v/>
      </c>
      <c r="BL76" s="86" t="str">
        <f aca="false">IF(OR(Tasks[[#This Row],[Task Name]]="",Tasks[[#This Row],[Baseline Work]]=""),"",Tasks[[#This Row],[Work]]-N(Tasks[[#This Row],[Baseline Work]]))</f>
        <v/>
      </c>
      <c r="BM76" s="63" t="str">
        <f aca="false">IF(Tasks[[#This Row],[Task Name]]="","",IF(OR(TakeBaseline="Yes",N(Tasks[[#This Row],[Baseline Start]])=0),Tasks[[#This Row],[Start]],Tasks[[#This Row],[Baseline Start]]))</f>
        <v/>
      </c>
      <c r="BN76" s="63" t="str">
        <f aca="false">IF(Tasks[[#This Row],[Task Name]]="","",IF(OR(TakeBaseline="Yes",N(Tasks[[#This Row],[Baseline Finish]])=0),Tasks[[#This Row],[Finish]],Tasks[[#This Row],[Baseline Finish]]))</f>
        <v/>
      </c>
      <c r="BO76" s="21" t="str">
        <f aca="false">IF(Tasks[[#This Row],[Task Name]]="","",IF(OR(TakeBaseline="Yes",N(Tasks[[#This Row],[Baseline Duration]])=0),Tasks[[#This Row],[_SpanDays]],Tasks[[#This Row],[Baseline Duration]]))</f>
        <v/>
      </c>
      <c r="BP76" s="86" t="str">
        <f aca="false">IF(Tasks[[#This Row],[Task Name]]="","",IF(OR(TakeBaseline="Yes",N(Tasks[[#This Row],[Baseline Work]])=0),Tasks[[#This Row],[Work]],Tasks[[#This Row],[Baseline Work]]))</f>
        <v/>
      </c>
      <c r="BQ76" s="7"/>
      <c r="BR76" s="7"/>
      <c r="BS76" s="22"/>
      <c r="BT76" s="88"/>
      <c r="BU76" s="23"/>
      <c r="BV76" s="23"/>
      <c r="BW76" s="23"/>
      <c r="BX76" s="89" t="str">
        <f aca="false">IF(AND(Tasks[[#This Row],[_IsLeaf]]=1,ISNUMBER(Tasks[[#This Row],[Optimistic]]),ISNUMBER(Tasks[[#This Row],[Pessimistic]])),ROUND((Tasks[[#This Row],[Optimistic]]+4*N(Tasks[[#This Row],[_Days]])+Tasks[[#This Row],[Pessimistic]])/6,1),"")</f>
        <v/>
      </c>
      <c r="BY76" s="87"/>
      <c r="BZ76" s="87"/>
      <c r="CA76" s="22"/>
      <c r="CB76" s="43" t="str">
        <f aca="false">IF(Tasks[[#This Row],[Task Name]]="","",MAX(1,N(Tasks[[#This Row],[Level]])))</f>
        <v/>
      </c>
      <c r="CC76" s="43" t="n">
        <f aca="false">ROW()-ROW(Tasks[[#Headers],[ID]])</f>
        <v>71</v>
      </c>
      <c r="CD76" s="43" t="n">
        <f aca="false">IF(OR(Tasks[[#This Row],[Task Name]]="",Tasks[[#This Row],[_Level]]&lt;=1),0,IFERROR(LOOKUP(2,1/(Tasks[[#Headers],[_Level]]:Tasks[[#This Row],[_Level]]=Tasks[[#This Row],[_Level]]-1),ROW(Tasks[[#Headers],[_Level]]:Tasks[[#This Row],[_Level]])),0))</f>
        <v>0</v>
      </c>
      <c r="CE76" s="43" t="n">
        <f aca="false">IFERROR(N(INDEX(Tasks[_Level],Tasks[[#This Row],[_Row]]+1)),0)</f>
        <v>0</v>
      </c>
      <c r="CF76" s="90" t="b">
        <f aca="false">AND(Tasks[[#This Row],[Task Name]]&lt;&gt;"",Tasks[[#This Row],[_NextLevel]]&gt;Tasks[[#This Row],[_Level]])</f>
        <v>0</v>
      </c>
      <c r="CG76" s="43" t="n">
        <f aca="false">IF(Tasks[[#This Row],[_IsSummary]],COUNTIF(Tasks[WBS],Tasks[[#This Row],[WBS]]&amp;".*"),0)</f>
        <v>0</v>
      </c>
      <c r="CH76" s="43" t="n">
        <f aca="false">IF(AND(Tasks[[#This Row],[Task Name]]&lt;&gt;"",NOT(Tasks[[#This Row],[_IsSummary]])),1,0)</f>
        <v>0</v>
      </c>
      <c r="CI76" s="43" t="n">
        <f aca="false">IF(N(Tasks[[#This Row],[_Pred1UID]])=0,0,IFERROR(MATCH(Tasks[[#This Row],[_Pred1UID]],Tasks[UID],0),-1))</f>
        <v>0</v>
      </c>
      <c r="CJ76" s="43" t="n">
        <f aca="false">IF(N(Tasks[[#This Row],[_Pred2UID]])=0,0,IFERROR(MATCH(Tasks[[#This Row],[_Pred2UID]],Tasks[UID],0),-1))</f>
        <v>0</v>
      </c>
      <c r="CK76" s="43" t="n">
        <f aca="false">IF(N(Tasks[[#This Row],[_Pred3UID]])=0,0,IFERROR(MATCH(Tasks[[#This Row],[_Pred3UID]],Tasks[UID],0),-1))</f>
        <v>0</v>
      </c>
      <c r="CL76" s="43" t="n">
        <f aca="false">IF(N(Tasks[[#This Row],[_Pred4UID]])=0,0,IFERROR(MATCH(Tasks[[#This Row],[_Pred4UID]],Tasks[UID],0),-1))</f>
        <v>0</v>
      </c>
      <c r="CM7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6" s="91" t="n">
        <f aca="false">IF(OR(Tasks[[#This Row],[_ConstraintCode]]=2,Tasks[[#This Row],[_ConstraintCode]]=3,Tasks[[#This Row],[_ConstraintCode]]=4,Tasks[[#This Row],[_ConstraintCode]]=6),Tasks[[#This Row],[_ConstraintStart]],0)</f>
        <v>0</v>
      </c>
      <c r="CP76" s="91" t="n">
        <f aca="false">IF(OR(Tasks[[#This Row],[_ConstraintCode]]=2,Tasks[[#This Row],[_ConstraintCode]]=3,Tasks[[#This Row],[_ConstraintCode]]=5,Tasks[[#This Row],[_ConstraintCode]]=7),Tasks[[#This Row],[_ConstraintStart]],2958465)</f>
        <v>2958465</v>
      </c>
      <c r="CQ7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6" s="91" t="str">
        <f aca="false">IF(NOT(Tasks[[#This Row],[_IsLeaf]]=1),"",IF(N(Tasks[[#This Row],[_Days]])&lt;=0,Tasks[[#This Row],[_LeafCalcStart]],WORKDAY.INTL(Tasks[[#This Row],[_LeafCalcStart]],Tasks[[#This Row],[_Days]]-1,WorkWeek,Holidays)))</f>
        <v/>
      </c>
      <c r="CS7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6" s="43" t="str">
        <f aca="false">IF(Tasks[[#This Row],[_Predecessors]]="","",TRIM(MID(SUBSTITUTE(SUBSTITUTE(SUBSTITUTE(UPPER(Tasks[[#This Row],[_Predecessors]]),";",",")," ",""),",",REPT(" ",99)),1,99)))</f>
        <v/>
      </c>
      <c r="CV76" s="43" t="str">
        <f aca="false">IF(Tasks[[#This Row],[_Pred1Text]]="","",IFERROR(VALUE(LEFT(Tasks[[#This Row],[_Pred1Text]],MIN(FIND("F",Tasks[[#This Row],[_Pred1Text]]&amp;"F"),FIND("S",Tasks[[#This Row],[_Pred1Text]]&amp;"S"),FIND("+",Tasks[[#This Row],[_Pred1Text]]&amp;"+"),FIND("-",Tasks[[#This Row],[_Pred1Text]]&amp;"-"))-1)),""))</f>
        <v/>
      </c>
      <c r="CW7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6" s="43" t="str">
        <f aca="false">IF(Tasks[[#This Row],[_Pred1Text]]="","",TRIM(MID(SUBSTITUTE(SUBSTITUTE(SUBSTITUTE(UPPER(Tasks[[#This Row],[_Predecessors]]),";",",")," ",""),",",REPT(" ",99)),100,99)))</f>
        <v/>
      </c>
      <c r="CZ76" s="43" t="str">
        <f aca="false">IF(Tasks[[#This Row],[_Pred2Text]]="","",IFERROR(VALUE(LEFT(Tasks[[#This Row],[_Pred2Text]],MIN(FIND("F",Tasks[[#This Row],[_Pred2Text]]&amp;"F"),FIND("S",Tasks[[#This Row],[_Pred2Text]]&amp;"S"),FIND("+",Tasks[[#This Row],[_Pred2Text]]&amp;"+"),FIND("-",Tasks[[#This Row],[_Pred2Text]]&amp;"-"))-1)),""))</f>
        <v/>
      </c>
      <c r="DA7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6" s="43" t="str">
        <f aca="false">IF(Tasks[[#This Row],[_Pred2Text]]="","",TRIM(MID(SUBSTITUTE(SUBSTITUTE(SUBSTITUTE(UPPER(Tasks[[#This Row],[_Predecessors]]),";",",")," ",""),",",REPT(" ",99)),199,99)))</f>
        <v/>
      </c>
      <c r="DD76" s="43" t="str">
        <f aca="false">IF(Tasks[[#This Row],[_Pred3Text]]="","",IFERROR(VALUE(LEFT(Tasks[[#This Row],[_Pred3Text]],MIN(FIND("F",Tasks[[#This Row],[_Pred3Text]]&amp;"F"),FIND("S",Tasks[[#This Row],[_Pred3Text]]&amp;"S"),FIND("+",Tasks[[#This Row],[_Pred3Text]]&amp;"+"),FIND("-",Tasks[[#This Row],[_Pred3Text]]&amp;"-"))-1)),""))</f>
        <v/>
      </c>
      <c r="DE7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6" s="43" t="str">
        <f aca="false">IF(Tasks[[#This Row],[_Pred3Text]]="","",TRIM(MID(SUBSTITUTE(SUBSTITUTE(SUBSTITUTE(UPPER(Tasks[[#This Row],[_Predecessors]]),";",",")," ",""),",",REPT(" ",99)),298,99)))</f>
        <v/>
      </c>
      <c r="DH76" s="43" t="str">
        <f aca="false">IF(Tasks[[#This Row],[_Pred4Text]]="","",IFERROR(VALUE(LEFT(Tasks[[#This Row],[_Pred4Text]],MIN(FIND("F",Tasks[[#This Row],[_Pred4Text]]&amp;"F"),FIND("S",Tasks[[#This Row],[_Pred4Text]]&amp;"S"),FIND("+",Tasks[[#This Row],[_Pred4Text]]&amp;"+"),FIND("-",Tasks[[#This Row],[_Pred4Text]]&amp;"-"))-1)),""))</f>
        <v/>
      </c>
      <c r="DI7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6" s="43" t="str">
        <f aca="false">IF(OR(Tasks[[#This Row],[Task Name]]="",Tasks[[#This Row],[_Resources]]=""),"",TRIM(MID(SUBSTITUTE(Tasks[[#This Row],[_Resources]],",",REPT(" ",99)),1,99)))</f>
        <v/>
      </c>
      <c r="DL76" s="43" t="str">
        <f aca="false">IF(Tasks[[#This Row],[_Res1Text]]="","",TRIM(MID(SUBSTITUTE(Tasks[[#This Row],[_Resources]],",",REPT(" ",99)),100,99)))</f>
        <v/>
      </c>
      <c r="DM76" s="43" t="str">
        <f aca="false">IF(Tasks[[#This Row],[_Res2Text]]="","",TRIM(MID(SUBSTITUTE(Tasks[[#This Row],[_Resources]],",",REPT(" ",99)),199,99)))</f>
        <v/>
      </c>
      <c r="DN76" s="43" t="str">
        <f aca="false">IF(Tasks[[#This Row],[_Res3Text]]="","",TRIM(MID(SUBSTITUTE(Tasks[[#This Row],[_Resources]],",",REPT(" ",99)),298,99)))</f>
        <v/>
      </c>
      <c r="DO76" s="43" t="n">
        <f aca="false">IF(Tasks[[#This Row],[_Res1Text]]="",0,IFERROR(MATCH(TRIM(LEFT(Tasks[[#This Row],[_Res1Text]],FIND("[",Tasks[[#This Row],[_Res1Text]]&amp;"[")-1)),res_Name,0),IFERROR(MATCH(TRIM(LEFT(Tasks[[#This Row],[_Res1Text]],FIND("[",Tasks[[#This Row],[_Res1Text]]&amp;"[")-1)),res_Initials,0),0)))</f>
        <v>0</v>
      </c>
      <c r="DP76" s="43" t="n">
        <f aca="false">IF(Tasks[[#This Row],[_Res2Text]]="",0,IFERROR(MATCH(TRIM(LEFT(Tasks[[#This Row],[_Res2Text]],FIND("[",Tasks[[#This Row],[_Res2Text]]&amp;"[")-1)),res_Name,0),IFERROR(MATCH(TRIM(LEFT(Tasks[[#This Row],[_Res2Text]],FIND("[",Tasks[[#This Row],[_Res2Text]]&amp;"[")-1)),res_Initials,0),0)))</f>
        <v>0</v>
      </c>
      <c r="DQ76" s="43" t="n">
        <f aca="false">IF(Tasks[[#This Row],[_Res3Text]]="",0,IFERROR(MATCH(TRIM(LEFT(Tasks[[#This Row],[_Res3Text]],FIND("[",Tasks[[#This Row],[_Res3Text]]&amp;"[")-1)),res_Name,0),IFERROR(MATCH(TRIM(LEFT(Tasks[[#This Row],[_Res3Text]],FIND("[",Tasks[[#This Row],[_Res3Text]]&amp;"[")-1)),res_Initials,0),0)))</f>
        <v>0</v>
      </c>
      <c r="DR76" s="43" t="n">
        <f aca="false">IF(Tasks[[#This Row],[_Res4Text]]="",0,IFERROR(MATCH(TRIM(LEFT(Tasks[[#This Row],[_Res4Text]],FIND("[",Tasks[[#This Row],[_Res4Text]]&amp;"[")-1)),res_Name,0),IFERROR(MATCH(TRIM(LEFT(Tasks[[#This Row],[_Res4Text]],FIND("[",Tasks[[#This Row],[_Res4Text]]&amp;"[")-1)),res_Initials,0),0)))</f>
        <v>0</v>
      </c>
      <c r="DS76" s="43" t="str">
        <f aca="false">IF(Tasks[[#This Row],[_Res1Text]]="","",IF(Tasks[[#This Row],[_Res1Row]]&gt;0,INDEX(res_Name,Tasks[[#This Row],[_Res1Row]]),TRIM(LEFT(Tasks[[#This Row],[_Res1Text]],FIND("[",Tasks[[#This Row],[_Res1Text]]&amp;"[")-1))))</f>
        <v/>
      </c>
      <c r="DT7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6" s="43" t="n">
        <f aca="false">IF(NOT(Tasks[[#This Row],[_IsLeaf]]=1),0,(Tasks[[#This Row],[_Resource1]]&lt;&gt;"")+(Tasks[[#This Row],[_Res2]]&lt;&gt;"")+(Tasks[[#This Row],[_Res3]]&lt;&gt;"")+(Tasks[[#This Row],[_Res4]]&lt;&gt;""))</f>
        <v>0</v>
      </c>
      <c r="DV76" s="43" t="str">
        <f aca="false">IF(Tasks[[#This Row],[_Res2Text]]="","",IF(Tasks[[#This Row],[_Res2Row]]&gt;0,INDEX(res_Name,Tasks[[#This Row],[_Res2Row]]),TRIM(LEFT(Tasks[[#This Row],[_Res2Text]],FIND("[",Tasks[[#This Row],[_Res2Text]]&amp;"[")-1))))</f>
        <v/>
      </c>
      <c r="DW7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6" s="43" t="n">
        <f aca="false">IF(OR(NOT(Tasks[[#This Row],[_IsLeaf]]=1),Tasks[[#This Row],[_Res2Row]]=0),0,N(Tasks[[#This Row],[_Days]])*HoursPerDay*IF(Tasks[[#This Row],[_Res2Units]]="",DefaultUnits,Tasks[[#This Row],[_Res2Units]]))</f>
        <v>0</v>
      </c>
      <c r="DY76" s="43" t="n">
        <f aca="false">IF(AND(AND(Tasks[[#This Row],[_IsLeaf]]=1,Tasks[[#This Row],[_LeafTotalWork]]&gt;0),Tasks[[#This Row],[_Res2Work]]&gt;0),Tasks[[#This Row],[_Res2Work]]/(Tasks[[#This Row],[_FinishWorkday]]-Tasks[[#This Row],[_StartWorkday]]+1),0)</f>
        <v>0</v>
      </c>
      <c r="DZ76" s="43" t="n">
        <f aca="false">Tasks[[#This Row],[_Res2WorkPerWD]]*MAX(0,Tasks[[#This Row],[_StartWorkday]]-1)</f>
        <v>0</v>
      </c>
      <c r="EA76" s="43" t="n">
        <f aca="false">Tasks[[#This Row],[_Res2Work]]*Tasks[[#This Row],[_LeafProgress]]</f>
        <v>0</v>
      </c>
      <c r="EB76" s="43" t="str">
        <f aca="false">IF(Tasks[[#This Row],[_Res3Text]]="","",IF(Tasks[[#This Row],[_Res3Row]]&gt;0,INDEX(res_Name,Tasks[[#This Row],[_Res3Row]]),TRIM(LEFT(Tasks[[#This Row],[_Res3Text]],FIND("[",Tasks[[#This Row],[_Res3Text]]&amp;"[")-1))))</f>
        <v/>
      </c>
      <c r="EC7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6" s="43" t="n">
        <f aca="false">IF(OR(NOT(Tasks[[#This Row],[_IsLeaf]]=1),Tasks[[#This Row],[_Res3Row]]=0),0,N(Tasks[[#This Row],[_Days]])*HoursPerDay*IF(Tasks[[#This Row],[_Res3Units]]="",DefaultUnits,Tasks[[#This Row],[_Res3Units]]))</f>
        <v>0</v>
      </c>
      <c r="EE76" s="43" t="n">
        <f aca="false">IF(AND(AND(Tasks[[#This Row],[_IsLeaf]]=1,Tasks[[#This Row],[_LeafTotalWork]]&gt;0),Tasks[[#This Row],[_Res3Work]]&gt;0),Tasks[[#This Row],[_Res3Work]]/(Tasks[[#This Row],[_FinishWorkday]]-Tasks[[#This Row],[_StartWorkday]]+1),0)</f>
        <v>0</v>
      </c>
      <c r="EF76" s="43" t="n">
        <f aca="false">Tasks[[#This Row],[_Res3WorkPerWD]]*MAX(0,Tasks[[#This Row],[_StartWorkday]]-1)</f>
        <v>0</v>
      </c>
      <c r="EG76" s="43" t="n">
        <f aca="false">Tasks[[#This Row],[_Res3Work]]*Tasks[[#This Row],[_LeafProgress]]</f>
        <v>0</v>
      </c>
      <c r="EH76" s="43" t="str">
        <f aca="false">IF(Tasks[[#This Row],[_Res4Text]]="","",IF(Tasks[[#This Row],[_Res4Row]]&gt;0,INDEX(res_Name,Tasks[[#This Row],[_Res4Row]]),TRIM(LEFT(Tasks[[#This Row],[_Res4Text]],FIND("[",Tasks[[#This Row],[_Res4Text]]&amp;"[")-1))))</f>
        <v/>
      </c>
      <c r="EI7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6" s="43" t="n">
        <f aca="false">IF(OR(NOT(Tasks[[#This Row],[_IsLeaf]]=1),Tasks[[#This Row],[_Res4Row]]=0),0,N(Tasks[[#This Row],[_Days]])*HoursPerDay*IF(Tasks[[#This Row],[_Res4Units]]="",DefaultUnits,Tasks[[#This Row],[_Res4Units]]))</f>
        <v>0</v>
      </c>
      <c r="EK76" s="43" t="n">
        <f aca="false">IF(AND(AND(Tasks[[#This Row],[_IsLeaf]]=1,Tasks[[#This Row],[_LeafTotalWork]]&gt;0),Tasks[[#This Row],[_Res4Work]]&gt;0),Tasks[[#This Row],[_Res4Work]]/(Tasks[[#This Row],[_FinishWorkday]]-Tasks[[#This Row],[_StartWorkday]]+1),0)</f>
        <v>0</v>
      </c>
      <c r="EL76" s="43" t="n">
        <f aca="false">Tasks[[#This Row],[_Res4WorkPerWD]]*MAX(0,Tasks[[#This Row],[_StartWorkday]]-1)</f>
        <v>0</v>
      </c>
      <c r="EM76" s="43" t="n">
        <f aca="false">Tasks[[#This Row],[_Res4Work]]*Tasks[[#This Row],[_LeafProgress]]</f>
        <v>0</v>
      </c>
      <c r="EN76" s="43" t="n">
        <f aca="false">IF(ISNUMBER(Tasks[[#This Row],[% Complete]]),Tasks[[#This Row],[% Complete]],IF(Tasks[[#This Row],[Stage]]="",0,IFERROR(INDEX(stg_Pct,MATCH(Tasks[[#This Row],[Stage]],stg_Name,0)),0)))</f>
        <v>0</v>
      </c>
      <c r="EO76" s="43" t="n">
        <f aca="false">IF(NOT(Tasks[[#This Row],[_IsLeaf]]=1),0,IF(N(Tasks[[#This Row],[Actual Finish]])&gt;0,1,MIN(1,Tasks[[#This Row],[_Pct]])))</f>
        <v>0</v>
      </c>
      <c r="EP76" s="43" t="n">
        <f aca="false">IF(OR(NOT(Tasks[[#This Row],[_IsLeaf]]=1),Tasks[[#This Row],[_Res1Row]]=0),0,N(Tasks[[#This Row],[_Days]])*HoursPerDay*IF(Tasks[[#This Row],[_Units1]]="",DefaultUnits,Tasks[[#This Row],[_Units1]]))</f>
        <v>0</v>
      </c>
      <c r="EQ76" s="43" t="n">
        <f aca="false">Tasks[[#This Row],[_LeafWork]]+Tasks[[#This Row],[_Res2Work]]+Tasks[[#This Row],[_Res3Work]]+Tasks[[#This Row],[_Res4Work]]</f>
        <v>0</v>
      </c>
      <c r="ER7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6" s="43" t="n">
        <f aca="false">IF(NOT(Tasks[[#This Row],[_IsLeaf]]=1),0,MAX(_xlfn.MAXIFS(Tasks[_Row],Tasks[_Pred1UID],Tasks[[#This Row],[UID]]),_xlfn.MAXIFS(Tasks[_Row],Tasks[_Pred2UID],Tasks[[#This Row],[UID]]),_xlfn.MAXIFS(Tasks[_Row],Tasks[_Pred3UID],Tasks[[#This Row],[UID]]),_xlfn.MAXIFS(Tasks[_Row],Tasks[_Pred4UID],Tasks[[#This Row],[UID]])))</f>
        <v>0</v>
      </c>
      <c r="FA7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6" s="91" t="str">
        <f aca="false">IF(NOT(Tasks[[#This Row],[_IsLeaf]]=1),"",IF(N(Tasks[[#This Row],[_Days]])&lt;=0,Tasks[[#This Row],[_LeafLateFinish]],WORKDAY.INTL(Tasks[[#This Row],[_LeafLateFinish]],-(Tasks[[#This Row],[_Days]]-1),WorkWeek,Holidays)))</f>
        <v/>
      </c>
      <c r="FD7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6" s="90" t="b">
        <f aca="false">AND(Tasks[[#This Row],[_IsLeaf]]=1,Tasks[[#This Row],[_LeafProgress]]&lt;1,N(Tasks[[#This Row],[_LeafTotalSlack]])&lt;=CriticalSlackDays)</f>
        <v>0</v>
      </c>
      <c r="FF76" s="43" t="n">
        <f aca="false">IF(AND(Tasks[[#This Row],[_IsLeaf]]=1,Tasks[[#This Row],[_ConstraintCode]]=1,Tasks[[#This Row],[Mode]]&lt;&gt;"Manual",N(Tasks[[#This Row],[Actual Start]])=0),MAX(0,N(Tasks[[#This Row],[Free Slack]])),0)</f>
        <v>0</v>
      </c>
      <c r="FG76" s="91" t="str">
        <f aca="false">IF(NOT(Tasks[[#This Row],[_IsLeaf]]=1),"",IF(Tasks[[#This Row],[_AlapShift]]=0,Tasks[[#This Row],[_LeafCalcStart]],WORKDAY.INTL(Tasks[[#This Row],[_LeafCalcStart]],Tasks[[#This Row],[_AlapShift]],WorkWeek,Holidays)))</f>
        <v/>
      </c>
      <c r="FH76" s="91" t="str">
        <f aca="false">IF(NOT(Tasks[[#This Row],[_IsLeaf]]=1),"",IF(Tasks[[#This Row],[_AlapShift]]=0,Tasks[[#This Row],[_LeafCalcFinish]],WORKDAY.INTL(Tasks[[#This Row],[_LeafCalcFinish]],Tasks[[#This Row],[_AlapShift]],WorkWeek,Holidays)))</f>
        <v/>
      </c>
      <c r="FI76" s="91" t="str">
        <f aca="false">IF(NOT(Tasks[[#This Row],[_IsLeaf]]=1),"",IF(Tasks[[#This Row],[_AlapShift]]=0,Tasks[[#This Row],[_LeafFcstStart]],WORKDAY.INTL(Tasks[[#This Row],[_LeafFcstStart]],Tasks[[#This Row],[_AlapShift]],WorkWeek,Holidays)))</f>
        <v/>
      </c>
      <c r="FJ76" s="91" t="str">
        <f aca="false">IF(NOT(Tasks[[#This Row],[_IsLeaf]]=1),"",IF(Tasks[[#This Row],[_AlapShift]]=0,Tasks[[#This Row],[_LeafFcstFinish]],WORKDAY.INTL(Tasks[[#This Row],[_LeafFcstFinish]],Tasks[[#This Row],[_AlapShift]],WorkWeek,Holidays)))</f>
        <v/>
      </c>
      <c r="FK76" s="91" t="str">
        <f aca="false">IF(Tasks[[#This Row],[Task Name]]="","",IF(Tasks[[#This Row],[_IsSummary]],MIN(INDEX(Tasks[_ShownCalcStart],Tasks[[#This Row],[_Row]]+1):INDEX(Tasks[_ShownCalcStart],Tasks[[#This Row],[_Row]]+Tasks[[#This Row],[_Descendants]])),Tasks[[#This Row],[_ShownCalcStart]]))</f>
        <v/>
      </c>
      <c r="FL76" s="91" t="str">
        <f aca="false">IF(Tasks[[#This Row],[Task Name]]="","",IF(Tasks[[#This Row],[_IsSummary]],MAX(INDEX(Tasks[_ShownCalcFinish],Tasks[[#This Row],[_Row]]+1):INDEX(Tasks[_ShownCalcFinish],Tasks[[#This Row],[_Row]]+Tasks[[#This Row],[_Descendants]])),Tasks[[#This Row],[_ShownCalcFinish]]))</f>
        <v/>
      </c>
      <c r="FM7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6" s="43" t="n">
        <f aca="false">IF(AND(Tasks[[#This Row],[_IsLeaf]]=1,Tasks[[#This Row],[_LeafTotalWork]]&gt;0),NETWORKDAYS.INTL(ProjectStart,Tasks[[#This Row],[_ShownFcstStart]],WorkWeek,Holidays),0)</f>
        <v>0</v>
      </c>
      <c r="FZ76" s="43" t="n">
        <f aca="false">IF(AND(Tasks[[#This Row],[_IsLeaf]]=1,Tasks[[#This Row],[_LeafTotalWork]]&gt;0),MAX(Tasks[[#This Row],[_StartWorkday]],NETWORKDAYS.INTL(ProjectStart,Tasks[[#This Row],[_ShownFcstFinish]],WorkWeek,Holidays)),0)</f>
        <v>0</v>
      </c>
      <c r="GA76" s="43" t="n">
        <f aca="false">IF(AND(Tasks[[#This Row],[_IsLeaf]]=1,Tasks[[#This Row],[_LeafTotalWork]]&gt;0),Tasks[[#This Row],[_LeafWork]]/(Tasks[[#This Row],[_FinishWorkday]]-Tasks[[#This Row],[_StartWorkday]]+1),0)</f>
        <v>0</v>
      </c>
      <c r="GB76" s="43" t="n">
        <f aca="false">Tasks[[#This Row],[_WorkPerWorkday]]*(Tasks[[#This Row],[_StartWorkday]]-1)</f>
        <v>-0</v>
      </c>
      <c r="GC76" s="43" t="n">
        <f aca="false">IF(Tasks[[#This Row],[_IsLeaf]]=1,MAX(N(Tasks[[#This Row],[_Days]]),0.1),0)</f>
        <v>0</v>
      </c>
      <c r="GD76" s="43" t="n">
        <f aca="false">Tasks[[#This Row],[_WeightDur]]*Tasks[[#This Row],[_LeafProgress]]</f>
        <v>0</v>
      </c>
      <c r="GE76" s="43" t="n">
        <f aca="false">Tasks[[#This Row],[_WeightDur]]*Tasks[[#This Row],[_PlannedPct]]</f>
        <v>0</v>
      </c>
      <c r="GF7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6" s="43" t="str">
        <f aca="false">IF(AND(Tasks[[#This Row],[_IsLeaf]]=1,N(Tasks[[#This Row],[_Days]])=0,Tasks[[#This Row],[_LeafProgress]]&lt;1),Tasks[[#This Row],[_ShownFcstFinish]]+Tasks[[#This Row],[_Row]]/100000,"")</f>
        <v/>
      </c>
      <c r="GH7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6" s="43" t="str">
        <f aca="false">IF(Tasks[[#This Row],[Task Name]]="","",LEFT(Tasks[[#This Row],[WBS]],FIND(".",Tasks[[#This Row],[WBS]]&amp;".")-1))</f>
        <v/>
      </c>
      <c r="GJ76" s="43" t="str">
        <f aca="false">IF(AND(Tasks[[#This Row],[Task Name]]&lt;&gt;"",Tasks[[#This Row],[_Level]]=1),Tasks[[#This Row],[_Row]],"")</f>
        <v/>
      </c>
      <c r="GK76" s="43" t="str">
        <f aca="false">IF(AND(Tasks[[#This Row],[_IsLeaf]]=1,N(Tasks[[#This Row],[_Days]])=0),Tasks[[#This Row],[Planned Finish]]+Tasks[[#This Row],[_Row]]/100000,"")</f>
        <v/>
      </c>
      <c r="GL76" s="43" t="str">
        <f aca="false">IF(AND(Tasks[[#This Row],[_IsLeaf]]=1,Tasks[[#This Row],[_LeafProgress]]&lt;1,OR(N(Tasks[[#This Row],[Finish Var]])&gt;0,Tasks[[#This Row],[Status]]="Late Start")),MAX(0,Tasks[[#This Row],[Finish Var]])+1-Tasks[[#This Row],[_Row]]/1000000,"")</f>
        <v/>
      </c>
      <c r="GM76" s="43" t="str">
        <f aca="false">IF(AND(Tasks[[#This Row],[_IsLeaf]]=1,N(Tasks[[#This Row],[Actual Start]])=0,Tasks[[#This Row],[_ShownFcstStart]]&gt;=StatusDate,Tasks[[#This Row],[_ShownFcstStart]]&lt;=LookaheadEnd),Tasks[[#This Row],[_ShownFcstStart]]+Tasks[[#This Row],[_Row]]/100000,"")</f>
        <v/>
      </c>
      <c r="GN76" s="43" t="str">
        <f aca="false">IF(AND(Tasks[[#This Row],[_IsLeaf]]=1,Tasks[[#This Row],[_LeafProgress]]&lt;1,Tasks[[#This Row],[_ShownFcstFinish]]&gt;=StatusDate,Tasks[[#This Row],[_ShownFcstFinish]]&lt;=LookaheadEnd),Tasks[[#This Row],[_ShownFcstFinish]]+Tasks[[#This Row],[_Row]]/100000,"")</f>
        <v/>
      </c>
      <c r="GO76" s="43" t="str">
        <f aca="false">IF(Tasks[[#This Row],[_LeafCritical]],Tasks[[#This Row],[_ShownFcstStart]]+Tasks[[#This Row],[_Row]]/100000,"")</f>
        <v/>
      </c>
      <c r="GP76" s="43" t="n">
        <f aca="false">Tasks[[#This Row],[_LeafWork]]*Tasks[[#This Row],[_LeafProgress]]</f>
        <v>0</v>
      </c>
      <c r="GQ76" s="91" t="str">
        <f aca="false">IF(AND(Tasks[[#This Row],[_IsLeaf]]=1,Tasks[[#This Row],[_LeafProgress]]&gt;=1),IF(N(Tasks[[#This Row],[Actual Finish]])&gt;0,Tasks[[#This Row],[Actual Finish]],Tasks[[#This Row],[_ShownFcstFinish]]),"")</f>
        <v/>
      </c>
      <c r="GR76" s="43" t="n">
        <f aca="false">IF(Tasks[[#This Row],[_IsLeaf]]=1,N(Tasks[[#This Row],[Story Points]]),0)</f>
        <v>0</v>
      </c>
      <c r="GS76" s="43" t="str">
        <f aca="false">""</f>
        <v/>
      </c>
      <c r="GT76" s="90" t="b">
        <f aca="false">IF(Tasks[[#This Row],[Task Name]]="",FALSE(),AND(Tasks[[#This Row],[_IsLeaf]]=1,N(Tasks[[#This Row],[_Days]])=0))</f>
        <v>0</v>
      </c>
      <c r="GU76" s="91" t="n">
        <f aca="false">IF(Tasks[[#This Row],[Task Name]]="",0,IF(AND(Tasks[[#This Row],[_IsLeaf]]=1,NOT(Tasks[[#This Row],[_IsMilestone]]),N(Tasks[[#This Row],[Progress]])&gt;0),Tasks[[#This Row],[Start]],0))</f>
        <v>0</v>
      </c>
      <c r="GV76" s="91" t="n">
        <f aca="false">IF(Tasks[[#This Row],[_DoneFrom]]=0,0,IF(Tasks[[#This Row],[Progress]]&gt;=1,Tasks[[#This Row],[Finish]],MAX(Tasks[[#This Row],[_DoneFrom]],Tasks[[#This Row],[Start]]+ROUND((Tasks[[#This Row],[Finish]]-Tasks[[#This Row],[Start]]+1)*Tasks[[#This Row],[Progress]],0)-1)))</f>
        <v>0</v>
      </c>
      <c r="GW76" s="91" t="n">
        <f aca="false">IF(Tasks[[#This Row],[Task Name]]="",0,IF(OR(NOT(Tasks[[#This Row],[_IsLeaf]]=1),Tasks[[#This Row],[_IsMilestone]],N(Tasks[[#This Row],[Progress]])&gt;=1),0,IF(Tasks[[#This Row],[_DoneTo]]&gt;0,Tasks[[#This Row],[_DoneTo]]+1,Tasks[[#This Row],[Start]])))</f>
        <v>0</v>
      </c>
      <c r="GX76" s="91" t="n">
        <f aca="false">IF(Tasks[[#This Row],[_RemFrom]]=0,0,Tasks[[#This Row],[Finish]])</f>
        <v>0</v>
      </c>
      <c r="GY76" s="90" t="b">
        <f aca="false">IF(Tasks[[#This Row],[Task Name]]="",FALSE(),OR(NOT(BaselineSet),N(Tasks[[#This Row],[Baseline Start]])&gt;0))</f>
        <v>0</v>
      </c>
      <c r="GZ7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6" s="92" t="str">
        <f aca="false">IF(Tasks[[#This Row],[_IsLeaf]]=1,Tasks[[#This Row],[_Row]],"")</f>
        <v/>
      </c>
      <c r="HD76" s="92" t="str">
        <f aca="false">IFERROR(INDEX(Tasks[UID],SMALL(Tasks[_PickKey],Tasks[[#This Row],[_Row]]))&amp;" "&amp;INDEX(Tasks[Task Name],SMALL(Tasks[_PickKey],Tasks[[#This Row],[_Row]])),"")</f>
        <v/>
      </c>
      <c r="HE76" s="43" t="str">
        <f aca="false">IF(Tasks[[#This Row],[Task Name]]="","",IF(Tasks[[#This Row],[_IsSummary]],NETWORKDAYS.INTL(Tasks[[#This Row],[Start]],Tasks[[#This Row],[Finish]],WorkWeek,Holidays),N(Tasks[[#This Row],[_Days]])))</f>
        <v/>
      </c>
      <c r="HF76" s="43" t="n">
        <f aca="false">IF(Tasks[[#This Row],[Expected]]="",0,((Tasks[[#This Row],[Pessimistic]]-Tasks[[#This Row],[Optimistic]])/6)^2)</f>
        <v>0</v>
      </c>
      <c r="HG76" s="43" t="n">
        <f aca="false">IF(Tasks[[#This Row],[Expected]]="",0,Tasks[[#This Row],[Expected]]-N(Tasks[[#This Row],[_Days]]))</f>
        <v>0</v>
      </c>
    </row>
    <row r="77" customFormat="false" ht="15" hidden="false" customHeight="false" outlineLevel="0" collapsed="false">
      <c r="A77" s="21" t="str">
        <f aca="false">IF(Tasks[[#This Row],[Task Name]]="","",COUNTA(Tasks[[#Headers],[Task Name]]:Tasks[[#This Row],[Task Name]])-1)</f>
        <v/>
      </c>
      <c r="B77" s="22" t="n">
        <v>85</v>
      </c>
      <c r="C77" s="22"/>
      <c r="D77" s="23"/>
      <c r="E77" s="22"/>
      <c r="F77" s="23"/>
      <c r="G77" s="22"/>
      <c r="H77" s="22"/>
      <c r="I77" s="23"/>
      <c r="J77" s="22"/>
      <c r="K77" s="22"/>
      <c r="L77" s="23"/>
      <c r="M77" s="22"/>
      <c r="N77" s="22"/>
      <c r="O77" s="23"/>
      <c r="P77" s="22"/>
      <c r="Q77" s="22"/>
      <c r="R77" s="23"/>
      <c r="S77" s="23"/>
      <c r="T77" s="84"/>
      <c r="U77" s="23"/>
      <c r="V77" s="84"/>
      <c r="W77" s="23"/>
      <c r="X77" s="84"/>
      <c r="Y77" s="23"/>
      <c r="Z77" s="84"/>
      <c r="AA77" s="23"/>
      <c r="AB77" s="23"/>
      <c r="AC77" s="7"/>
      <c r="AD77" s="7"/>
      <c r="AE77" s="63" t="str">
        <f aca="false">IF(Tasks[[#This Row],[Task Name]]="","",IF(Tasks[[#This Row],[_IsSummary]],MIN(INDEX(Tasks[_ShownFcstStart],Tasks[[#This Row],[_Row]]+1):INDEX(Tasks[_ShownFcstStart],Tasks[[#This Row],[_Row]]+Tasks[[#This Row],[_Descendants]])),Tasks[[#This Row],[_ShownFcstStart]]))</f>
        <v/>
      </c>
      <c r="AF77" s="63" t="str">
        <f aca="false">IF(Tasks[[#This Row],[Task Name]]="","",IF(Tasks[[#This Row],[_IsSummary]],MAX(INDEX(Tasks[_ShownFcstFinish],Tasks[[#This Row],[_Row]]+1):INDEX(Tasks[_ShownFcstFinish],Tasks[[#This Row],[_Row]]+Tasks[[#This Row],[_Descendants]])),Tasks[[#This Row],[_ShownFcstFinish]]))</f>
        <v/>
      </c>
      <c r="AG77" s="21" t="str">
        <f aca="false">""</f>
        <v/>
      </c>
      <c r="AH77" s="23"/>
      <c r="AI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7" s="7"/>
      <c r="AK77" s="22"/>
      <c r="AL77" s="23"/>
      <c r="AM77" s="7"/>
      <c r="AN77" s="47" t="str">
        <f aca="false">IF(Tasks[[#This Row],[Task Name]]="","",IF(Tasks[[#This Row],[Finish]]&gt;=Tasks[[#This Row],[Planned Finish]],NETWORKDAYS.INTL(Tasks[[#This Row],[Planned Finish]],Tasks[[#This Row],[Finish]],WorkWeek,Holidays)-1,1-NETWORKDAYS.INTL(Tasks[[#This Row],[Finish]],Tasks[[#This Row],[Planned Finish]],WorkWeek,Holidays)))</f>
        <v/>
      </c>
      <c r="AO77" s="21" t="str">
        <f aca="false">IF(Tasks[[#This Row],[Task Name]]="","",IF(Tasks[[#This Row],[Progress]]&gt;=1,"Complete",IF(OR(N(Tasks[[#This Row],[Actual Start]])&gt;0,Tasks[[#This Row],[Progress]]&gt;0),IF(Tasks[[#This Row],[Finish Var]]&gt;0,"Behind","In Progress"),IF(Tasks[[#This Row],[Planned Start]]&lt;StatusDate,"Late Start","Not Started"))))</f>
        <v/>
      </c>
      <c r="AP77" s="21" t="str">
        <f aca="false">IF(Tasks[[#This Row],[Task Name]]="","",IF(IF(Tasks[[#This Row],[_IsSummary]],COUNTIF(INDEX(Tasks[_LeafCritical],Tasks[[#This Row],[_Row]]+1):INDEX(Tasks[_LeafCritical],Tasks[[#This Row],[_Row]]+Tasks[[#This Row],[_Descendants]]),TRUE())&gt;0,Tasks[[#This Row],[_LeafCritical]]),"Yes",""))</f>
        <v/>
      </c>
      <c r="AQ77" s="63" t="str">
        <f aca="false">IF(Tasks[[#This Row],[Task Name]]="","",IF(N(Tasks[[#This Row],[Baseline Start]])&gt;0,Tasks[[#This Row],[Baseline Start]],Tasks[[#This Row],[_CalcStart]]))</f>
        <v/>
      </c>
      <c r="AR77" s="63" t="str">
        <f aca="false">IF(Tasks[[#This Row],[Task Name]]="","",IF(N(Tasks[[#This Row],[Baseline Finish]])&gt;0,Tasks[[#This Row],[Baseline Finish]],Tasks[[#This Row],[_CalcFinish]]))</f>
        <v/>
      </c>
      <c r="AS77" s="47" t="str">
        <f aca="false">IF(Tasks[[#This Row],[Task Name]]="","",IF(Tasks[[#This Row],[Start]]&gt;=Tasks[[#This Row],[Planned Start]],NETWORKDAYS.INTL(Tasks[[#This Row],[Planned Start]],Tasks[[#This Row],[Start]],WorkWeek,Holidays)-1,1-NETWORKDAYS.INTL(Tasks[[#This Row],[Start]],Tasks[[#This Row],[Planned Start]],WorkWeek,Holidays)))</f>
        <v/>
      </c>
      <c r="AT77" s="63" t="str">
        <f aca="false">IF(Tasks[[#This Row],[Task Name]]="","",IF(Tasks[[#This Row],[_IsSummary]],MIN(INDEX(Tasks[_LeafLateStart],Tasks[[#This Row],[_Row]]+1):INDEX(Tasks[_LeafLateStart],Tasks[[#This Row],[_Row]]+Tasks[[#This Row],[_Descendants]])),Tasks[[#This Row],[_LeafLateStart]]))</f>
        <v/>
      </c>
      <c r="AU77" s="63" t="str">
        <f aca="false">IF(Tasks[[#This Row],[Task Name]]="","",IF(Tasks[[#This Row],[_IsSummary]],MAX(INDEX(Tasks[_LeafLateFinish],Tasks[[#This Row],[_Row]]+1):INDEX(Tasks[_LeafLateFinish],Tasks[[#This Row],[_Row]]+Tasks[[#This Row],[_Descendants]])),Tasks[[#This Row],[_LeafLateFinish]]))</f>
        <v/>
      </c>
      <c r="AV77" s="47" t="str">
        <f aca="false">IF(Tasks[[#This Row],[Task Name]]="","",IF(Tasks[[#This Row],[_IsSummary]],MIN(INDEX(Tasks[_LeafTotalSlack],Tasks[[#This Row],[_Row]]+1):INDEX(Tasks[_LeafTotalSlack],Tasks[[#This Row],[_Row]]+Tasks[[#This Row],[_Descendants]])),Tasks[[#This Row],[_LeafTotalSlack]]))</f>
        <v/>
      </c>
      <c r="AW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5"/>
      <c r="BA7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1" t="str">
        <f aca="false">IF(Tasks[[#This Row],[Task Name]]="","",IF(Tasks[[#This Row],[_Level]]&lt;=OutlineShowLevel,"Yes","No"))</f>
        <v/>
      </c>
      <c r="BE77" s="86" t="str">
        <f aca="false">IF(Tasks[[#This Row],[Task Name]]="","",IF(Tasks[[#This Row],[_IsSummary]],SUM(INDEX(Tasks[_LeafTotalWork],Tasks[[#This Row],[_Row]]+1):INDEX(Tasks[_LeafTotalWork],Tasks[[#This Row],[_Row]]+Tasks[[#This Row],[_Descendants]])),Tasks[[#This Row],[_LeafTotalWork]]))</f>
        <v/>
      </c>
      <c r="BF77" s="23"/>
      <c r="BG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7" s="21" t="str">
        <f aca="false">""</f>
        <v/>
      </c>
      <c r="BI77" s="87"/>
      <c r="BJ77" s="22"/>
      <c r="BK77" s="47" t="str">
        <f aca="false">IF(OR(Tasks[[#This Row],[Task Name]]="",Tasks[[#This Row],[Baseline Duration]]=""),"",Tasks[[#This Row],[_SpanDays]]-N(Tasks[[#This Row],[Baseline Duration]]))</f>
        <v/>
      </c>
      <c r="BL77" s="86" t="str">
        <f aca="false">IF(OR(Tasks[[#This Row],[Task Name]]="",Tasks[[#This Row],[Baseline Work]]=""),"",Tasks[[#This Row],[Work]]-N(Tasks[[#This Row],[Baseline Work]]))</f>
        <v/>
      </c>
      <c r="BM77" s="63" t="str">
        <f aca="false">IF(Tasks[[#This Row],[Task Name]]="","",IF(OR(TakeBaseline="Yes",N(Tasks[[#This Row],[Baseline Start]])=0),Tasks[[#This Row],[Start]],Tasks[[#This Row],[Baseline Start]]))</f>
        <v/>
      </c>
      <c r="BN77" s="63" t="str">
        <f aca="false">IF(Tasks[[#This Row],[Task Name]]="","",IF(OR(TakeBaseline="Yes",N(Tasks[[#This Row],[Baseline Finish]])=0),Tasks[[#This Row],[Finish]],Tasks[[#This Row],[Baseline Finish]]))</f>
        <v/>
      </c>
      <c r="BO77" s="21" t="str">
        <f aca="false">IF(Tasks[[#This Row],[Task Name]]="","",IF(OR(TakeBaseline="Yes",N(Tasks[[#This Row],[Baseline Duration]])=0),Tasks[[#This Row],[_SpanDays]],Tasks[[#This Row],[Baseline Duration]]))</f>
        <v/>
      </c>
      <c r="BP77" s="86" t="str">
        <f aca="false">IF(Tasks[[#This Row],[Task Name]]="","",IF(OR(TakeBaseline="Yes",N(Tasks[[#This Row],[Baseline Work]])=0),Tasks[[#This Row],[Work]],Tasks[[#This Row],[Baseline Work]]))</f>
        <v/>
      </c>
      <c r="BQ77" s="7"/>
      <c r="BR77" s="7"/>
      <c r="BS77" s="22"/>
      <c r="BT77" s="88"/>
      <c r="BU77" s="23"/>
      <c r="BV77" s="23"/>
      <c r="BW77" s="23"/>
      <c r="BX77" s="89" t="str">
        <f aca="false">IF(AND(Tasks[[#This Row],[_IsLeaf]]=1,ISNUMBER(Tasks[[#This Row],[Optimistic]]),ISNUMBER(Tasks[[#This Row],[Pessimistic]])),ROUND((Tasks[[#This Row],[Optimistic]]+4*N(Tasks[[#This Row],[_Days]])+Tasks[[#This Row],[Pessimistic]])/6,1),"")</f>
        <v/>
      </c>
      <c r="BY77" s="87"/>
      <c r="BZ77" s="87"/>
      <c r="CA77" s="22"/>
      <c r="CB77" s="43" t="str">
        <f aca="false">IF(Tasks[[#This Row],[Task Name]]="","",MAX(1,N(Tasks[[#This Row],[Level]])))</f>
        <v/>
      </c>
      <c r="CC77" s="43" t="n">
        <f aca="false">ROW()-ROW(Tasks[[#Headers],[ID]])</f>
        <v>72</v>
      </c>
      <c r="CD77" s="43" t="n">
        <f aca="false">IF(OR(Tasks[[#This Row],[Task Name]]="",Tasks[[#This Row],[_Level]]&lt;=1),0,IFERROR(LOOKUP(2,1/(Tasks[[#Headers],[_Level]]:Tasks[[#This Row],[_Level]]=Tasks[[#This Row],[_Level]]-1),ROW(Tasks[[#Headers],[_Level]]:Tasks[[#This Row],[_Level]])),0))</f>
        <v>0</v>
      </c>
      <c r="CE77" s="43" t="n">
        <f aca="false">IFERROR(N(INDEX(Tasks[_Level],Tasks[[#This Row],[_Row]]+1)),0)</f>
        <v>0</v>
      </c>
      <c r="CF77" s="90" t="b">
        <f aca="false">AND(Tasks[[#This Row],[Task Name]]&lt;&gt;"",Tasks[[#This Row],[_NextLevel]]&gt;Tasks[[#This Row],[_Level]])</f>
        <v>0</v>
      </c>
      <c r="CG77" s="43" t="n">
        <f aca="false">IF(Tasks[[#This Row],[_IsSummary]],COUNTIF(Tasks[WBS],Tasks[[#This Row],[WBS]]&amp;".*"),0)</f>
        <v>0</v>
      </c>
      <c r="CH77" s="43" t="n">
        <f aca="false">IF(AND(Tasks[[#This Row],[Task Name]]&lt;&gt;"",NOT(Tasks[[#This Row],[_IsSummary]])),1,0)</f>
        <v>0</v>
      </c>
      <c r="CI77" s="43" t="n">
        <f aca="false">IF(N(Tasks[[#This Row],[_Pred1UID]])=0,0,IFERROR(MATCH(Tasks[[#This Row],[_Pred1UID]],Tasks[UID],0),-1))</f>
        <v>0</v>
      </c>
      <c r="CJ77" s="43" t="n">
        <f aca="false">IF(N(Tasks[[#This Row],[_Pred2UID]])=0,0,IFERROR(MATCH(Tasks[[#This Row],[_Pred2UID]],Tasks[UID],0),-1))</f>
        <v>0</v>
      </c>
      <c r="CK77" s="43" t="n">
        <f aca="false">IF(N(Tasks[[#This Row],[_Pred3UID]])=0,0,IFERROR(MATCH(Tasks[[#This Row],[_Pred3UID]],Tasks[UID],0),-1))</f>
        <v>0</v>
      </c>
      <c r="CL77" s="43" t="n">
        <f aca="false">IF(N(Tasks[[#This Row],[_Pred4UID]])=0,0,IFERROR(MATCH(Tasks[[#This Row],[_Pred4UID]],Tasks[UID],0),-1))</f>
        <v>0</v>
      </c>
      <c r="CM7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7" s="91" t="n">
        <f aca="false">IF(OR(Tasks[[#This Row],[_ConstraintCode]]=2,Tasks[[#This Row],[_ConstraintCode]]=3,Tasks[[#This Row],[_ConstraintCode]]=4,Tasks[[#This Row],[_ConstraintCode]]=6),Tasks[[#This Row],[_ConstraintStart]],0)</f>
        <v>0</v>
      </c>
      <c r="CP77" s="91" t="n">
        <f aca="false">IF(OR(Tasks[[#This Row],[_ConstraintCode]]=2,Tasks[[#This Row],[_ConstraintCode]]=3,Tasks[[#This Row],[_ConstraintCode]]=5,Tasks[[#This Row],[_ConstraintCode]]=7),Tasks[[#This Row],[_ConstraintStart]],2958465)</f>
        <v>2958465</v>
      </c>
      <c r="CQ7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7" s="91" t="str">
        <f aca="false">IF(NOT(Tasks[[#This Row],[_IsLeaf]]=1),"",IF(N(Tasks[[#This Row],[_Days]])&lt;=0,Tasks[[#This Row],[_LeafCalcStart]],WORKDAY.INTL(Tasks[[#This Row],[_LeafCalcStart]],Tasks[[#This Row],[_Days]]-1,WorkWeek,Holidays)))</f>
        <v/>
      </c>
      <c r="CS7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7" s="43" t="str">
        <f aca="false">IF(Tasks[[#This Row],[_Predecessors]]="","",TRIM(MID(SUBSTITUTE(SUBSTITUTE(SUBSTITUTE(UPPER(Tasks[[#This Row],[_Predecessors]]),";",",")," ",""),",",REPT(" ",99)),1,99)))</f>
        <v/>
      </c>
      <c r="CV77" s="43" t="str">
        <f aca="false">IF(Tasks[[#This Row],[_Pred1Text]]="","",IFERROR(VALUE(LEFT(Tasks[[#This Row],[_Pred1Text]],MIN(FIND("F",Tasks[[#This Row],[_Pred1Text]]&amp;"F"),FIND("S",Tasks[[#This Row],[_Pred1Text]]&amp;"S"),FIND("+",Tasks[[#This Row],[_Pred1Text]]&amp;"+"),FIND("-",Tasks[[#This Row],[_Pred1Text]]&amp;"-"))-1)),""))</f>
        <v/>
      </c>
      <c r="CW7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7" s="43" t="str">
        <f aca="false">IF(Tasks[[#This Row],[_Pred1Text]]="","",TRIM(MID(SUBSTITUTE(SUBSTITUTE(SUBSTITUTE(UPPER(Tasks[[#This Row],[_Predecessors]]),";",",")," ",""),",",REPT(" ",99)),100,99)))</f>
        <v/>
      </c>
      <c r="CZ77" s="43" t="str">
        <f aca="false">IF(Tasks[[#This Row],[_Pred2Text]]="","",IFERROR(VALUE(LEFT(Tasks[[#This Row],[_Pred2Text]],MIN(FIND("F",Tasks[[#This Row],[_Pred2Text]]&amp;"F"),FIND("S",Tasks[[#This Row],[_Pred2Text]]&amp;"S"),FIND("+",Tasks[[#This Row],[_Pred2Text]]&amp;"+"),FIND("-",Tasks[[#This Row],[_Pred2Text]]&amp;"-"))-1)),""))</f>
        <v/>
      </c>
      <c r="DA7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7" s="43" t="str">
        <f aca="false">IF(Tasks[[#This Row],[_Pred2Text]]="","",TRIM(MID(SUBSTITUTE(SUBSTITUTE(SUBSTITUTE(UPPER(Tasks[[#This Row],[_Predecessors]]),";",",")," ",""),",",REPT(" ",99)),199,99)))</f>
        <v/>
      </c>
      <c r="DD77" s="43" t="str">
        <f aca="false">IF(Tasks[[#This Row],[_Pred3Text]]="","",IFERROR(VALUE(LEFT(Tasks[[#This Row],[_Pred3Text]],MIN(FIND("F",Tasks[[#This Row],[_Pred3Text]]&amp;"F"),FIND("S",Tasks[[#This Row],[_Pred3Text]]&amp;"S"),FIND("+",Tasks[[#This Row],[_Pred3Text]]&amp;"+"),FIND("-",Tasks[[#This Row],[_Pred3Text]]&amp;"-"))-1)),""))</f>
        <v/>
      </c>
      <c r="DE7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7" s="43" t="str">
        <f aca="false">IF(Tasks[[#This Row],[_Pred3Text]]="","",TRIM(MID(SUBSTITUTE(SUBSTITUTE(SUBSTITUTE(UPPER(Tasks[[#This Row],[_Predecessors]]),";",",")," ",""),",",REPT(" ",99)),298,99)))</f>
        <v/>
      </c>
      <c r="DH77" s="43" t="str">
        <f aca="false">IF(Tasks[[#This Row],[_Pred4Text]]="","",IFERROR(VALUE(LEFT(Tasks[[#This Row],[_Pred4Text]],MIN(FIND("F",Tasks[[#This Row],[_Pred4Text]]&amp;"F"),FIND("S",Tasks[[#This Row],[_Pred4Text]]&amp;"S"),FIND("+",Tasks[[#This Row],[_Pred4Text]]&amp;"+"),FIND("-",Tasks[[#This Row],[_Pred4Text]]&amp;"-"))-1)),""))</f>
        <v/>
      </c>
      <c r="DI7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7" s="43" t="str">
        <f aca="false">IF(OR(Tasks[[#This Row],[Task Name]]="",Tasks[[#This Row],[_Resources]]=""),"",TRIM(MID(SUBSTITUTE(Tasks[[#This Row],[_Resources]],",",REPT(" ",99)),1,99)))</f>
        <v/>
      </c>
      <c r="DL77" s="43" t="str">
        <f aca="false">IF(Tasks[[#This Row],[_Res1Text]]="","",TRIM(MID(SUBSTITUTE(Tasks[[#This Row],[_Resources]],",",REPT(" ",99)),100,99)))</f>
        <v/>
      </c>
      <c r="DM77" s="43" t="str">
        <f aca="false">IF(Tasks[[#This Row],[_Res2Text]]="","",TRIM(MID(SUBSTITUTE(Tasks[[#This Row],[_Resources]],",",REPT(" ",99)),199,99)))</f>
        <v/>
      </c>
      <c r="DN77" s="43" t="str">
        <f aca="false">IF(Tasks[[#This Row],[_Res3Text]]="","",TRIM(MID(SUBSTITUTE(Tasks[[#This Row],[_Resources]],",",REPT(" ",99)),298,99)))</f>
        <v/>
      </c>
      <c r="DO77" s="43" t="n">
        <f aca="false">IF(Tasks[[#This Row],[_Res1Text]]="",0,IFERROR(MATCH(TRIM(LEFT(Tasks[[#This Row],[_Res1Text]],FIND("[",Tasks[[#This Row],[_Res1Text]]&amp;"[")-1)),res_Name,0),IFERROR(MATCH(TRIM(LEFT(Tasks[[#This Row],[_Res1Text]],FIND("[",Tasks[[#This Row],[_Res1Text]]&amp;"[")-1)),res_Initials,0),0)))</f>
        <v>0</v>
      </c>
      <c r="DP77" s="43" t="n">
        <f aca="false">IF(Tasks[[#This Row],[_Res2Text]]="",0,IFERROR(MATCH(TRIM(LEFT(Tasks[[#This Row],[_Res2Text]],FIND("[",Tasks[[#This Row],[_Res2Text]]&amp;"[")-1)),res_Name,0),IFERROR(MATCH(TRIM(LEFT(Tasks[[#This Row],[_Res2Text]],FIND("[",Tasks[[#This Row],[_Res2Text]]&amp;"[")-1)),res_Initials,0),0)))</f>
        <v>0</v>
      </c>
      <c r="DQ77" s="43" t="n">
        <f aca="false">IF(Tasks[[#This Row],[_Res3Text]]="",0,IFERROR(MATCH(TRIM(LEFT(Tasks[[#This Row],[_Res3Text]],FIND("[",Tasks[[#This Row],[_Res3Text]]&amp;"[")-1)),res_Name,0),IFERROR(MATCH(TRIM(LEFT(Tasks[[#This Row],[_Res3Text]],FIND("[",Tasks[[#This Row],[_Res3Text]]&amp;"[")-1)),res_Initials,0),0)))</f>
        <v>0</v>
      </c>
      <c r="DR77" s="43" t="n">
        <f aca="false">IF(Tasks[[#This Row],[_Res4Text]]="",0,IFERROR(MATCH(TRIM(LEFT(Tasks[[#This Row],[_Res4Text]],FIND("[",Tasks[[#This Row],[_Res4Text]]&amp;"[")-1)),res_Name,0),IFERROR(MATCH(TRIM(LEFT(Tasks[[#This Row],[_Res4Text]],FIND("[",Tasks[[#This Row],[_Res4Text]]&amp;"[")-1)),res_Initials,0),0)))</f>
        <v>0</v>
      </c>
      <c r="DS77" s="43" t="str">
        <f aca="false">IF(Tasks[[#This Row],[_Res1Text]]="","",IF(Tasks[[#This Row],[_Res1Row]]&gt;0,INDEX(res_Name,Tasks[[#This Row],[_Res1Row]]),TRIM(LEFT(Tasks[[#This Row],[_Res1Text]],FIND("[",Tasks[[#This Row],[_Res1Text]]&amp;"[")-1))))</f>
        <v/>
      </c>
      <c r="DT7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7" s="43" t="n">
        <f aca="false">IF(NOT(Tasks[[#This Row],[_IsLeaf]]=1),0,(Tasks[[#This Row],[_Resource1]]&lt;&gt;"")+(Tasks[[#This Row],[_Res2]]&lt;&gt;"")+(Tasks[[#This Row],[_Res3]]&lt;&gt;"")+(Tasks[[#This Row],[_Res4]]&lt;&gt;""))</f>
        <v>0</v>
      </c>
      <c r="DV77" s="43" t="str">
        <f aca="false">IF(Tasks[[#This Row],[_Res2Text]]="","",IF(Tasks[[#This Row],[_Res2Row]]&gt;0,INDEX(res_Name,Tasks[[#This Row],[_Res2Row]]),TRIM(LEFT(Tasks[[#This Row],[_Res2Text]],FIND("[",Tasks[[#This Row],[_Res2Text]]&amp;"[")-1))))</f>
        <v/>
      </c>
      <c r="DW7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7" s="43" t="n">
        <f aca="false">IF(OR(NOT(Tasks[[#This Row],[_IsLeaf]]=1),Tasks[[#This Row],[_Res2Row]]=0),0,N(Tasks[[#This Row],[_Days]])*HoursPerDay*IF(Tasks[[#This Row],[_Res2Units]]="",DefaultUnits,Tasks[[#This Row],[_Res2Units]]))</f>
        <v>0</v>
      </c>
      <c r="DY77" s="43" t="n">
        <f aca="false">IF(AND(AND(Tasks[[#This Row],[_IsLeaf]]=1,Tasks[[#This Row],[_LeafTotalWork]]&gt;0),Tasks[[#This Row],[_Res2Work]]&gt;0),Tasks[[#This Row],[_Res2Work]]/(Tasks[[#This Row],[_FinishWorkday]]-Tasks[[#This Row],[_StartWorkday]]+1),0)</f>
        <v>0</v>
      </c>
      <c r="DZ77" s="43" t="n">
        <f aca="false">Tasks[[#This Row],[_Res2WorkPerWD]]*MAX(0,Tasks[[#This Row],[_StartWorkday]]-1)</f>
        <v>0</v>
      </c>
      <c r="EA77" s="43" t="n">
        <f aca="false">Tasks[[#This Row],[_Res2Work]]*Tasks[[#This Row],[_LeafProgress]]</f>
        <v>0</v>
      </c>
      <c r="EB77" s="43" t="str">
        <f aca="false">IF(Tasks[[#This Row],[_Res3Text]]="","",IF(Tasks[[#This Row],[_Res3Row]]&gt;0,INDEX(res_Name,Tasks[[#This Row],[_Res3Row]]),TRIM(LEFT(Tasks[[#This Row],[_Res3Text]],FIND("[",Tasks[[#This Row],[_Res3Text]]&amp;"[")-1))))</f>
        <v/>
      </c>
      <c r="EC7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7" s="43" t="n">
        <f aca="false">IF(OR(NOT(Tasks[[#This Row],[_IsLeaf]]=1),Tasks[[#This Row],[_Res3Row]]=0),0,N(Tasks[[#This Row],[_Days]])*HoursPerDay*IF(Tasks[[#This Row],[_Res3Units]]="",DefaultUnits,Tasks[[#This Row],[_Res3Units]]))</f>
        <v>0</v>
      </c>
      <c r="EE77" s="43" t="n">
        <f aca="false">IF(AND(AND(Tasks[[#This Row],[_IsLeaf]]=1,Tasks[[#This Row],[_LeafTotalWork]]&gt;0),Tasks[[#This Row],[_Res3Work]]&gt;0),Tasks[[#This Row],[_Res3Work]]/(Tasks[[#This Row],[_FinishWorkday]]-Tasks[[#This Row],[_StartWorkday]]+1),0)</f>
        <v>0</v>
      </c>
      <c r="EF77" s="43" t="n">
        <f aca="false">Tasks[[#This Row],[_Res3WorkPerWD]]*MAX(0,Tasks[[#This Row],[_StartWorkday]]-1)</f>
        <v>0</v>
      </c>
      <c r="EG77" s="43" t="n">
        <f aca="false">Tasks[[#This Row],[_Res3Work]]*Tasks[[#This Row],[_LeafProgress]]</f>
        <v>0</v>
      </c>
      <c r="EH77" s="43" t="str">
        <f aca="false">IF(Tasks[[#This Row],[_Res4Text]]="","",IF(Tasks[[#This Row],[_Res4Row]]&gt;0,INDEX(res_Name,Tasks[[#This Row],[_Res4Row]]),TRIM(LEFT(Tasks[[#This Row],[_Res4Text]],FIND("[",Tasks[[#This Row],[_Res4Text]]&amp;"[")-1))))</f>
        <v/>
      </c>
      <c r="EI7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7" s="43" t="n">
        <f aca="false">IF(OR(NOT(Tasks[[#This Row],[_IsLeaf]]=1),Tasks[[#This Row],[_Res4Row]]=0),0,N(Tasks[[#This Row],[_Days]])*HoursPerDay*IF(Tasks[[#This Row],[_Res4Units]]="",DefaultUnits,Tasks[[#This Row],[_Res4Units]]))</f>
        <v>0</v>
      </c>
      <c r="EK77" s="43" t="n">
        <f aca="false">IF(AND(AND(Tasks[[#This Row],[_IsLeaf]]=1,Tasks[[#This Row],[_LeafTotalWork]]&gt;0),Tasks[[#This Row],[_Res4Work]]&gt;0),Tasks[[#This Row],[_Res4Work]]/(Tasks[[#This Row],[_FinishWorkday]]-Tasks[[#This Row],[_StartWorkday]]+1),0)</f>
        <v>0</v>
      </c>
      <c r="EL77" s="43" t="n">
        <f aca="false">Tasks[[#This Row],[_Res4WorkPerWD]]*MAX(0,Tasks[[#This Row],[_StartWorkday]]-1)</f>
        <v>0</v>
      </c>
      <c r="EM77" s="43" t="n">
        <f aca="false">Tasks[[#This Row],[_Res4Work]]*Tasks[[#This Row],[_LeafProgress]]</f>
        <v>0</v>
      </c>
      <c r="EN77" s="43" t="n">
        <f aca="false">IF(ISNUMBER(Tasks[[#This Row],[% Complete]]),Tasks[[#This Row],[% Complete]],IF(Tasks[[#This Row],[Stage]]="",0,IFERROR(INDEX(stg_Pct,MATCH(Tasks[[#This Row],[Stage]],stg_Name,0)),0)))</f>
        <v>0</v>
      </c>
      <c r="EO77" s="43" t="n">
        <f aca="false">IF(NOT(Tasks[[#This Row],[_IsLeaf]]=1),0,IF(N(Tasks[[#This Row],[Actual Finish]])&gt;0,1,MIN(1,Tasks[[#This Row],[_Pct]])))</f>
        <v>0</v>
      </c>
      <c r="EP77" s="43" t="n">
        <f aca="false">IF(OR(NOT(Tasks[[#This Row],[_IsLeaf]]=1),Tasks[[#This Row],[_Res1Row]]=0),0,N(Tasks[[#This Row],[_Days]])*HoursPerDay*IF(Tasks[[#This Row],[_Units1]]="",DefaultUnits,Tasks[[#This Row],[_Units1]]))</f>
        <v>0</v>
      </c>
      <c r="EQ77" s="43" t="n">
        <f aca="false">Tasks[[#This Row],[_LeafWork]]+Tasks[[#This Row],[_Res2Work]]+Tasks[[#This Row],[_Res3Work]]+Tasks[[#This Row],[_Res4Work]]</f>
        <v>0</v>
      </c>
      <c r="ER7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7" s="43" t="n">
        <f aca="false">IF(NOT(Tasks[[#This Row],[_IsLeaf]]=1),0,MAX(_xlfn.MAXIFS(Tasks[_Row],Tasks[_Pred1UID],Tasks[[#This Row],[UID]]),_xlfn.MAXIFS(Tasks[_Row],Tasks[_Pred2UID],Tasks[[#This Row],[UID]]),_xlfn.MAXIFS(Tasks[_Row],Tasks[_Pred3UID],Tasks[[#This Row],[UID]]),_xlfn.MAXIFS(Tasks[_Row],Tasks[_Pred4UID],Tasks[[#This Row],[UID]])))</f>
        <v>0</v>
      </c>
      <c r="FA7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7" s="91" t="str">
        <f aca="false">IF(NOT(Tasks[[#This Row],[_IsLeaf]]=1),"",IF(N(Tasks[[#This Row],[_Days]])&lt;=0,Tasks[[#This Row],[_LeafLateFinish]],WORKDAY.INTL(Tasks[[#This Row],[_LeafLateFinish]],-(Tasks[[#This Row],[_Days]]-1),WorkWeek,Holidays)))</f>
        <v/>
      </c>
      <c r="FD7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7" s="90" t="b">
        <f aca="false">AND(Tasks[[#This Row],[_IsLeaf]]=1,Tasks[[#This Row],[_LeafProgress]]&lt;1,N(Tasks[[#This Row],[_LeafTotalSlack]])&lt;=CriticalSlackDays)</f>
        <v>0</v>
      </c>
      <c r="FF77" s="43" t="n">
        <f aca="false">IF(AND(Tasks[[#This Row],[_IsLeaf]]=1,Tasks[[#This Row],[_ConstraintCode]]=1,Tasks[[#This Row],[Mode]]&lt;&gt;"Manual",N(Tasks[[#This Row],[Actual Start]])=0),MAX(0,N(Tasks[[#This Row],[Free Slack]])),0)</f>
        <v>0</v>
      </c>
      <c r="FG77" s="91" t="str">
        <f aca="false">IF(NOT(Tasks[[#This Row],[_IsLeaf]]=1),"",IF(Tasks[[#This Row],[_AlapShift]]=0,Tasks[[#This Row],[_LeafCalcStart]],WORKDAY.INTL(Tasks[[#This Row],[_LeafCalcStart]],Tasks[[#This Row],[_AlapShift]],WorkWeek,Holidays)))</f>
        <v/>
      </c>
      <c r="FH77" s="91" t="str">
        <f aca="false">IF(NOT(Tasks[[#This Row],[_IsLeaf]]=1),"",IF(Tasks[[#This Row],[_AlapShift]]=0,Tasks[[#This Row],[_LeafCalcFinish]],WORKDAY.INTL(Tasks[[#This Row],[_LeafCalcFinish]],Tasks[[#This Row],[_AlapShift]],WorkWeek,Holidays)))</f>
        <v/>
      </c>
      <c r="FI77" s="91" t="str">
        <f aca="false">IF(NOT(Tasks[[#This Row],[_IsLeaf]]=1),"",IF(Tasks[[#This Row],[_AlapShift]]=0,Tasks[[#This Row],[_LeafFcstStart]],WORKDAY.INTL(Tasks[[#This Row],[_LeafFcstStart]],Tasks[[#This Row],[_AlapShift]],WorkWeek,Holidays)))</f>
        <v/>
      </c>
      <c r="FJ77" s="91" t="str">
        <f aca="false">IF(NOT(Tasks[[#This Row],[_IsLeaf]]=1),"",IF(Tasks[[#This Row],[_AlapShift]]=0,Tasks[[#This Row],[_LeafFcstFinish]],WORKDAY.INTL(Tasks[[#This Row],[_LeafFcstFinish]],Tasks[[#This Row],[_AlapShift]],WorkWeek,Holidays)))</f>
        <v/>
      </c>
      <c r="FK77" s="91" t="str">
        <f aca="false">IF(Tasks[[#This Row],[Task Name]]="","",IF(Tasks[[#This Row],[_IsSummary]],MIN(INDEX(Tasks[_ShownCalcStart],Tasks[[#This Row],[_Row]]+1):INDEX(Tasks[_ShownCalcStart],Tasks[[#This Row],[_Row]]+Tasks[[#This Row],[_Descendants]])),Tasks[[#This Row],[_ShownCalcStart]]))</f>
        <v/>
      </c>
      <c r="FL77" s="91" t="str">
        <f aca="false">IF(Tasks[[#This Row],[Task Name]]="","",IF(Tasks[[#This Row],[_IsSummary]],MAX(INDEX(Tasks[_ShownCalcFinish],Tasks[[#This Row],[_Row]]+1):INDEX(Tasks[_ShownCalcFinish],Tasks[[#This Row],[_Row]]+Tasks[[#This Row],[_Descendants]])),Tasks[[#This Row],[_ShownCalcFinish]]))</f>
        <v/>
      </c>
      <c r="FM7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7" s="43" t="n">
        <f aca="false">IF(AND(Tasks[[#This Row],[_IsLeaf]]=1,Tasks[[#This Row],[_LeafTotalWork]]&gt;0),NETWORKDAYS.INTL(ProjectStart,Tasks[[#This Row],[_ShownFcstStart]],WorkWeek,Holidays),0)</f>
        <v>0</v>
      </c>
      <c r="FZ77" s="43" t="n">
        <f aca="false">IF(AND(Tasks[[#This Row],[_IsLeaf]]=1,Tasks[[#This Row],[_LeafTotalWork]]&gt;0),MAX(Tasks[[#This Row],[_StartWorkday]],NETWORKDAYS.INTL(ProjectStart,Tasks[[#This Row],[_ShownFcstFinish]],WorkWeek,Holidays)),0)</f>
        <v>0</v>
      </c>
      <c r="GA77" s="43" t="n">
        <f aca="false">IF(AND(Tasks[[#This Row],[_IsLeaf]]=1,Tasks[[#This Row],[_LeafTotalWork]]&gt;0),Tasks[[#This Row],[_LeafWork]]/(Tasks[[#This Row],[_FinishWorkday]]-Tasks[[#This Row],[_StartWorkday]]+1),0)</f>
        <v>0</v>
      </c>
      <c r="GB77" s="43" t="n">
        <f aca="false">Tasks[[#This Row],[_WorkPerWorkday]]*(Tasks[[#This Row],[_StartWorkday]]-1)</f>
        <v>-0</v>
      </c>
      <c r="GC77" s="43" t="n">
        <f aca="false">IF(Tasks[[#This Row],[_IsLeaf]]=1,MAX(N(Tasks[[#This Row],[_Days]]),0.1),0)</f>
        <v>0</v>
      </c>
      <c r="GD77" s="43" t="n">
        <f aca="false">Tasks[[#This Row],[_WeightDur]]*Tasks[[#This Row],[_LeafProgress]]</f>
        <v>0</v>
      </c>
      <c r="GE77" s="43" t="n">
        <f aca="false">Tasks[[#This Row],[_WeightDur]]*Tasks[[#This Row],[_PlannedPct]]</f>
        <v>0</v>
      </c>
      <c r="GF7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7" s="43" t="str">
        <f aca="false">IF(AND(Tasks[[#This Row],[_IsLeaf]]=1,N(Tasks[[#This Row],[_Days]])=0,Tasks[[#This Row],[_LeafProgress]]&lt;1),Tasks[[#This Row],[_ShownFcstFinish]]+Tasks[[#This Row],[_Row]]/100000,"")</f>
        <v/>
      </c>
      <c r="GH7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7" s="43" t="str">
        <f aca="false">IF(Tasks[[#This Row],[Task Name]]="","",LEFT(Tasks[[#This Row],[WBS]],FIND(".",Tasks[[#This Row],[WBS]]&amp;".")-1))</f>
        <v/>
      </c>
      <c r="GJ77" s="43" t="str">
        <f aca="false">IF(AND(Tasks[[#This Row],[Task Name]]&lt;&gt;"",Tasks[[#This Row],[_Level]]=1),Tasks[[#This Row],[_Row]],"")</f>
        <v/>
      </c>
      <c r="GK77" s="43" t="str">
        <f aca="false">IF(AND(Tasks[[#This Row],[_IsLeaf]]=1,N(Tasks[[#This Row],[_Days]])=0),Tasks[[#This Row],[Planned Finish]]+Tasks[[#This Row],[_Row]]/100000,"")</f>
        <v/>
      </c>
      <c r="GL77" s="43" t="str">
        <f aca="false">IF(AND(Tasks[[#This Row],[_IsLeaf]]=1,Tasks[[#This Row],[_LeafProgress]]&lt;1,OR(N(Tasks[[#This Row],[Finish Var]])&gt;0,Tasks[[#This Row],[Status]]="Late Start")),MAX(0,Tasks[[#This Row],[Finish Var]])+1-Tasks[[#This Row],[_Row]]/1000000,"")</f>
        <v/>
      </c>
      <c r="GM77" s="43" t="str">
        <f aca="false">IF(AND(Tasks[[#This Row],[_IsLeaf]]=1,N(Tasks[[#This Row],[Actual Start]])=0,Tasks[[#This Row],[_ShownFcstStart]]&gt;=StatusDate,Tasks[[#This Row],[_ShownFcstStart]]&lt;=LookaheadEnd),Tasks[[#This Row],[_ShownFcstStart]]+Tasks[[#This Row],[_Row]]/100000,"")</f>
        <v/>
      </c>
      <c r="GN77" s="43" t="str">
        <f aca="false">IF(AND(Tasks[[#This Row],[_IsLeaf]]=1,Tasks[[#This Row],[_LeafProgress]]&lt;1,Tasks[[#This Row],[_ShownFcstFinish]]&gt;=StatusDate,Tasks[[#This Row],[_ShownFcstFinish]]&lt;=LookaheadEnd),Tasks[[#This Row],[_ShownFcstFinish]]+Tasks[[#This Row],[_Row]]/100000,"")</f>
        <v/>
      </c>
      <c r="GO77" s="43" t="str">
        <f aca="false">IF(Tasks[[#This Row],[_LeafCritical]],Tasks[[#This Row],[_ShownFcstStart]]+Tasks[[#This Row],[_Row]]/100000,"")</f>
        <v/>
      </c>
      <c r="GP77" s="43" t="n">
        <f aca="false">Tasks[[#This Row],[_LeafWork]]*Tasks[[#This Row],[_LeafProgress]]</f>
        <v>0</v>
      </c>
      <c r="GQ77" s="91" t="str">
        <f aca="false">IF(AND(Tasks[[#This Row],[_IsLeaf]]=1,Tasks[[#This Row],[_LeafProgress]]&gt;=1),IF(N(Tasks[[#This Row],[Actual Finish]])&gt;0,Tasks[[#This Row],[Actual Finish]],Tasks[[#This Row],[_ShownFcstFinish]]),"")</f>
        <v/>
      </c>
      <c r="GR77" s="43" t="n">
        <f aca="false">IF(Tasks[[#This Row],[_IsLeaf]]=1,N(Tasks[[#This Row],[Story Points]]),0)</f>
        <v>0</v>
      </c>
      <c r="GS77" s="43" t="str">
        <f aca="false">""</f>
        <v/>
      </c>
      <c r="GT77" s="90" t="b">
        <f aca="false">IF(Tasks[[#This Row],[Task Name]]="",FALSE(),AND(Tasks[[#This Row],[_IsLeaf]]=1,N(Tasks[[#This Row],[_Days]])=0))</f>
        <v>0</v>
      </c>
      <c r="GU77" s="91" t="n">
        <f aca="false">IF(Tasks[[#This Row],[Task Name]]="",0,IF(AND(Tasks[[#This Row],[_IsLeaf]]=1,NOT(Tasks[[#This Row],[_IsMilestone]]),N(Tasks[[#This Row],[Progress]])&gt;0),Tasks[[#This Row],[Start]],0))</f>
        <v>0</v>
      </c>
      <c r="GV77" s="91" t="n">
        <f aca="false">IF(Tasks[[#This Row],[_DoneFrom]]=0,0,IF(Tasks[[#This Row],[Progress]]&gt;=1,Tasks[[#This Row],[Finish]],MAX(Tasks[[#This Row],[_DoneFrom]],Tasks[[#This Row],[Start]]+ROUND((Tasks[[#This Row],[Finish]]-Tasks[[#This Row],[Start]]+1)*Tasks[[#This Row],[Progress]],0)-1)))</f>
        <v>0</v>
      </c>
      <c r="GW77" s="91" t="n">
        <f aca="false">IF(Tasks[[#This Row],[Task Name]]="",0,IF(OR(NOT(Tasks[[#This Row],[_IsLeaf]]=1),Tasks[[#This Row],[_IsMilestone]],N(Tasks[[#This Row],[Progress]])&gt;=1),0,IF(Tasks[[#This Row],[_DoneTo]]&gt;0,Tasks[[#This Row],[_DoneTo]]+1,Tasks[[#This Row],[Start]])))</f>
        <v>0</v>
      </c>
      <c r="GX77" s="91" t="n">
        <f aca="false">IF(Tasks[[#This Row],[_RemFrom]]=0,0,Tasks[[#This Row],[Finish]])</f>
        <v>0</v>
      </c>
      <c r="GY77" s="90" t="b">
        <f aca="false">IF(Tasks[[#This Row],[Task Name]]="",FALSE(),OR(NOT(BaselineSet),N(Tasks[[#This Row],[Baseline Start]])&gt;0))</f>
        <v>0</v>
      </c>
      <c r="GZ7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7" s="92" t="str">
        <f aca="false">IF(Tasks[[#This Row],[_IsLeaf]]=1,Tasks[[#This Row],[_Row]],"")</f>
        <v/>
      </c>
      <c r="HD77" s="92" t="str">
        <f aca="false">IFERROR(INDEX(Tasks[UID],SMALL(Tasks[_PickKey],Tasks[[#This Row],[_Row]]))&amp;" "&amp;INDEX(Tasks[Task Name],SMALL(Tasks[_PickKey],Tasks[[#This Row],[_Row]])),"")</f>
        <v/>
      </c>
      <c r="HE77" s="43" t="str">
        <f aca="false">IF(Tasks[[#This Row],[Task Name]]="","",IF(Tasks[[#This Row],[_IsSummary]],NETWORKDAYS.INTL(Tasks[[#This Row],[Start]],Tasks[[#This Row],[Finish]],WorkWeek,Holidays),N(Tasks[[#This Row],[_Days]])))</f>
        <v/>
      </c>
      <c r="HF77" s="43" t="n">
        <f aca="false">IF(Tasks[[#This Row],[Expected]]="",0,((Tasks[[#This Row],[Pessimistic]]-Tasks[[#This Row],[Optimistic]])/6)^2)</f>
        <v>0</v>
      </c>
      <c r="HG77" s="43" t="n">
        <f aca="false">IF(Tasks[[#This Row],[Expected]]="",0,Tasks[[#This Row],[Expected]]-N(Tasks[[#This Row],[_Days]]))</f>
        <v>0</v>
      </c>
    </row>
    <row r="78" customFormat="false" ht="15" hidden="false" customHeight="false" outlineLevel="0" collapsed="false">
      <c r="A78" s="21" t="str">
        <f aca="false">IF(Tasks[[#This Row],[Task Name]]="","",COUNTA(Tasks[[#Headers],[Task Name]]:Tasks[[#This Row],[Task Name]])-1)</f>
        <v/>
      </c>
      <c r="B78" s="22" t="n">
        <v>86</v>
      </c>
      <c r="C78" s="22"/>
      <c r="D78" s="23"/>
      <c r="E78" s="22"/>
      <c r="F78" s="23"/>
      <c r="G78" s="22"/>
      <c r="H78" s="22"/>
      <c r="I78" s="23"/>
      <c r="J78" s="22"/>
      <c r="K78" s="22"/>
      <c r="L78" s="23"/>
      <c r="M78" s="22"/>
      <c r="N78" s="22"/>
      <c r="O78" s="23"/>
      <c r="P78" s="22"/>
      <c r="Q78" s="22"/>
      <c r="R78" s="23"/>
      <c r="S78" s="23"/>
      <c r="T78" s="84"/>
      <c r="U78" s="23"/>
      <c r="V78" s="84"/>
      <c r="W78" s="23"/>
      <c r="X78" s="84"/>
      <c r="Y78" s="23"/>
      <c r="Z78" s="84"/>
      <c r="AA78" s="23"/>
      <c r="AB78" s="23"/>
      <c r="AC78" s="7"/>
      <c r="AD78" s="7"/>
      <c r="AE78" s="63" t="str">
        <f aca="false">IF(Tasks[[#This Row],[Task Name]]="","",IF(Tasks[[#This Row],[_IsSummary]],MIN(INDEX(Tasks[_ShownFcstStart],Tasks[[#This Row],[_Row]]+1):INDEX(Tasks[_ShownFcstStart],Tasks[[#This Row],[_Row]]+Tasks[[#This Row],[_Descendants]])),Tasks[[#This Row],[_ShownFcstStart]]))</f>
        <v/>
      </c>
      <c r="AF78" s="63" t="str">
        <f aca="false">IF(Tasks[[#This Row],[Task Name]]="","",IF(Tasks[[#This Row],[_IsSummary]],MAX(INDEX(Tasks[_ShownFcstFinish],Tasks[[#This Row],[_Row]]+1):INDEX(Tasks[_ShownFcstFinish],Tasks[[#This Row],[_Row]]+Tasks[[#This Row],[_Descendants]])),Tasks[[#This Row],[_ShownFcstFinish]]))</f>
        <v/>
      </c>
      <c r="AG78" s="21" t="str">
        <f aca="false">""</f>
        <v/>
      </c>
      <c r="AH78" s="23"/>
      <c r="AI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8" s="7"/>
      <c r="AK78" s="22"/>
      <c r="AL78" s="23"/>
      <c r="AM78" s="7"/>
      <c r="AN78" s="47" t="str">
        <f aca="false">IF(Tasks[[#This Row],[Task Name]]="","",IF(Tasks[[#This Row],[Finish]]&gt;=Tasks[[#This Row],[Planned Finish]],NETWORKDAYS.INTL(Tasks[[#This Row],[Planned Finish]],Tasks[[#This Row],[Finish]],WorkWeek,Holidays)-1,1-NETWORKDAYS.INTL(Tasks[[#This Row],[Finish]],Tasks[[#This Row],[Planned Finish]],WorkWeek,Holidays)))</f>
        <v/>
      </c>
      <c r="AO78" s="21" t="str">
        <f aca="false">IF(Tasks[[#This Row],[Task Name]]="","",IF(Tasks[[#This Row],[Progress]]&gt;=1,"Complete",IF(OR(N(Tasks[[#This Row],[Actual Start]])&gt;0,Tasks[[#This Row],[Progress]]&gt;0),IF(Tasks[[#This Row],[Finish Var]]&gt;0,"Behind","In Progress"),IF(Tasks[[#This Row],[Planned Start]]&lt;StatusDate,"Late Start","Not Started"))))</f>
        <v/>
      </c>
      <c r="AP78" s="21" t="str">
        <f aca="false">IF(Tasks[[#This Row],[Task Name]]="","",IF(IF(Tasks[[#This Row],[_IsSummary]],COUNTIF(INDEX(Tasks[_LeafCritical],Tasks[[#This Row],[_Row]]+1):INDEX(Tasks[_LeafCritical],Tasks[[#This Row],[_Row]]+Tasks[[#This Row],[_Descendants]]),TRUE())&gt;0,Tasks[[#This Row],[_LeafCritical]]),"Yes",""))</f>
        <v/>
      </c>
      <c r="AQ78" s="63" t="str">
        <f aca="false">IF(Tasks[[#This Row],[Task Name]]="","",IF(N(Tasks[[#This Row],[Baseline Start]])&gt;0,Tasks[[#This Row],[Baseline Start]],Tasks[[#This Row],[_CalcStart]]))</f>
        <v/>
      </c>
      <c r="AR78" s="63" t="str">
        <f aca="false">IF(Tasks[[#This Row],[Task Name]]="","",IF(N(Tasks[[#This Row],[Baseline Finish]])&gt;0,Tasks[[#This Row],[Baseline Finish]],Tasks[[#This Row],[_CalcFinish]]))</f>
        <v/>
      </c>
      <c r="AS78" s="47" t="str">
        <f aca="false">IF(Tasks[[#This Row],[Task Name]]="","",IF(Tasks[[#This Row],[Start]]&gt;=Tasks[[#This Row],[Planned Start]],NETWORKDAYS.INTL(Tasks[[#This Row],[Planned Start]],Tasks[[#This Row],[Start]],WorkWeek,Holidays)-1,1-NETWORKDAYS.INTL(Tasks[[#This Row],[Start]],Tasks[[#This Row],[Planned Start]],WorkWeek,Holidays)))</f>
        <v/>
      </c>
      <c r="AT78" s="63" t="str">
        <f aca="false">IF(Tasks[[#This Row],[Task Name]]="","",IF(Tasks[[#This Row],[_IsSummary]],MIN(INDEX(Tasks[_LeafLateStart],Tasks[[#This Row],[_Row]]+1):INDEX(Tasks[_LeafLateStart],Tasks[[#This Row],[_Row]]+Tasks[[#This Row],[_Descendants]])),Tasks[[#This Row],[_LeafLateStart]]))</f>
        <v/>
      </c>
      <c r="AU78" s="63" t="str">
        <f aca="false">IF(Tasks[[#This Row],[Task Name]]="","",IF(Tasks[[#This Row],[_IsSummary]],MAX(INDEX(Tasks[_LeafLateFinish],Tasks[[#This Row],[_Row]]+1):INDEX(Tasks[_LeafLateFinish],Tasks[[#This Row],[_Row]]+Tasks[[#This Row],[_Descendants]])),Tasks[[#This Row],[_LeafLateFinish]]))</f>
        <v/>
      </c>
      <c r="AV78" s="47" t="str">
        <f aca="false">IF(Tasks[[#This Row],[Task Name]]="","",IF(Tasks[[#This Row],[_IsSummary]],MIN(INDEX(Tasks[_LeafTotalSlack],Tasks[[#This Row],[_Row]]+1):INDEX(Tasks[_LeafTotalSlack],Tasks[[#This Row],[_Row]]+Tasks[[#This Row],[_Descendants]])),Tasks[[#This Row],[_LeafTotalSlack]]))</f>
        <v/>
      </c>
      <c r="AW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5"/>
      <c r="BA7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1" t="str">
        <f aca="false">IF(Tasks[[#This Row],[Task Name]]="","",IF(Tasks[[#This Row],[_Level]]&lt;=OutlineShowLevel,"Yes","No"))</f>
        <v/>
      </c>
      <c r="BE78" s="86" t="str">
        <f aca="false">IF(Tasks[[#This Row],[Task Name]]="","",IF(Tasks[[#This Row],[_IsSummary]],SUM(INDEX(Tasks[_LeafTotalWork],Tasks[[#This Row],[_Row]]+1):INDEX(Tasks[_LeafTotalWork],Tasks[[#This Row],[_Row]]+Tasks[[#This Row],[_Descendants]])),Tasks[[#This Row],[_LeafTotalWork]]))</f>
        <v/>
      </c>
      <c r="BF78" s="23"/>
      <c r="BG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8" s="21" t="str">
        <f aca="false">""</f>
        <v/>
      </c>
      <c r="BI78" s="87"/>
      <c r="BJ78" s="22"/>
      <c r="BK78" s="47" t="str">
        <f aca="false">IF(OR(Tasks[[#This Row],[Task Name]]="",Tasks[[#This Row],[Baseline Duration]]=""),"",Tasks[[#This Row],[_SpanDays]]-N(Tasks[[#This Row],[Baseline Duration]]))</f>
        <v/>
      </c>
      <c r="BL78" s="86" t="str">
        <f aca="false">IF(OR(Tasks[[#This Row],[Task Name]]="",Tasks[[#This Row],[Baseline Work]]=""),"",Tasks[[#This Row],[Work]]-N(Tasks[[#This Row],[Baseline Work]]))</f>
        <v/>
      </c>
      <c r="BM78" s="63" t="str">
        <f aca="false">IF(Tasks[[#This Row],[Task Name]]="","",IF(OR(TakeBaseline="Yes",N(Tasks[[#This Row],[Baseline Start]])=0),Tasks[[#This Row],[Start]],Tasks[[#This Row],[Baseline Start]]))</f>
        <v/>
      </c>
      <c r="BN78" s="63" t="str">
        <f aca="false">IF(Tasks[[#This Row],[Task Name]]="","",IF(OR(TakeBaseline="Yes",N(Tasks[[#This Row],[Baseline Finish]])=0),Tasks[[#This Row],[Finish]],Tasks[[#This Row],[Baseline Finish]]))</f>
        <v/>
      </c>
      <c r="BO78" s="21" t="str">
        <f aca="false">IF(Tasks[[#This Row],[Task Name]]="","",IF(OR(TakeBaseline="Yes",N(Tasks[[#This Row],[Baseline Duration]])=0),Tasks[[#This Row],[_SpanDays]],Tasks[[#This Row],[Baseline Duration]]))</f>
        <v/>
      </c>
      <c r="BP78" s="86" t="str">
        <f aca="false">IF(Tasks[[#This Row],[Task Name]]="","",IF(OR(TakeBaseline="Yes",N(Tasks[[#This Row],[Baseline Work]])=0),Tasks[[#This Row],[Work]],Tasks[[#This Row],[Baseline Work]]))</f>
        <v/>
      </c>
      <c r="BQ78" s="7"/>
      <c r="BR78" s="7"/>
      <c r="BS78" s="22"/>
      <c r="BT78" s="88"/>
      <c r="BU78" s="23"/>
      <c r="BV78" s="23"/>
      <c r="BW78" s="23"/>
      <c r="BX78" s="89" t="str">
        <f aca="false">IF(AND(Tasks[[#This Row],[_IsLeaf]]=1,ISNUMBER(Tasks[[#This Row],[Optimistic]]),ISNUMBER(Tasks[[#This Row],[Pessimistic]])),ROUND((Tasks[[#This Row],[Optimistic]]+4*N(Tasks[[#This Row],[_Days]])+Tasks[[#This Row],[Pessimistic]])/6,1),"")</f>
        <v/>
      </c>
      <c r="BY78" s="87"/>
      <c r="BZ78" s="87"/>
      <c r="CA78" s="22"/>
      <c r="CB78" s="43" t="str">
        <f aca="false">IF(Tasks[[#This Row],[Task Name]]="","",MAX(1,N(Tasks[[#This Row],[Level]])))</f>
        <v/>
      </c>
      <c r="CC78" s="43" t="n">
        <f aca="false">ROW()-ROW(Tasks[[#Headers],[ID]])</f>
        <v>73</v>
      </c>
      <c r="CD78" s="43" t="n">
        <f aca="false">IF(OR(Tasks[[#This Row],[Task Name]]="",Tasks[[#This Row],[_Level]]&lt;=1),0,IFERROR(LOOKUP(2,1/(Tasks[[#Headers],[_Level]]:Tasks[[#This Row],[_Level]]=Tasks[[#This Row],[_Level]]-1),ROW(Tasks[[#Headers],[_Level]]:Tasks[[#This Row],[_Level]])),0))</f>
        <v>0</v>
      </c>
      <c r="CE78" s="43" t="n">
        <f aca="false">IFERROR(N(INDEX(Tasks[_Level],Tasks[[#This Row],[_Row]]+1)),0)</f>
        <v>0</v>
      </c>
      <c r="CF78" s="90" t="b">
        <f aca="false">AND(Tasks[[#This Row],[Task Name]]&lt;&gt;"",Tasks[[#This Row],[_NextLevel]]&gt;Tasks[[#This Row],[_Level]])</f>
        <v>0</v>
      </c>
      <c r="CG78" s="43" t="n">
        <f aca="false">IF(Tasks[[#This Row],[_IsSummary]],COUNTIF(Tasks[WBS],Tasks[[#This Row],[WBS]]&amp;".*"),0)</f>
        <v>0</v>
      </c>
      <c r="CH78" s="43" t="n">
        <f aca="false">IF(AND(Tasks[[#This Row],[Task Name]]&lt;&gt;"",NOT(Tasks[[#This Row],[_IsSummary]])),1,0)</f>
        <v>0</v>
      </c>
      <c r="CI78" s="43" t="n">
        <f aca="false">IF(N(Tasks[[#This Row],[_Pred1UID]])=0,0,IFERROR(MATCH(Tasks[[#This Row],[_Pred1UID]],Tasks[UID],0),-1))</f>
        <v>0</v>
      </c>
      <c r="CJ78" s="43" t="n">
        <f aca="false">IF(N(Tasks[[#This Row],[_Pred2UID]])=0,0,IFERROR(MATCH(Tasks[[#This Row],[_Pred2UID]],Tasks[UID],0),-1))</f>
        <v>0</v>
      </c>
      <c r="CK78" s="43" t="n">
        <f aca="false">IF(N(Tasks[[#This Row],[_Pred3UID]])=0,0,IFERROR(MATCH(Tasks[[#This Row],[_Pred3UID]],Tasks[UID],0),-1))</f>
        <v>0</v>
      </c>
      <c r="CL78" s="43" t="n">
        <f aca="false">IF(N(Tasks[[#This Row],[_Pred4UID]])=0,0,IFERROR(MATCH(Tasks[[#This Row],[_Pred4UID]],Tasks[UID],0),-1))</f>
        <v>0</v>
      </c>
      <c r="CM7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8" s="91" t="n">
        <f aca="false">IF(OR(Tasks[[#This Row],[_ConstraintCode]]=2,Tasks[[#This Row],[_ConstraintCode]]=3,Tasks[[#This Row],[_ConstraintCode]]=4,Tasks[[#This Row],[_ConstraintCode]]=6),Tasks[[#This Row],[_ConstraintStart]],0)</f>
        <v>0</v>
      </c>
      <c r="CP78" s="91" t="n">
        <f aca="false">IF(OR(Tasks[[#This Row],[_ConstraintCode]]=2,Tasks[[#This Row],[_ConstraintCode]]=3,Tasks[[#This Row],[_ConstraintCode]]=5,Tasks[[#This Row],[_ConstraintCode]]=7),Tasks[[#This Row],[_ConstraintStart]],2958465)</f>
        <v>2958465</v>
      </c>
      <c r="CQ7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8" s="91" t="str">
        <f aca="false">IF(NOT(Tasks[[#This Row],[_IsLeaf]]=1),"",IF(N(Tasks[[#This Row],[_Days]])&lt;=0,Tasks[[#This Row],[_LeafCalcStart]],WORKDAY.INTL(Tasks[[#This Row],[_LeafCalcStart]],Tasks[[#This Row],[_Days]]-1,WorkWeek,Holidays)))</f>
        <v/>
      </c>
      <c r="CS7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8" s="43" t="str">
        <f aca="false">IF(Tasks[[#This Row],[_Predecessors]]="","",TRIM(MID(SUBSTITUTE(SUBSTITUTE(SUBSTITUTE(UPPER(Tasks[[#This Row],[_Predecessors]]),";",",")," ",""),",",REPT(" ",99)),1,99)))</f>
        <v/>
      </c>
      <c r="CV78" s="43" t="str">
        <f aca="false">IF(Tasks[[#This Row],[_Pred1Text]]="","",IFERROR(VALUE(LEFT(Tasks[[#This Row],[_Pred1Text]],MIN(FIND("F",Tasks[[#This Row],[_Pred1Text]]&amp;"F"),FIND("S",Tasks[[#This Row],[_Pred1Text]]&amp;"S"),FIND("+",Tasks[[#This Row],[_Pred1Text]]&amp;"+"),FIND("-",Tasks[[#This Row],[_Pred1Text]]&amp;"-"))-1)),""))</f>
        <v/>
      </c>
      <c r="CW7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8" s="43" t="str">
        <f aca="false">IF(Tasks[[#This Row],[_Pred1Text]]="","",TRIM(MID(SUBSTITUTE(SUBSTITUTE(SUBSTITUTE(UPPER(Tasks[[#This Row],[_Predecessors]]),";",",")," ",""),",",REPT(" ",99)),100,99)))</f>
        <v/>
      </c>
      <c r="CZ78" s="43" t="str">
        <f aca="false">IF(Tasks[[#This Row],[_Pred2Text]]="","",IFERROR(VALUE(LEFT(Tasks[[#This Row],[_Pred2Text]],MIN(FIND("F",Tasks[[#This Row],[_Pred2Text]]&amp;"F"),FIND("S",Tasks[[#This Row],[_Pred2Text]]&amp;"S"),FIND("+",Tasks[[#This Row],[_Pred2Text]]&amp;"+"),FIND("-",Tasks[[#This Row],[_Pred2Text]]&amp;"-"))-1)),""))</f>
        <v/>
      </c>
      <c r="DA7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8" s="43" t="str">
        <f aca="false">IF(Tasks[[#This Row],[_Pred2Text]]="","",TRIM(MID(SUBSTITUTE(SUBSTITUTE(SUBSTITUTE(UPPER(Tasks[[#This Row],[_Predecessors]]),";",",")," ",""),",",REPT(" ",99)),199,99)))</f>
        <v/>
      </c>
      <c r="DD78" s="43" t="str">
        <f aca="false">IF(Tasks[[#This Row],[_Pred3Text]]="","",IFERROR(VALUE(LEFT(Tasks[[#This Row],[_Pred3Text]],MIN(FIND("F",Tasks[[#This Row],[_Pred3Text]]&amp;"F"),FIND("S",Tasks[[#This Row],[_Pred3Text]]&amp;"S"),FIND("+",Tasks[[#This Row],[_Pred3Text]]&amp;"+"),FIND("-",Tasks[[#This Row],[_Pred3Text]]&amp;"-"))-1)),""))</f>
        <v/>
      </c>
      <c r="DE7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8" s="43" t="str">
        <f aca="false">IF(Tasks[[#This Row],[_Pred3Text]]="","",TRIM(MID(SUBSTITUTE(SUBSTITUTE(SUBSTITUTE(UPPER(Tasks[[#This Row],[_Predecessors]]),";",",")," ",""),",",REPT(" ",99)),298,99)))</f>
        <v/>
      </c>
      <c r="DH78" s="43" t="str">
        <f aca="false">IF(Tasks[[#This Row],[_Pred4Text]]="","",IFERROR(VALUE(LEFT(Tasks[[#This Row],[_Pred4Text]],MIN(FIND("F",Tasks[[#This Row],[_Pred4Text]]&amp;"F"),FIND("S",Tasks[[#This Row],[_Pred4Text]]&amp;"S"),FIND("+",Tasks[[#This Row],[_Pred4Text]]&amp;"+"),FIND("-",Tasks[[#This Row],[_Pred4Text]]&amp;"-"))-1)),""))</f>
        <v/>
      </c>
      <c r="DI7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8" s="43" t="str">
        <f aca="false">IF(OR(Tasks[[#This Row],[Task Name]]="",Tasks[[#This Row],[_Resources]]=""),"",TRIM(MID(SUBSTITUTE(Tasks[[#This Row],[_Resources]],",",REPT(" ",99)),1,99)))</f>
        <v/>
      </c>
      <c r="DL78" s="43" t="str">
        <f aca="false">IF(Tasks[[#This Row],[_Res1Text]]="","",TRIM(MID(SUBSTITUTE(Tasks[[#This Row],[_Resources]],",",REPT(" ",99)),100,99)))</f>
        <v/>
      </c>
      <c r="DM78" s="43" t="str">
        <f aca="false">IF(Tasks[[#This Row],[_Res2Text]]="","",TRIM(MID(SUBSTITUTE(Tasks[[#This Row],[_Resources]],",",REPT(" ",99)),199,99)))</f>
        <v/>
      </c>
      <c r="DN78" s="43" t="str">
        <f aca="false">IF(Tasks[[#This Row],[_Res3Text]]="","",TRIM(MID(SUBSTITUTE(Tasks[[#This Row],[_Resources]],",",REPT(" ",99)),298,99)))</f>
        <v/>
      </c>
      <c r="DO78" s="43" t="n">
        <f aca="false">IF(Tasks[[#This Row],[_Res1Text]]="",0,IFERROR(MATCH(TRIM(LEFT(Tasks[[#This Row],[_Res1Text]],FIND("[",Tasks[[#This Row],[_Res1Text]]&amp;"[")-1)),res_Name,0),IFERROR(MATCH(TRIM(LEFT(Tasks[[#This Row],[_Res1Text]],FIND("[",Tasks[[#This Row],[_Res1Text]]&amp;"[")-1)),res_Initials,0),0)))</f>
        <v>0</v>
      </c>
      <c r="DP78" s="43" t="n">
        <f aca="false">IF(Tasks[[#This Row],[_Res2Text]]="",0,IFERROR(MATCH(TRIM(LEFT(Tasks[[#This Row],[_Res2Text]],FIND("[",Tasks[[#This Row],[_Res2Text]]&amp;"[")-1)),res_Name,0),IFERROR(MATCH(TRIM(LEFT(Tasks[[#This Row],[_Res2Text]],FIND("[",Tasks[[#This Row],[_Res2Text]]&amp;"[")-1)),res_Initials,0),0)))</f>
        <v>0</v>
      </c>
      <c r="DQ78" s="43" t="n">
        <f aca="false">IF(Tasks[[#This Row],[_Res3Text]]="",0,IFERROR(MATCH(TRIM(LEFT(Tasks[[#This Row],[_Res3Text]],FIND("[",Tasks[[#This Row],[_Res3Text]]&amp;"[")-1)),res_Name,0),IFERROR(MATCH(TRIM(LEFT(Tasks[[#This Row],[_Res3Text]],FIND("[",Tasks[[#This Row],[_Res3Text]]&amp;"[")-1)),res_Initials,0),0)))</f>
        <v>0</v>
      </c>
      <c r="DR78" s="43" t="n">
        <f aca="false">IF(Tasks[[#This Row],[_Res4Text]]="",0,IFERROR(MATCH(TRIM(LEFT(Tasks[[#This Row],[_Res4Text]],FIND("[",Tasks[[#This Row],[_Res4Text]]&amp;"[")-1)),res_Name,0),IFERROR(MATCH(TRIM(LEFT(Tasks[[#This Row],[_Res4Text]],FIND("[",Tasks[[#This Row],[_Res4Text]]&amp;"[")-1)),res_Initials,0),0)))</f>
        <v>0</v>
      </c>
      <c r="DS78" s="43" t="str">
        <f aca="false">IF(Tasks[[#This Row],[_Res1Text]]="","",IF(Tasks[[#This Row],[_Res1Row]]&gt;0,INDEX(res_Name,Tasks[[#This Row],[_Res1Row]]),TRIM(LEFT(Tasks[[#This Row],[_Res1Text]],FIND("[",Tasks[[#This Row],[_Res1Text]]&amp;"[")-1))))</f>
        <v/>
      </c>
      <c r="DT7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8" s="43" t="n">
        <f aca="false">IF(NOT(Tasks[[#This Row],[_IsLeaf]]=1),0,(Tasks[[#This Row],[_Resource1]]&lt;&gt;"")+(Tasks[[#This Row],[_Res2]]&lt;&gt;"")+(Tasks[[#This Row],[_Res3]]&lt;&gt;"")+(Tasks[[#This Row],[_Res4]]&lt;&gt;""))</f>
        <v>0</v>
      </c>
      <c r="DV78" s="43" t="str">
        <f aca="false">IF(Tasks[[#This Row],[_Res2Text]]="","",IF(Tasks[[#This Row],[_Res2Row]]&gt;0,INDEX(res_Name,Tasks[[#This Row],[_Res2Row]]),TRIM(LEFT(Tasks[[#This Row],[_Res2Text]],FIND("[",Tasks[[#This Row],[_Res2Text]]&amp;"[")-1))))</f>
        <v/>
      </c>
      <c r="DW7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8" s="43" t="n">
        <f aca="false">IF(OR(NOT(Tasks[[#This Row],[_IsLeaf]]=1),Tasks[[#This Row],[_Res2Row]]=0),0,N(Tasks[[#This Row],[_Days]])*HoursPerDay*IF(Tasks[[#This Row],[_Res2Units]]="",DefaultUnits,Tasks[[#This Row],[_Res2Units]]))</f>
        <v>0</v>
      </c>
      <c r="DY78" s="43" t="n">
        <f aca="false">IF(AND(AND(Tasks[[#This Row],[_IsLeaf]]=1,Tasks[[#This Row],[_LeafTotalWork]]&gt;0),Tasks[[#This Row],[_Res2Work]]&gt;0),Tasks[[#This Row],[_Res2Work]]/(Tasks[[#This Row],[_FinishWorkday]]-Tasks[[#This Row],[_StartWorkday]]+1),0)</f>
        <v>0</v>
      </c>
      <c r="DZ78" s="43" t="n">
        <f aca="false">Tasks[[#This Row],[_Res2WorkPerWD]]*MAX(0,Tasks[[#This Row],[_StartWorkday]]-1)</f>
        <v>0</v>
      </c>
      <c r="EA78" s="43" t="n">
        <f aca="false">Tasks[[#This Row],[_Res2Work]]*Tasks[[#This Row],[_LeafProgress]]</f>
        <v>0</v>
      </c>
      <c r="EB78" s="43" t="str">
        <f aca="false">IF(Tasks[[#This Row],[_Res3Text]]="","",IF(Tasks[[#This Row],[_Res3Row]]&gt;0,INDEX(res_Name,Tasks[[#This Row],[_Res3Row]]),TRIM(LEFT(Tasks[[#This Row],[_Res3Text]],FIND("[",Tasks[[#This Row],[_Res3Text]]&amp;"[")-1))))</f>
        <v/>
      </c>
      <c r="EC7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8" s="43" t="n">
        <f aca="false">IF(OR(NOT(Tasks[[#This Row],[_IsLeaf]]=1),Tasks[[#This Row],[_Res3Row]]=0),0,N(Tasks[[#This Row],[_Days]])*HoursPerDay*IF(Tasks[[#This Row],[_Res3Units]]="",DefaultUnits,Tasks[[#This Row],[_Res3Units]]))</f>
        <v>0</v>
      </c>
      <c r="EE78" s="43" t="n">
        <f aca="false">IF(AND(AND(Tasks[[#This Row],[_IsLeaf]]=1,Tasks[[#This Row],[_LeafTotalWork]]&gt;0),Tasks[[#This Row],[_Res3Work]]&gt;0),Tasks[[#This Row],[_Res3Work]]/(Tasks[[#This Row],[_FinishWorkday]]-Tasks[[#This Row],[_StartWorkday]]+1),0)</f>
        <v>0</v>
      </c>
      <c r="EF78" s="43" t="n">
        <f aca="false">Tasks[[#This Row],[_Res3WorkPerWD]]*MAX(0,Tasks[[#This Row],[_StartWorkday]]-1)</f>
        <v>0</v>
      </c>
      <c r="EG78" s="43" t="n">
        <f aca="false">Tasks[[#This Row],[_Res3Work]]*Tasks[[#This Row],[_LeafProgress]]</f>
        <v>0</v>
      </c>
      <c r="EH78" s="43" t="str">
        <f aca="false">IF(Tasks[[#This Row],[_Res4Text]]="","",IF(Tasks[[#This Row],[_Res4Row]]&gt;0,INDEX(res_Name,Tasks[[#This Row],[_Res4Row]]),TRIM(LEFT(Tasks[[#This Row],[_Res4Text]],FIND("[",Tasks[[#This Row],[_Res4Text]]&amp;"[")-1))))</f>
        <v/>
      </c>
      <c r="EI7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8" s="43" t="n">
        <f aca="false">IF(OR(NOT(Tasks[[#This Row],[_IsLeaf]]=1),Tasks[[#This Row],[_Res4Row]]=0),0,N(Tasks[[#This Row],[_Days]])*HoursPerDay*IF(Tasks[[#This Row],[_Res4Units]]="",DefaultUnits,Tasks[[#This Row],[_Res4Units]]))</f>
        <v>0</v>
      </c>
      <c r="EK78" s="43" t="n">
        <f aca="false">IF(AND(AND(Tasks[[#This Row],[_IsLeaf]]=1,Tasks[[#This Row],[_LeafTotalWork]]&gt;0),Tasks[[#This Row],[_Res4Work]]&gt;0),Tasks[[#This Row],[_Res4Work]]/(Tasks[[#This Row],[_FinishWorkday]]-Tasks[[#This Row],[_StartWorkday]]+1),0)</f>
        <v>0</v>
      </c>
      <c r="EL78" s="43" t="n">
        <f aca="false">Tasks[[#This Row],[_Res4WorkPerWD]]*MAX(0,Tasks[[#This Row],[_StartWorkday]]-1)</f>
        <v>0</v>
      </c>
      <c r="EM78" s="43" t="n">
        <f aca="false">Tasks[[#This Row],[_Res4Work]]*Tasks[[#This Row],[_LeafProgress]]</f>
        <v>0</v>
      </c>
      <c r="EN78" s="43" t="n">
        <f aca="false">IF(ISNUMBER(Tasks[[#This Row],[% Complete]]),Tasks[[#This Row],[% Complete]],IF(Tasks[[#This Row],[Stage]]="",0,IFERROR(INDEX(stg_Pct,MATCH(Tasks[[#This Row],[Stage]],stg_Name,0)),0)))</f>
        <v>0</v>
      </c>
      <c r="EO78" s="43" t="n">
        <f aca="false">IF(NOT(Tasks[[#This Row],[_IsLeaf]]=1),0,IF(N(Tasks[[#This Row],[Actual Finish]])&gt;0,1,MIN(1,Tasks[[#This Row],[_Pct]])))</f>
        <v>0</v>
      </c>
      <c r="EP78" s="43" t="n">
        <f aca="false">IF(OR(NOT(Tasks[[#This Row],[_IsLeaf]]=1),Tasks[[#This Row],[_Res1Row]]=0),0,N(Tasks[[#This Row],[_Days]])*HoursPerDay*IF(Tasks[[#This Row],[_Units1]]="",DefaultUnits,Tasks[[#This Row],[_Units1]]))</f>
        <v>0</v>
      </c>
      <c r="EQ78" s="43" t="n">
        <f aca="false">Tasks[[#This Row],[_LeafWork]]+Tasks[[#This Row],[_Res2Work]]+Tasks[[#This Row],[_Res3Work]]+Tasks[[#This Row],[_Res4Work]]</f>
        <v>0</v>
      </c>
      <c r="ER7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8" s="43" t="n">
        <f aca="false">IF(NOT(Tasks[[#This Row],[_IsLeaf]]=1),0,MAX(_xlfn.MAXIFS(Tasks[_Row],Tasks[_Pred1UID],Tasks[[#This Row],[UID]]),_xlfn.MAXIFS(Tasks[_Row],Tasks[_Pred2UID],Tasks[[#This Row],[UID]]),_xlfn.MAXIFS(Tasks[_Row],Tasks[_Pred3UID],Tasks[[#This Row],[UID]]),_xlfn.MAXIFS(Tasks[_Row],Tasks[_Pred4UID],Tasks[[#This Row],[UID]])))</f>
        <v>0</v>
      </c>
      <c r="FA7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8" s="91" t="str">
        <f aca="false">IF(NOT(Tasks[[#This Row],[_IsLeaf]]=1),"",IF(N(Tasks[[#This Row],[_Days]])&lt;=0,Tasks[[#This Row],[_LeafLateFinish]],WORKDAY.INTL(Tasks[[#This Row],[_LeafLateFinish]],-(Tasks[[#This Row],[_Days]]-1),WorkWeek,Holidays)))</f>
        <v/>
      </c>
      <c r="FD7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8" s="90" t="b">
        <f aca="false">AND(Tasks[[#This Row],[_IsLeaf]]=1,Tasks[[#This Row],[_LeafProgress]]&lt;1,N(Tasks[[#This Row],[_LeafTotalSlack]])&lt;=CriticalSlackDays)</f>
        <v>0</v>
      </c>
      <c r="FF78" s="43" t="n">
        <f aca="false">IF(AND(Tasks[[#This Row],[_IsLeaf]]=1,Tasks[[#This Row],[_ConstraintCode]]=1,Tasks[[#This Row],[Mode]]&lt;&gt;"Manual",N(Tasks[[#This Row],[Actual Start]])=0),MAX(0,N(Tasks[[#This Row],[Free Slack]])),0)</f>
        <v>0</v>
      </c>
      <c r="FG78" s="91" t="str">
        <f aca="false">IF(NOT(Tasks[[#This Row],[_IsLeaf]]=1),"",IF(Tasks[[#This Row],[_AlapShift]]=0,Tasks[[#This Row],[_LeafCalcStart]],WORKDAY.INTL(Tasks[[#This Row],[_LeafCalcStart]],Tasks[[#This Row],[_AlapShift]],WorkWeek,Holidays)))</f>
        <v/>
      </c>
      <c r="FH78" s="91" t="str">
        <f aca="false">IF(NOT(Tasks[[#This Row],[_IsLeaf]]=1),"",IF(Tasks[[#This Row],[_AlapShift]]=0,Tasks[[#This Row],[_LeafCalcFinish]],WORKDAY.INTL(Tasks[[#This Row],[_LeafCalcFinish]],Tasks[[#This Row],[_AlapShift]],WorkWeek,Holidays)))</f>
        <v/>
      </c>
      <c r="FI78" s="91" t="str">
        <f aca="false">IF(NOT(Tasks[[#This Row],[_IsLeaf]]=1),"",IF(Tasks[[#This Row],[_AlapShift]]=0,Tasks[[#This Row],[_LeafFcstStart]],WORKDAY.INTL(Tasks[[#This Row],[_LeafFcstStart]],Tasks[[#This Row],[_AlapShift]],WorkWeek,Holidays)))</f>
        <v/>
      </c>
      <c r="FJ78" s="91" t="str">
        <f aca="false">IF(NOT(Tasks[[#This Row],[_IsLeaf]]=1),"",IF(Tasks[[#This Row],[_AlapShift]]=0,Tasks[[#This Row],[_LeafFcstFinish]],WORKDAY.INTL(Tasks[[#This Row],[_LeafFcstFinish]],Tasks[[#This Row],[_AlapShift]],WorkWeek,Holidays)))</f>
        <v/>
      </c>
      <c r="FK78" s="91" t="str">
        <f aca="false">IF(Tasks[[#This Row],[Task Name]]="","",IF(Tasks[[#This Row],[_IsSummary]],MIN(INDEX(Tasks[_ShownCalcStart],Tasks[[#This Row],[_Row]]+1):INDEX(Tasks[_ShownCalcStart],Tasks[[#This Row],[_Row]]+Tasks[[#This Row],[_Descendants]])),Tasks[[#This Row],[_ShownCalcStart]]))</f>
        <v/>
      </c>
      <c r="FL78" s="91" t="str">
        <f aca="false">IF(Tasks[[#This Row],[Task Name]]="","",IF(Tasks[[#This Row],[_IsSummary]],MAX(INDEX(Tasks[_ShownCalcFinish],Tasks[[#This Row],[_Row]]+1):INDEX(Tasks[_ShownCalcFinish],Tasks[[#This Row],[_Row]]+Tasks[[#This Row],[_Descendants]])),Tasks[[#This Row],[_ShownCalcFinish]]))</f>
        <v/>
      </c>
      <c r="FM7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8" s="43" t="n">
        <f aca="false">IF(AND(Tasks[[#This Row],[_IsLeaf]]=1,Tasks[[#This Row],[_LeafTotalWork]]&gt;0),NETWORKDAYS.INTL(ProjectStart,Tasks[[#This Row],[_ShownFcstStart]],WorkWeek,Holidays),0)</f>
        <v>0</v>
      </c>
      <c r="FZ78" s="43" t="n">
        <f aca="false">IF(AND(Tasks[[#This Row],[_IsLeaf]]=1,Tasks[[#This Row],[_LeafTotalWork]]&gt;0),MAX(Tasks[[#This Row],[_StartWorkday]],NETWORKDAYS.INTL(ProjectStart,Tasks[[#This Row],[_ShownFcstFinish]],WorkWeek,Holidays)),0)</f>
        <v>0</v>
      </c>
      <c r="GA78" s="43" t="n">
        <f aca="false">IF(AND(Tasks[[#This Row],[_IsLeaf]]=1,Tasks[[#This Row],[_LeafTotalWork]]&gt;0),Tasks[[#This Row],[_LeafWork]]/(Tasks[[#This Row],[_FinishWorkday]]-Tasks[[#This Row],[_StartWorkday]]+1),0)</f>
        <v>0</v>
      </c>
      <c r="GB78" s="43" t="n">
        <f aca="false">Tasks[[#This Row],[_WorkPerWorkday]]*(Tasks[[#This Row],[_StartWorkday]]-1)</f>
        <v>-0</v>
      </c>
      <c r="GC78" s="43" t="n">
        <f aca="false">IF(Tasks[[#This Row],[_IsLeaf]]=1,MAX(N(Tasks[[#This Row],[_Days]]),0.1),0)</f>
        <v>0</v>
      </c>
      <c r="GD78" s="43" t="n">
        <f aca="false">Tasks[[#This Row],[_WeightDur]]*Tasks[[#This Row],[_LeafProgress]]</f>
        <v>0</v>
      </c>
      <c r="GE78" s="43" t="n">
        <f aca="false">Tasks[[#This Row],[_WeightDur]]*Tasks[[#This Row],[_PlannedPct]]</f>
        <v>0</v>
      </c>
      <c r="GF7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8" s="43" t="str">
        <f aca="false">IF(AND(Tasks[[#This Row],[_IsLeaf]]=1,N(Tasks[[#This Row],[_Days]])=0,Tasks[[#This Row],[_LeafProgress]]&lt;1),Tasks[[#This Row],[_ShownFcstFinish]]+Tasks[[#This Row],[_Row]]/100000,"")</f>
        <v/>
      </c>
      <c r="GH7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8" s="43" t="str">
        <f aca="false">IF(Tasks[[#This Row],[Task Name]]="","",LEFT(Tasks[[#This Row],[WBS]],FIND(".",Tasks[[#This Row],[WBS]]&amp;".")-1))</f>
        <v/>
      </c>
      <c r="GJ78" s="43" t="str">
        <f aca="false">IF(AND(Tasks[[#This Row],[Task Name]]&lt;&gt;"",Tasks[[#This Row],[_Level]]=1),Tasks[[#This Row],[_Row]],"")</f>
        <v/>
      </c>
      <c r="GK78" s="43" t="str">
        <f aca="false">IF(AND(Tasks[[#This Row],[_IsLeaf]]=1,N(Tasks[[#This Row],[_Days]])=0),Tasks[[#This Row],[Planned Finish]]+Tasks[[#This Row],[_Row]]/100000,"")</f>
        <v/>
      </c>
      <c r="GL78" s="43" t="str">
        <f aca="false">IF(AND(Tasks[[#This Row],[_IsLeaf]]=1,Tasks[[#This Row],[_LeafProgress]]&lt;1,OR(N(Tasks[[#This Row],[Finish Var]])&gt;0,Tasks[[#This Row],[Status]]="Late Start")),MAX(0,Tasks[[#This Row],[Finish Var]])+1-Tasks[[#This Row],[_Row]]/1000000,"")</f>
        <v/>
      </c>
      <c r="GM78" s="43" t="str">
        <f aca="false">IF(AND(Tasks[[#This Row],[_IsLeaf]]=1,N(Tasks[[#This Row],[Actual Start]])=0,Tasks[[#This Row],[_ShownFcstStart]]&gt;=StatusDate,Tasks[[#This Row],[_ShownFcstStart]]&lt;=LookaheadEnd),Tasks[[#This Row],[_ShownFcstStart]]+Tasks[[#This Row],[_Row]]/100000,"")</f>
        <v/>
      </c>
      <c r="GN78" s="43" t="str">
        <f aca="false">IF(AND(Tasks[[#This Row],[_IsLeaf]]=1,Tasks[[#This Row],[_LeafProgress]]&lt;1,Tasks[[#This Row],[_ShownFcstFinish]]&gt;=StatusDate,Tasks[[#This Row],[_ShownFcstFinish]]&lt;=LookaheadEnd),Tasks[[#This Row],[_ShownFcstFinish]]+Tasks[[#This Row],[_Row]]/100000,"")</f>
        <v/>
      </c>
      <c r="GO78" s="43" t="str">
        <f aca="false">IF(Tasks[[#This Row],[_LeafCritical]],Tasks[[#This Row],[_ShownFcstStart]]+Tasks[[#This Row],[_Row]]/100000,"")</f>
        <v/>
      </c>
      <c r="GP78" s="43" t="n">
        <f aca="false">Tasks[[#This Row],[_LeafWork]]*Tasks[[#This Row],[_LeafProgress]]</f>
        <v>0</v>
      </c>
      <c r="GQ78" s="91" t="str">
        <f aca="false">IF(AND(Tasks[[#This Row],[_IsLeaf]]=1,Tasks[[#This Row],[_LeafProgress]]&gt;=1),IF(N(Tasks[[#This Row],[Actual Finish]])&gt;0,Tasks[[#This Row],[Actual Finish]],Tasks[[#This Row],[_ShownFcstFinish]]),"")</f>
        <v/>
      </c>
      <c r="GR78" s="43" t="n">
        <f aca="false">IF(Tasks[[#This Row],[_IsLeaf]]=1,N(Tasks[[#This Row],[Story Points]]),0)</f>
        <v>0</v>
      </c>
      <c r="GS78" s="43" t="str">
        <f aca="false">""</f>
        <v/>
      </c>
      <c r="GT78" s="90" t="b">
        <f aca="false">IF(Tasks[[#This Row],[Task Name]]="",FALSE(),AND(Tasks[[#This Row],[_IsLeaf]]=1,N(Tasks[[#This Row],[_Days]])=0))</f>
        <v>0</v>
      </c>
      <c r="GU78" s="91" t="n">
        <f aca="false">IF(Tasks[[#This Row],[Task Name]]="",0,IF(AND(Tasks[[#This Row],[_IsLeaf]]=1,NOT(Tasks[[#This Row],[_IsMilestone]]),N(Tasks[[#This Row],[Progress]])&gt;0),Tasks[[#This Row],[Start]],0))</f>
        <v>0</v>
      </c>
      <c r="GV78" s="91" t="n">
        <f aca="false">IF(Tasks[[#This Row],[_DoneFrom]]=0,0,IF(Tasks[[#This Row],[Progress]]&gt;=1,Tasks[[#This Row],[Finish]],MAX(Tasks[[#This Row],[_DoneFrom]],Tasks[[#This Row],[Start]]+ROUND((Tasks[[#This Row],[Finish]]-Tasks[[#This Row],[Start]]+1)*Tasks[[#This Row],[Progress]],0)-1)))</f>
        <v>0</v>
      </c>
      <c r="GW78" s="91" t="n">
        <f aca="false">IF(Tasks[[#This Row],[Task Name]]="",0,IF(OR(NOT(Tasks[[#This Row],[_IsLeaf]]=1),Tasks[[#This Row],[_IsMilestone]],N(Tasks[[#This Row],[Progress]])&gt;=1),0,IF(Tasks[[#This Row],[_DoneTo]]&gt;0,Tasks[[#This Row],[_DoneTo]]+1,Tasks[[#This Row],[Start]])))</f>
        <v>0</v>
      </c>
      <c r="GX78" s="91" t="n">
        <f aca="false">IF(Tasks[[#This Row],[_RemFrom]]=0,0,Tasks[[#This Row],[Finish]])</f>
        <v>0</v>
      </c>
      <c r="GY78" s="90" t="b">
        <f aca="false">IF(Tasks[[#This Row],[Task Name]]="",FALSE(),OR(NOT(BaselineSet),N(Tasks[[#This Row],[Baseline Start]])&gt;0))</f>
        <v>0</v>
      </c>
      <c r="GZ7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8" s="92" t="str">
        <f aca="false">IF(Tasks[[#This Row],[_IsLeaf]]=1,Tasks[[#This Row],[_Row]],"")</f>
        <v/>
      </c>
      <c r="HD78" s="92" t="str">
        <f aca="false">IFERROR(INDEX(Tasks[UID],SMALL(Tasks[_PickKey],Tasks[[#This Row],[_Row]]))&amp;" "&amp;INDEX(Tasks[Task Name],SMALL(Tasks[_PickKey],Tasks[[#This Row],[_Row]])),"")</f>
        <v/>
      </c>
      <c r="HE78" s="43" t="str">
        <f aca="false">IF(Tasks[[#This Row],[Task Name]]="","",IF(Tasks[[#This Row],[_IsSummary]],NETWORKDAYS.INTL(Tasks[[#This Row],[Start]],Tasks[[#This Row],[Finish]],WorkWeek,Holidays),N(Tasks[[#This Row],[_Days]])))</f>
        <v/>
      </c>
      <c r="HF78" s="43" t="n">
        <f aca="false">IF(Tasks[[#This Row],[Expected]]="",0,((Tasks[[#This Row],[Pessimistic]]-Tasks[[#This Row],[Optimistic]])/6)^2)</f>
        <v>0</v>
      </c>
      <c r="HG78" s="43" t="n">
        <f aca="false">IF(Tasks[[#This Row],[Expected]]="",0,Tasks[[#This Row],[Expected]]-N(Tasks[[#This Row],[_Days]]))</f>
        <v>0</v>
      </c>
    </row>
    <row r="79" customFormat="false" ht="15" hidden="false" customHeight="false" outlineLevel="0" collapsed="false">
      <c r="A79" s="21" t="str">
        <f aca="false">IF(Tasks[[#This Row],[Task Name]]="","",COUNTA(Tasks[[#Headers],[Task Name]]:Tasks[[#This Row],[Task Name]])-1)</f>
        <v/>
      </c>
      <c r="B79" s="22" t="n">
        <v>87</v>
      </c>
      <c r="C79" s="22"/>
      <c r="D79" s="23"/>
      <c r="E79" s="22"/>
      <c r="F79" s="23"/>
      <c r="G79" s="22"/>
      <c r="H79" s="22"/>
      <c r="I79" s="23"/>
      <c r="J79" s="22"/>
      <c r="K79" s="22"/>
      <c r="L79" s="23"/>
      <c r="M79" s="22"/>
      <c r="N79" s="22"/>
      <c r="O79" s="23"/>
      <c r="P79" s="22"/>
      <c r="Q79" s="22"/>
      <c r="R79" s="23"/>
      <c r="S79" s="23"/>
      <c r="T79" s="84"/>
      <c r="U79" s="23"/>
      <c r="V79" s="84"/>
      <c r="W79" s="23"/>
      <c r="X79" s="84"/>
      <c r="Y79" s="23"/>
      <c r="Z79" s="84"/>
      <c r="AA79" s="23"/>
      <c r="AB79" s="23"/>
      <c r="AC79" s="7"/>
      <c r="AD79" s="7"/>
      <c r="AE79" s="63" t="str">
        <f aca="false">IF(Tasks[[#This Row],[Task Name]]="","",IF(Tasks[[#This Row],[_IsSummary]],MIN(INDEX(Tasks[_ShownFcstStart],Tasks[[#This Row],[_Row]]+1):INDEX(Tasks[_ShownFcstStart],Tasks[[#This Row],[_Row]]+Tasks[[#This Row],[_Descendants]])),Tasks[[#This Row],[_ShownFcstStart]]))</f>
        <v/>
      </c>
      <c r="AF79" s="63" t="str">
        <f aca="false">IF(Tasks[[#This Row],[Task Name]]="","",IF(Tasks[[#This Row],[_IsSummary]],MAX(INDEX(Tasks[_ShownFcstFinish],Tasks[[#This Row],[_Row]]+1):INDEX(Tasks[_ShownFcstFinish],Tasks[[#This Row],[_Row]]+Tasks[[#This Row],[_Descendants]])),Tasks[[#This Row],[_ShownFcstFinish]]))</f>
        <v/>
      </c>
      <c r="AG79" s="21" t="str">
        <f aca="false">""</f>
        <v/>
      </c>
      <c r="AH79" s="23"/>
      <c r="AI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9" s="7"/>
      <c r="AK79" s="22"/>
      <c r="AL79" s="23"/>
      <c r="AM79" s="7"/>
      <c r="AN79" s="47" t="str">
        <f aca="false">IF(Tasks[[#This Row],[Task Name]]="","",IF(Tasks[[#This Row],[Finish]]&gt;=Tasks[[#This Row],[Planned Finish]],NETWORKDAYS.INTL(Tasks[[#This Row],[Planned Finish]],Tasks[[#This Row],[Finish]],WorkWeek,Holidays)-1,1-NETWORKDAYS.INTL(Tasks[[#This Row],[Finish]],Tasks[[#This Row],[Planned Finish]],WorkWeek,Holidays)))</f>
        <v/>
      </c>
      <c r="AO79" s="21" t="str">
        <f aca="false">IF(Tasks[[#This Row],[Task Name]]="","",IF(Tasks[[#This Row],[Progress]]&gt;=1,"Complete",IF(OR(N(Tasks[[#This Row],[Actual Start]])&gt;0,Tasks[[#This Row],[Progress]]&gt;0),IF(Tasks[[#This Row],[Finish Var]]&gt;0,"Behind","In Progress"),IF(Tasks[[#This Row],[Planned Start]]&lt;StatusDate,"Late Start","Not Started"))))</f>
        <v/>
      </c>
      <c r="AP79" s="21" t="str">
        <f aca="false">IF(Tasks[[#This Row],[Task Name]]="","",IF(IF(Tasks[[#This Row],[_IsSummary]],COUNTIF(INDEX(Tasks[_LeafCritical],Tasks[[#This Row],[_Row]]+1):INDEX(Tasks[_LeafCritical],Tasks[[#This Row],[_Row]]+Tasks[[#This Row],[_Descendants]]),TRUE())&gt;0,Tasks[[#This Row],[_LeafCritical]]),"Yes",""))</f>
        <v/>
      </c>
      <c r="AQ79" s="63" t="str">
        <f aca="false">IF(Tasks[[#This Row],[Task Name]]="","",IF(N(Tasks[[#This Row],[Baseline Start]])&gt;0,Tasks[[#This Row],[Baseline Start]],Tasks[[#This Row],[_CalcStart]]))</f>
        <v/>
      </c>
      <c r="AR79" s="63" t="str">
        <f aca="false">IF(Tasks[[#This Row],[Task Name]]="","",IF(N(Tasks[[#This Row],[Baseline Finish]])&gt;0,Tasks[[#This Row],[Baseline Finish]],Tasks[[#This Row],[_CalcFinish]]))</f>
        <v/>
      </c>
      <c r="AS79" s="47" t="str">
        <f aca="false">IF(Tasks[[#This Row],[Task Name]]="","",IF(Tasks[[#This Row],[Start]]&gt;=Tasks[[#This Row],[Planned Start]],NETWORKDAYS.INTL(Tasks[[#This Row],[Planned Start]],Tasks[[#This Row],[Start]],WorkWeek,Holidays)-1,1-NETWORKDAYS.INTL(Tasks[[#This Row],[Start]],Tasks[[#This Row],[Planned Start]],WorkWeek,Holidays)))</f>
        <v/>
      </c>
      <c r="AT79" s="63" t="str">
        <f aca="false">IF(Tasks[[#This Row],[Task Name]]="","",IF(Tasks[[#This Row],[_IsSummary]],MIN(INDEX(Tasks[_LeafLateStart],Tasks[[#This Row],[_Row]]+1):INDEX(Tasks[_LeafLateStart],Tasks[[#This Row],[_Row]]+Tasks[[#This Row],[_Descendants]])),Tasks[[#This Row],[_LeafLateStart]]))</f>
        <v/>
      </c>
      <c r="AU79" s="63" t="str">
        <f aca="false">IF(Tasks[[#This Row],[Task Name]]="","",IF(Tasks[[#This Row],[_IsSummary]],MAX(INDEX(Tasks[_LeafLateFinish],Tasks[[#This Row],[_Row]]+1):INDEX(Tasks[_LeafLateFinish],Tasks[[#This Row],[_Row]]+Tasks[[#This Row],[_Descendants]])),Tasks[[#This Row],[_LeafLateFinish]]))</f>
        <v/>
      </c>
      <c r="AV79" s="47" t="str">
        <f aca="false">IF(Tasks[[#This Row],[Task Name]]="","",IF(Tasks[[#This Row],[_IsSummary]],MIN(INDEX(Tasks[_LeafTotalSlack],Tasks[[#This Row],[_Row]]+1):INDEX(Tasks[_LeafTotalSlack],Tasks[[#This Row],[_Row]]+Tasks[[#This Row],[_Descendants]])),Tasks[[#This Row],[_LeafTotalSlack]]))</f>
        <v/>
      </c>
      <c r="AW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5"/>
      <c r="BA7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1" t="str">
        <f aca="false">IF(Tasks[[#This Row],[Task Name]]="","",IF(Tasks[[#This Row],[_Level]]&lt;=OutlineShowLevel,"Yes","No"))</f>
        <v/>
      </c>
      <c r="BE79" s="86" t="str">
        <f aca="false">IF(Tasks[[#This Row],[Task Name]]="","",IF(Tasks[[#This Row],[_IsSummary]],SUM(INDEX(Tasks[_LeafTotalWork],Tasks[[#This Row],[_Row]]+1):INDEX(Tasks[_LeafTotalWork],Tasks[[#This Row],[_Row]]+Tasks[[#This Row],[_Descendants]])),Tasks[[#This Row],[_LeafTotalWork]]))</f>
        <v/>
      </c>
      <c r="BF79" s="23"/>
      <c r="BG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9" s="21" t="str">
        <f aca="false">""</f>
        <v/>
      </c>
      <c r="BI79" s="87"/>
      <c r="BJ79" s="22"/>
      <c r="BK79" s="47" t="str">
        <f aca="false">IF(OR(Tasks[[#This Row],[Task Name]]="",Tasks[[#This Row],[Baseline Duration]]=""),"",Tasks[[#This Row],[_SpanDays]]-N(Tasks[[#This Row],[Baseline Duration]]))</f>
        <v/>
      </c>
      <c r="BL79" s="86" t="str">
        <f aca="false">IF(OR(Tasks[[#This Row],[Task Name]]="",Tasks[[#This Row],[Baseline Work]]=""),"",Tasks[[#This Row],[Work]]-N(Tasks[[#This Row],[Baseline Work]]))</f>
        <v/>
      </c>
      <c r="BM79" s="63" t="str">
        <f aca="false">IF(Tasks[[#This Row],[Task Name]]="","",IF(OR(TakeBaseline="Yes",N(Tasks[[#This Row],[Baseline Start]])=0),Tasks[[#This Row],[Start]],Tasks[[#This Row],[Baseline Start]]))</f>
        <v/>
      </c>
      <c r="BN79" s="63" t="str">
        <f aca="false">IF(Tasks[[#This Row],[Task Name]]="","",IF(OR(TakeBaseline="Yes",N(Tasks[[#This Row],[Baseline Finish]])=0),Tasks[[#This Row],[Finish]],Tasks[[#This Row],[Baseline Finish]]))</f>
        <v/>
      </c>
      <c r="BO79" s="21" t="str">
        <f aca="false">IF(Tasks[[#This Row],[Task Name]]="","",IF(OR(TakeBaseline="Yes",N(Tasks[[#This Row],[Baseline Duration]])=0),Tasks[[#This Row],[_SpanDays]],Tasks[[#This Row],[Baseline Duration]]))</f>
        <v/>
      </c>
      <c r="BP79" s="86" t="str">
        <f aca="false">IF(Tasks[[#This Row],[Task Name]]="","",IF(OR(TakeBaseline="Yes",N(Tasks[[#This Row],[Baseline Work]])=0),Tasks[[#This Row],[Work]],Tasks[[#This Row],[Baseline Work]]))</f>
        <v/>
      </c>
      <c r="BQ79" s="7"/>
      <c r="BR79" s="7"/>
      <c r="BS79" s="22"/>
      <c r="BT79" s="88"/>
      <c r="BU79" s="23"/>
      <c r="BV79" s="23"/>
      <c r="BW79" s="23"/>
      <c r="BX79" s="89" t="str">
        <f aca="false">IF(AND(Tasks[[#This Row],[_IsLeaf]]=1,ISNUMBER(Tasks[[#This Row],[Optimistic]]),ISNUMBER(Tasks[[#This Row],[Pessimistic]])),ROUND((Tasks[[#This Row],[Optimistic]]+4*N(Tasks[[#This Row],[_Days]])+Tasks[[#This Row],[Pessimistic]])/6,1),"")</f>
        <v/>
      </c>
      <c r="BY79" s="87"/>
      <c r="BZ79" s="87"/>
      <c r="CA79" s="22"/>
      <c r="CB79" s="43" t="str">
        <f aca="false">IF(Tasks[[#This Row],[Task Name]]="","",MAX(1,N(Tasks[[#This Row],[Level]])))</f>
        <v/>
      </c>
      <c r="CC79" s="43" t="n">
        <f aca="false">ROW()-ROW(Tasks[[#Headers],[ID]])</f>
        <v>74</v>
      </c>
      <c r="CD79" s="43" t="n">
        <f aca="false">IF(OR(Tasks[[#This Row],[Task Name]]="",Tasks[[#This Row],[_Level]]&lt;=1),0,IFERROR(LOOKUP(2,1/(Tasks[[#Headers],[_Level]]:Tasks[[#This Row],[_Level]]=Tasks[[#This Row],[_Level]]-1),ROW(Tasks[[#Headers],[_Level]]:Tasks[[#This Row],[_Level]])),0))</f>
        <v>0</v>
      </c>
      <c r="CE79" s="43" t="n">
        <f aca="false">IFERROR(N(INDEX(Tasks[_Level],Tasks[[#This Row],[_Row]]+1)),0)</f>
        <v>0</v>
      </c>
      <c r="CF79" s="90" t="b">
        <f aca="false">AND(Tasks[[#This Row],[Task Name]]&lt;&gt;"",Tasks[[#This Row],[_NextLevel]]&gt;Tasks[[#This Row],[_Level]])</f>
        <v>0</v>
      </c>
      <c r="CG79" s="43" t="n">
        <f aca="false">IF(Tasks[[#This Row],[_IsSummary]],COUNTIF(Tasks[WBS],Tasks[[#This Row],[WBS]]&amp;".*"),0)</f>
        <v>0</v>
      </c>
      <c r="CH79" s="43" t="n">
        <f aca="false">IF(AND(Tasks[[#This Row],[Task Name]]&lt;&gt;"",NOT(Tasks[[#This Row],[_IsSummary]])),1,0)</f>
        <v>0</v>
      </c>
      <c r="CI79" s="43" t="n">
        <f aca="false">IF(N(Tasks[[#This Row],[_Pred1UID]])=0,0,IFERROR(MATCH(Tasks[[#This Row],[_Pred1UID]],Tasks[UID],0),-1))</f>
        <v>0</v>
      </c>
      <c r="CJ79" s="43" t="n">
        <f aca="false">IF(N(Tasks[[#This Row],[_Pred2UID]])=0,0,IFERROR(MATCH(Tasks[[#This Row],[_Pred2UID]],Tasks[UID],0),-1))</f>
        <v>0</v>
      </c>
      <c r="CK79" s="43" t="n">
        <f aca="false">IF(N(Tasks[[#This Row],[_Pred3UID]])=0,0,IFERROR(MATCH(Tasks[[#This Row],[_Pred3UID]],Tasks[UID],0),-1))</f>
        <v>0</v>
      </c>
      <c r="CL79" s="43" t="n">
        <f aca="false">IF(N(Tasks[[#This Row],[_Pred4UID]])=0,0,IFERROR(MATCH(Tasks[[#This Row],[_Pred4UID]],Tasks[UID],0),-1))</f>
        <v>0</v>
      </c>
      <c r="CM7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9" s="91" t="n">
        <f aca="false">IF(OR(Tasks[[#This Row],[_ConstraintCode]]=2,Tasks[[#This Row],[_ConstraintCode]]=3,Tasks[[#This Row],[_ConstraintCode]]=4,Tasks[[#This Row],[_ConstraintCode]]=6),Tasks[[#This Row],[_ConstraintStart]],0)</f>
        <v>0</v>
      </c>
      <c r="CP79" s="91" t="n">
        <f aca="false">IF(OR(Tasks[[#This Row],[_ConstraintCode]]=2,Tasks[[#This Row],[_ConstraintCode]]=3,Tasks[[#This Row],[_ConstraintCode]]=5,Tasks[[#This Row],[_ConstraintCode]]=7),Tasks[[#This Row],[_ConstraintStart]],2958465)</f>
        <v>2958465</v>
      </c>
      <c r="CQ7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9" s="91" t="str">
        <f aca="false">IF(NOT(Tasks[[#This Row],[_IsLeaf]]=1),"",IF(N(Tasks[[#This Row],[_Days]])&lt;=0,Tasks[[#This Row],[_LeafCalcStart]],WORKDAY.INTL(Tasks[[#This Row],[_LeafCalcStart]],Tasks[[#This Row],[_Days]]-1,WorkWeek,Holidays)))</f>
        <v/>
      </c>
      <c r="CS7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9" s="43" t="str">
        <f aca="false">IF(Tasks[[#This Row],[_Predecessors]]="","",TRIM(MID(SUBSTITUTE(SUBSTITUTE(SUBSTITUTE(UPPER(Tasks[[#This Row],[_Predecessors]]),";",",")," ",""),",",REPT(" ",99)),1,99)))</f>
        <v/>
      </c>
      <c r="CV79" s="43" t="str">
        <f aca="false">IF(Tasks[[#This Row],[_Pred1Text]]="","",IFERROR(VALUE(LEFT(Tasks[[#This Row],[_Pred1Text]],MIN(FIND("F",Tasks[[#This Row],[_Pred1Text]]&amp;"F"),FIND("S",Tasks[[#This Row],[_Pred1Text]]&amp;"S"),FIND("+",Tasks[[#This Row],[_Pred1Text]]&amp;"+"),FIND("-",Tasks[[#This Row],[_Pred1Text]]&amp;"-"))-1)),""))</f>
        <v/>
      </c>
      <c r="CW7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9" s="43" t="str">
        <f aca="false">IF(Tasks[[#This Row],[_Pred1Text]]="","",TRIM(MID(SUBSTITUTE(SUBSTITUTE(SUBSTITUTE(UPPER(Tasks[[#This Row],[_Predecessors]]),";",",")," ",""),",",REPT(" ",99)),100,99)))</f>
        <v/>
      </c>
      <c r="CZ79" s="43" t="str">
        <f aca="false">IF(Tasks[[#This Row],[_Pred2Text]]="","",IFERROR(VALUE(LEFT(Tasks[[#This Row],[_Pred2Text]],MIN(FIND("F",Tasks[[#This Row],[_Pred2Text]]&amp;"F"),FIND("S",Tasks[[#This Row],[_Pred2Text]]&amp;"S"),FIND("+",Tasks[[#This Row],[_Pred2Text]]&amp;"+"),FIND("-",Tasks[[#This Row],[_Pred2Text]]&amp;"-"))-1)),""))</f>
        <v/>
      </c>
      <c r="DA7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9" s="43" t="str">
        <f aca="false">IF(Tasks[[#This Row],[_Pred2Text]]="","",TRIM(MID(SUBSTITUTE(SUBSTITUTE(SUBSTITUTE(UPPER(Tasks[[#This Row],[_Predecessors]]),";",",")," ",""),",",REPT(" ",99)),199,99)))</f>
        <v/>
      </c>
      <c r="DD79" s="43" t="str">
        <f aca="false">IF(Tasks[[#This Row],[_Pred3Text]]="","",IFERROR(VALUE(LEFT(Tasks[[#This Row],[_Pred3Text]],MIN(FIND("F",Tasks[[#This Row],[_Pred3Text]]&amp;"F"),FIND("S",Tasks[[#This Row],[_Pred3Text]]&amp;"S"),FIND("+",Tasks[[#This Row],[_Pred3Text]]&amp;"+"),FIND("-",Tasks[[#This Row],[_Pred3Text]]&amp;"-"))-1)),""))</f>
        <v/>
      </c>
      <c r="DE7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9" s="43" t="str">
        <f aca="false">IF(Tasks[[#This Row],[_Pred3Text]]="","",TRIM(MID(SUBSTITUTE(SUBSTITUTE(SUBSTITUTE(UPPER(Tasks[[#This Row],[_Predecessors]]),";",",")," ",""),",",REPT(" ",99)),298,99)))</f>
        <v/>
      </c>
      <c r="DH79" s="43" t="str">
        <f aca="false">IF(Tasks[[#This Row],[_Pred4Text]]="","",IFERROR(VALUE(LEFT(Tasks[[#This Row],[_Pred4Text]],MIN(FIND("F",Tasks[[#This Row],[_Pred4Text]]&amp;"F"),FIND("S",Tasks[[#This Row],[_Pred4Text]]&amp;"S"),FIND("+",Tasks[[#This Row],[_Pred4Text]]&amp;"+"),FIND("-",Tasks[[#This Row],[_Pred4Text]]&amp;"-"))-1)),""))</f>
        <v/>
      </c>
      <c r="DI7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9" s="43" t="str">
        <f aca="false">IF(OR(Tasks[[#This Row],[Task Name]]="",Tasks[[#This Row],[_Resources]]=""),"",TRIM(MID(SUBSTITUTE(Tasks[[#This Row],[_Resources]],",",REPT(" ",99)),1,99)))</f>
        <v/>
      </c>
      <c r="DL79" s="43" t="str">
        <f aca="false">IF(Tasks[[#This Row],[_Res1Text]]="","",TRIM(MID(SUBSTITUTE(Tasks[[#This Row],[_Resources]],",",REPT(" ",99)),100,99)))</f>
        <v/>
      </c>
      <c r="DM79" s="43" t="str">
        <f aca="false">IF(Tasks[[#This Row],[_Res2Text]]="","",TRIM(MID(SUBSTITUTE(Tasks[[#This Row],[_Resources]],",",REPT(" ",99)),199,99)))</f>
        <v/>
      </c>
      <c r="DN79" s="43" t="str">
        <f aca="false">IF(Tasks[[#This Row],[_Res3Text]]="","",TRIM(MID(SUBSTITUTE(Tasks[[#This Row],[_Resources]],",",REPT(" ",99)),298,99)))</f>
        <v/>
      </c>
      <c r="DO79" s="43" t="n">
        <f aca="false">IF(Tasks[[#This Row],[_Res1Text]]="",0,IFERROR(MATCH(TRIM(LEFT(Tasks[[#This Row],[_Res1Text]],FIND("[",Tasks[[#This Row],[_Res1Text]]&amp;"[")-1)),res_Name,0),IFERROR(MATCH(TRIM(LEFT(Tasks[[#This Row],[_Res1Text]],FIND("[",Tasks[[#This Row],[_Res1Text]]&amp;"[")-1)),res_Initials,0),0)))</f>
        <v>0</v>
      </c>
      <c r="DP79" s="43" t="n">
        <f aca="false">IF(Tasks[[#This Row],[_Res2Text]]="",0,IFERROR(MATCH(TRIM(LEFT(Tasks[[#This Row],[_Res2Text]],FIND("[",Tasks[[#This Row],[_Res2Text]]&amp;"[")-1)),res_Name,0),IFERROR(MATCH(TRIM(LEFT(Tasks[[#This Row],[_Res2Text]],FIND("[",Tasks[[#This Row],[_Res2Text]]&amp;"[")-1)),res_Initials,0),0)))</f>
        <v>0</v>
      </c>
      <c r="DQ79" s="43" t="n">
        <f aca="false">IF(Tasks[[#This Row],[_Res3Text]]="",0,IFERROR(MATCH(TRIM(LEFT(Tasks[[#This Row],[_Res3Text]],FIND("[",Tasks[[#This Row],[_Res3Text]]&amp;"[")-1)),res_Name,0),IFERROR(MATCH(TRIM(LEFT(Tasks[[#This Row],[_Res3Text]],FIND("[",Tasks[[#This Row],[_Res3Text]]&amp;"[")-1)),res_Initials,0),0)))</f>
        <v>0</v>
      </c>
      <c r="DR79" s="43" t="n">
        <f aca="false">IF(Tasks[[#This Row],[_Res4Text]]="",0,IFERROR(MATCH(TRIM(LEFT(Tasks[[#This Row],[_Res4Text]],FIND("[",Tasks[[#This Row],[_Res4Text]]&amp;"[")-1)),res_Name,0),IFERROR(MATCH(TRIM(LEFT(Tasks[[#This Row],[_Res4Text]],FIND("[",Tasks[[#This Row],[_Res4Text]]&amp;"[")-1)),res_Initials,0),0)))</f>
        <v>0</v>
      </c>
      <c r="DS79" s="43" t="str">
        <f aca="false">IF(Tasks[[#This Row],[_Res1Text]]="","",IF(Tasks[[#This Row],[_Res1Row]]&gt;0,INDEX(res_Name,Tasks[[#This Row],[_Res1Row]]),TRIM(LEFT(Tasks[[#This Row],[_Res1Text]],FIND("[",Tasks[[#This Row],[_Res1Text]]&amp;"[")-1))))</f>
        <v/>
      </c>
      <c r="DT7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9" s="43" t="n">
        <f aca="false">IF(NOT(Tasks[[#This Row],[_IsLeaf]]=1),0,(Tasks[[#This Row],[_Resource1]]&lt;&gt;"")+(Tasks[[#This Row],[_Res2]]&lt;&gt;"")+(Tasks[[#This Row],[_Res3]]&lt;&gt;"")+(Tasks[[#This Row],[_Res4]]&lt;&gt;""))</f>
        <v>0</v>
      </c>
      <c r="DV79" s="43" t="str">
        <f aca="false">IF(Tasks[[#This Row],[_Res2Text]]="","",IF(Tasks[[#This Row],[_Res2Row]]&gt;0,INDEX(res_Name,Tasks[[#This Row],[_Res2Row]]),TRIM(LEFT(Tasks[[#This Row],[_Res2Text]],FIND("[",Tasks[[#This Row],[_Res2Text]]&amp;"[")-1))))</f>
        <v/>
      </c>
      <c r="DW7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9" s="43" t="n">
        <f aca="false">IF(OR(NOT(Tasks[[#This Row],[_IsLeaf]]=1),Tasks[[#This Row],[_Res2Row]]=0),0,N(Tasks[[#This Row],[_Days]])*HoursPerDay*IF(Tasks[[#This Row],[_Res2Units]]="",DefaultUnits,Tasks[[#This Row],[_Res2Units]]))</f>
        <v>0</v>
      </c>
      <c r="DY79" s="43" t="n">
        <f aca="false">IF(AND(AND(Tasks[[#This Row],[_IsLeaf]]=1,Tasks[[#This Row],[_LeafTotalWork]]&gt;0),Tasks[[#This Row],[_Res2Work]]&gt;0),Tasks[[#This Row],[_Res2Work]]/(Tasks[[#This Row],[_FinishWorkday]]-Tasks[[#This Row],[_StartWorkday]]+1),0)</f>
        <v>0</v>
      </c>
      <c r="DZ79" s="43" t="n">
        <f aca="false">Tasks[[#This Row],[_Res2WorkPerWD]]*MAX(0,Tasks[[#This Row],[_StartWorkday]]-1)</f>
        <v>0</v>
      </c>
      <c r="EA79" s="43" t="n">
        <f aca="false">Tasks[[#This Row],[_Res2Work]]*Tasks[[#This Row],[_LeafProgress]]</f>
        <v>0</v>
      </c>
      <c r="EB79" s="43" t="str">
        <f aca="false">IF(Tasks[[#This Row],[_Res3Text]]="","",IF(Tasks[[#This Row],[_Res3Row]]&gt;0,INDEX(res_Name,Tasks[[#This Row],[_Res3Row]]),TRIM(LEFT(Tasks[[#This Row],[_Res3Text]],FIND("[",Tasks[[#This Row],[_Res3Text]]&amp;"[")-1))))</f>
        <v/>
      </c>
      <c r="EC7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9" s="43" t="n">
        <f aca="false">IF(OR(NOT(Tasks[[#This Row],[_IsLeaf]]=1),Tasks[[#This Row],[_Res3Row]]=0),0,N(Tasks[[#This Row],[_Days]])*HoursPerDay*IF(Tasks[[#This Row],[_Res3Units]]="",DefaultUnits,Tasks[[#This Row],[_Res3Units]]))</f>
        <v>0</v>
      </c>
      <c r="EE79" s="43" t="n">
        <f aca="false">IF(AND(AND(Tasks[[#This Row],[_IsLeaf]]=1,Tasks[[#This Row],[_LeafTotalWork]]&gt;0),Tasks[[#This Row],[_Res3Work]]&gt;0),Tasks[[#This Row],[_Res3Work]]/(Tasks[[#This Row],[_FinishWorkday]]-Tasks[[#This Row],[_StartWorkday]]+1),0)</f>
        <v>0</v>
      </c>
      <c r="EF79" s="43" t="n">
        <f aca="false">Tasks[[#This Row],[_Res3WorkPerWD]]*MAX(0,Tasks[[#This Row],[_StartWorkday]]-1)</f>
        <v>0</v>
      </c>
      <c r="EG79" s="43" t="n">
        <f aca="false">Tasks[[#This Row],[_Res3Work]]*Tasks[[#This Row],[_LeafProgress]]</f>
        <v>0</v>
      </c>
      <c r="EH79" s="43" t="str">
        <f aca="false">IF(Tasks[[#This Row],[_Res4Text]]="","",IF(Tasks[[#This Row],[_Res4Row]]&gt;0,INDEX(res_Name,Tasks[[#This Row],[_Res4Row]]),TRIM(LEFT(Tasks[[#This Row],[_Res4Text]],FIND("[",Tasks[[#This Row],[_Res4Text]]&amp;"[")-1))))</f>
        <v/>
      </c>
      <c r="EI7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9" s="43" t="n">
        <f aca="false">IF(OR(NOT(Tasks[[#This Row],[_IsLeaf]]=1),Tasks[[#This Row],[_Res4Row]]=0),0,N(Tasks[[#This Row],[_Days]])*HoursPerDay*IF(Tasks[[#This Row],[_Res4Units]]="",DefaultUnits,Tasks[[#This Row],[_Res4Units]]))</f>
        <v>0</v>
      </c>
      <c r="EK79" s="43" t="n">
        <f aca="false">IF(AND(AND(Tasks[[#This Row],[_IsLeaf]]=1,Tasks[[#This Row],[_LeafTotalWork]]&gt;0),Tasks[[#This Row],[_Res4Work]]&gt;0),Tasks[[#This Row],[_Res4Work]]/(Tasks[[#This Row],[_FinishWorkday]]-Tasks[[#This Row],[_StartWorkday]]+1),0)</f>
        <v>0</v>
      </c>
      <c r="EL79" s="43" t="n">
        <f aca="false">Tasks[[#This Row],[_Res4WorkPerWD]]*MAX(0,Tasks[[#This Row],[_StartWorkday]]-1)</f>
        <v>0</v>
      </c>
      <c r="EM79" s="43" t="n">
        <f aca="false">Tasks[[#This Row],[_Res4Work]]*Tasks[[#This Row],[_LeafProgress]]</f>
        <v>0</v>
      </c>
      <c r="EN79" s="43" t="n">
        <f aca="false">IF(ISNUMBER(Tasks[[#This Row],[% Complete]]),Tasks[[#This Row],[% Complete]],IF(Tasks[[#This Row],[Stage]]="",0,IFERROR(INDEX(stg_Pct,MATCH(Tasks[[#This Row],[Stage]],stg_Name,0)),0)))</f>
        <v>0</v>
      </c>
      <c r="EO79" s="43" t="n">
        <f aca="false">IF(NOT(Tasks[[#This Row],[_IsLeaf]]=1),0,IF(N(Tasks[[#This Row],[Actual Finish]])&gt;0,1,MIN(1,Tasks[[#This Row],[_Pct]])))</f>
        <v>0</v>
      </c>
      <c r="EP79" s="43" t="n">
        <f aca="false">IF(OR(NOT(Tasks[[#This Row],[_IsLeaf]]=1),Tasks[[#This Row],[_Res1Row]]=0),0,N(Tasks[[#This Row],[_Days]])*HoursPerDay*IF(Tasks[[#This Row],[_Units1]]="",DefaultUnits,Tasks[[#This Row],[_Units1]]))</f>
        <v>0</v>
      </c>
      <c r="EQ79" s="43" t="n">
        <f aca="false">Tasks[[#This Row],[_LeafWork]]+Tasks[[#This Row],[_Res2Work]]+Tasks[[#This Row],[_Res3Work]]+Tasks[[#This Row],[_Res4Work]]</f>
        <v>0</v>
      </c>
      <c r="ER7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9" s="43" t="n">
        <f aca="false">IF(NOT(Tasks[[#This Row],[_IsLeaf]]=1),0,MAX(_xlfn.MAXIFS(Tasks[_Row],Tasks[_Pred1UID],Tasks[[#This Row],[UID]]),_xlfn.MAXIFS(Tasks[_Row],Tasks[_Pred2UID],Tasks[[#This Row],[UID]]),_xlfn.MAXIFS(Tasks[_Row],Tasks[_Pred3UID],Tasks[[#This Row],[UID]]),_xlfn.MAXIFS(Tasks[_Row],Tasks[_Pred4UID],Tasks[[#This Row],[UID]])))</f>
        <v>0</v>
      </c>
      <c r="FA7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9" s="91" t="str">
        <f aca="false">IF(NOT(Tasks[[#This Row],[_IsLeaf]]=1),"",IF(N(Tasks[[#This Row],[_Days]])&lt;=0,Tasks[[#This Row],[_LeafLateFinish]],WORKDAY.INTL(Tasks[[#This Row],[_LeafLateFinish]],-(Tasks[[#This Row],[_Days]]-1),WorkWeek,Holidays)))</f>
        <v/>
      </c>
      <c r="FD7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9" s="90" t="b">
        <f aca="false">AND(Tasks[[#This Row],[_IsLeaf]]=1,Tasks[[#This Row],[_LeafProgress]]&lt;1,N(Tasks[[#This Row],[_LeafTotalSlack]])&lt;=CriticalSlackDays)</f>
        <v>0</v>
      </c>
      <c r="FF79" s="43" t="n">
        <f aca="false">IF(AND(Tasks[[#This Row],[_IsLeaf]]=1,Tasks[[#This Row],[_ConstraintCode]]=1,Tasks[[#This Row],[Mode]]&lt;&gt;"Manual",N(Tasks[[#This Row],[Actual Start]])=0),MAX(0,N(Tasks[[#This Row],[Free Slack]])),0)</f>
        <v>0</v>
      </c>
      <c r="FG79" s="91" t="str">
        <f aca="false">IF(NOT(Tasks[[#This Row],[_IsLeaf]]=1),"",IF(Tasks[[#This Row],[_AlapShift]]=0,Tasks[[#This Row],[_LeafCalcStart]],WORKDAY.INTL(Tasks[[#This Row],[_LeafCalcStart]],Tasks[[#This Row],[_AlapShift]],WorkWeek,Holidays)))</f>
        <v/>
      </c>
      <c r="FH79" s="91" t="str">
        <f aca="false">IF(NOT(Tasks[[#This Row],[_IsLeaf]]=1),"",IF(Tasks[[#This Row],[_AlapShift]]=0,Tasks[[#This Row],[_LeafCalcFinish]],WORKDAY.INTL(Tasks[[#This Row],[_LeafCalcFinish]],Tasks[[#This Row],[_AlapShift]],WorkWeek,Holidays)))</f>
        <v/>
      </c>
      <c r="FI79" s="91" t="str">
        <f aca="false">IF(NOT(Tasks[[#This Row],[_IsLeaf]]=1),"",IF(Tasks[[#This Row],[_AlapShift]]=0,Tasks[[#This Row],[_LeafFcstStart]],WORKDAY.INTL(Tasks[[#This Row],[_LeafFcstStart]],Tasks[[#This Row],[_AlapShift]],WorkWeek,Holidays)))</f>
        <v/>
      </c>
      <c r="FJ79" s="91" t="str">
        <f aca="false">IF(NOT(Tasks[[#This Row],[_IsLeaf]]=1),"",IF(Tasks[[#This Row],[_AlapShift]]=0,Tasks[[#This Row],[_LeafFcstFinish]],WORKDAY.INTL(Tasks[[#This Row],[_LeafFcstFinish]],Tasks[[#This Row],[_AlapShift]],WorkWeek,Holidays)))</f>
        <v/>
      </c>
      <c r="FK79" s="91" t="str">
        <f aca="false">IF(Tasks[[#This Row],[Task Name]]="","",IF(Tasks[[#This Row],[_IsSummary]],MIN(INDEX(Tasks[_ShownCalcStart],Tasks[[#This Row],[_Row]]+1):INDEX(Tasks[_ShownCalcStart],Tasks[[#This Row],[_Row]]+Tasks[[#This Row],[_Descendants]])),Tasks[[#This Row],[_ShownCalcStart]]))</f>
        <v/>
      </c>
      <c r="FL79" s="91" t="str">
        <f aca="false">IF(Tasks[[#This Row],[Task Name]]="","",IF(Tasks[[#This Row],[_IsSummary]],MAX(INDEX(Tasks[_ShownCalcFinish],Tasks[[#This Row],[_Row]]+1):INDEX(Tasks[_ShownCalcFinish],Tasks[[#This Row],[_Row]]+Tasks[[#This Row],[_Descendants]])),Tasks[[#This Row],[_ShownCalcFinish]]))</f>
        <v/>
      </c>
      <c r="FM7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9" s="43" t="n">
        <f aca="false">IF(AND(Tasks[[#This Row],[_IsLeaf]]=1,Tasks[[#This Row],[_LeafTotalWork]]&gt;0),NETWORKDAYS.INTL(ProjectStart,Tasks[[#This Row],[_ShownFcstStart]],WorkWeek,Holidays),0)</f>
        <v>0</v>
      </c>
      <c r="FZ79" s="43" t="n">
        <f aca="false">IF(AND(Tasks[[#This Row],[_IsLeaf]]=1,Tasks[[#This Row],[_LeafTotalWork]]&gt;0),MAX(Tasks[[#This Row],[_StartWorkday]],NETWORKDAYS.INTL(ProjectStart,Tasks[[#This Row],[_ShownFcstFinish]],WorkWeek,Holidays)),0)</f>
        <v>0</v>
      </c>
      <c r="GA79" s="43" t="n">
        <f aca="false">IF(AND(Tasks[[#This Row],[_IsLeaf]]=1,Tasks[[#This Row],[_LeafTotalWork]]&gt;0),Tasks[[#This Row],[_LeafWork]]/(Tasks[[#This Row],[_FinishWorkday]]-Tasks[[#This Row],[_StartWorkday]]+1),0)</f>
        <v>0</v>
      </c>
      <c r="GB79" s="43" t="n">
        <f aca="false">Tasks[[#This Row],[_WorkPerWorkday]]*(Tasks[[#This Row],[_StartWorkday]]-1)</f>
        <v>-0</v>
      </c>
      <c r="GC79" s="43" t="n">
        <f aca="false">IF(Tasks[[#This Row],[_IsLeaf]]=1,MAX(N(Tasks[[#This Row],[_Days]]),0.1),0)</f>
        <v>0</v>
      </c>
      <c r="GD79" s="43" t="n">
        <f aca="false">Tasks[[#This Row],[_WeightDur]]*Tasks[[#This Row],[_LeafProgress]]</f>
        <v>0</v>
      </c>
      <c r="GE79" s="43" t="n">
        <f aca="false">Tasks[[#This Row],[_WeightDur]]*Tasks[[#This Row],[_PlannedPct]]</f>
        <v>0</v>
      </c>
      <c r="GF7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9" s="43" t="str">
        <f aca="false">IF(AND(Tasks[[#This Row],[_IsLeaf]]=1,N(Tasks[[#This Row],[_Days]])=0,Tasks[[#This Row],[_LeafProgress]]&lt;1),Tasks[[#This Row],[_ShownFcstFinish]]+Tasks[[#This Row],[_Row]]/100000,"")</f>
        <v/>
      </c>
      <c r="GH7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9" s="43" t="str">
        <f aca="false">IF(Tasks[[#This Row],[Task Name]]="","",LEFT(Tasks[[#This Row],[WBS]],FIND(".",Tasks[[#This Row],[WBS]]&amp;".")-1))</f>
        <v/>
      </c>
      <c r="GJ79" s="43" t="str">
        <f aca="false">IF(AND(Tasks[[#This Row],[Task Name]]&lt;&gt;"",Tasks[[#This Row],[_Level]]=1),Tasks[[#This Row],[_Row]],"")</f>
        <v/>
      </c>
      <c r="GK79" s="43" t="str">
        <f aca="false">IF(AND(Tasks[[#This Row],[_IsLeaf]]=1,N(Tasks[[#This Row],[_Days]])=0),Tasks[[#This Row],[Planned Finish]]+Tasks[[#This Row],[_Row]]/100000,"")</f>
        <v/>
      </c>
      <c r="GL79" s="43" t="str">
        <f aca="false">IF(AND(Tasks[[#This Row],[_IsLeaf]]=1,Tasks[[#This Row],[_LeafProgress]]&lt;1,OR(N(Tasks[[#This Row],[Finish Var]])&gt;0,Tasks[[#This Row],[Status]]="Late Start")),MAX(0,Tasks[[#This Row],[Finish Var]])+1-Tasks[[#This Row],[_Row]]/1000000,"")</f>
        <v/>
      </c>
      <c r="GM79" s="43" t="str">
        <f aca="false">IF(AND(Tasks[[#This Row],[_IsLeaf]]=1,N(Tasks[[#This Row],[Actual Start]])=0,Tasks[[#This Row],[_ShownFcstStart]]&gt;=StatusDate,Tasks[[#This Row],[_ShownFcstStart]]&lt;=LookaheadEnd),Tasks[[#This Row],[_ShownFcstStart]]+Tasks[[#This Row],[_Row]]/100000,"")</f>
        <v/>
      </c>
      <c r="GN79" s="43" t="str">
        <f aca="false">IF(AND(Tasks[[#This Row],[_IsLeaf]]=1,Tasks[[#This Row],[_LeafProgress]]&lt;1,Tasks[[#This Row],[_ShownFcstFinish]]&gt;=StatusDate,Tasks[[#This Row],[_ShownFcstFinish]]&lt;=LookaheadEnd),Tasks[[#This Row],[_ShownFcstFinish]]+Tasks[[#This Row],[_Row]]/100000,"")</f>
        <v/>
      </c>
      <c r="GO79" s="43" t="str">
        <f aca="false">IF(Tasks[[#This Row],[_LeafCritical]],Tasks[[#This Row],[_ShownFcstStart]]+Tasks[[#This Row],[_Row]]/100000,"")</f>
        <v/>
      </c>
      <c r="GP79" s="43" t="n">
        <f aca="false">Tasks[[#This Row],[_LeafWork]]*Tasks[[#This Row],[_LeafProgress]]</f>
        <v>0</v>
      </c>
      <c r="GQ79" s="91" t="str">
        <f aca="false">IF(AND(Tasks[[#This Row],[_IsLeaf]]=1,Tasks[[#This Row],[_LeafProgress]]&gt;=1),IF(N(Tasks[[#This Row],[Actual Finish]])&gt;0,Tasks[[#This Row],[Actual Finish]],Tasks[[#This Row],[_ShownFcstFinish]]),"")</f>
        <v/>
      </c>
      <c r="GR79" s="43" t="n">
        <f aca="false">IF(Tasks[[#This Row],[_IsLeaf]]=1,N(Tasks[[#This Row],[Story Points]]),0)</f>
        <v>0</v>
      </c>
      <c r="GS79" s="43" t="str">
        <f aca="false">""</f>
        <v/>
      </c>
      <c r="GT79" s="90" t="b">
        <f aca="false">IF(Tasks[[#This Row],[Task Name]]="",FALSE(),AND(Tasks[[#This Row],[_IsLeaf]]=1,N(Tasks[[#This Row],[_Days]])=0))</f>
        <v>0</v>
      </c>
      <c r="GU79" s="91" t="n">
        <f aca="false">IF(Tasks[[#This Row],[Task Name]]="",0,IF(AND(Tasks[[#This Row],[_IsLeaf]]=1,NOT(Tasks[[#This Row],[_IsMilestone]]),N(Tasks[[#This Row],[Progress]])&gt;0),Tasks[[#This Row],[Start]],0))</f>
        <v>0</v>
      </c>
      <c r="GV79" s="91" t="n">
        <f aca="false">IF(Tasks[[#This Row],[_DoneFrom]]=0,0,IF(Tasks[[#This Row],[Progress]]&gt;=1,Tasks[[#This Row],[Finish]],MAX(Tasks[[#This Row],[_DoneFrom]],Tasks[[#This Row],[Start]]+ROUND((Tasks[[#This Row],[Finish]]-Tasks[[#This Row],[Start]]+1)*Tasks[[#This Row],[Progress]],0)-1)))</f>
        <v>0</v>
      </c>
      <c r="GW79" s="91" t="n">
        <f aca="false">IF(Tasks[[#This Row],[Task Name]]="",0,IF(OR(NOT(Tasks[[#This Row],[_IsLeaf]]=1),Tasks[[#This Row],[_IsMilestone]],N(Tasks[[#This Row],[Progress]])&gt;=1),0,IF(Tasks[[#This Row],[_DoneTo]]&gt;0,Tasks[[#This Row],[_DoneTo]]+1,Tasks[[#This Row],[Start]])))</f>
        <v>0</v>
      </c>
      <c r="GX79" s="91" t="n">
        <f aca="false">IF(Tasks[[#This Row],[_RemFrom]]=0,0,Tasks[[#This Row],[Finish]])</f>
        <v>0</v>
      </c>
      <c r="GY79" s="90" t="b">
        <f aca="false">IF(Tasks[[#This Row],[Task Name]]="",FALSE(),OR(NOT(BaselineSet),N(Tasks[[#This Row],[Baseline Start]])&gt;0))</f>
        <v>0</v>
      </c>
      <c r="GZ7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9" s="92" t="str">
        <f aca="false">IF(Tasks[[#This Row],[_IsLeaf]]=1,Tasks[[#This Row],[_Row]],"")</f>
        <v/>
      </c>
      <c r="HD79" s="92" t="str">
        <f aca="false">IFERROR(INDEX(Tasks[UID],SMALL(Tasks[_PickKey],Tasks[[#This Row],[_Row]]))&amp;" "&amp;INDEX(Tasks[Task Name],SMALL(Tasks[_PickKey],Tasks[[#This Row],[_Row]])),"")</f>
        <v/>
      </c>
      <c r="HE79" s="43" t="str">
        <f aca="false">IF(Tasks[[#This Row],[Task Name]]="","",IF(Tasks[[#This Row],[_IsSummary]],NETWORKDAYS.INTL(Tasks[[#This Row],[Start]],Tasks[[#This Row],[Finish]],WorkWeek,Holidays),N(Tasks[[#This Row],[_Days]])))</f>
        <v/>
      </c>
      <c r="HF79" s="43" t="n">
        <f aca="false">IF(Tasks[[#This Row],[Expected]]="",0,((Tasks[[#This Row],[Pessimistic]]-Tasks[[#This Row],[Optimistic]])/6)^2)</f>
        <v>0</v>
      </c>
      <c r="HG79" s="43" t="n">
        <f aca="false">IF(Tasks[[#This Row],[Expected]]="",0,Tasks[[#This Row],[Expected]]-N(Tasks[[#This Row],[_Days]]))</f>
        <v>0</v>
      </c>
    </row>
    <row r="80" customFormat="false" ht="15" hidden="false" customHeight="false" outlineLevel="0" collapsed="false">
      <c r="A80" s="21" t="str">
        <f aca="false">IF(Tasks[[#This Row],[Task Name]]="","",COUNTA(Tasks[[#Headers],[Task Name]]:Tasks[[#This Row],[Task Name]])-1)</f>
        <v/>
      </c>
      <c r="B80" s="22" t="n">
        <v>88</v>
      </c>
      <c r="C80" s="22"/>
      <c r="D80" s="23"/>
      <c r="E80" s="22"/>
      <c r="F80" s="23"/>
      <c r="G80" s="22"/>
      <c r="H80" s="22"/>
      <c r="I80" s="23"/>
      <c r="J80" s="22"/>
      <c r="K80" s="22"/>
      <c r="L80" s="23"/>
      <c r="M80" s="22"/>
      <c r="N80" s="22"/>
      <c r="O80" s="23"/>
      <c r="P80" s="22"/>
      <c r="Q80" s="22"/>
      <c r="R80" s="23"/>
      <c r="S80" s="23"/>
      <c r="T80" s="84"/>
      <c r="U80" s="23"/>
      <c r="V80" s="84"/>
      <c r="W80" s="23"/>
      <c r="X80" s="84"/>
      <c r="Y80" s="23"/>
      <c r="Z80" s="84"/>
      <c r="AA80" s="23"/>
      <c r="AB80" s="23"/>
      <c r="AC80" s="7"/>
      <c r="AD80" s="7"/>
      <c r="AE80" s="63" t="str">
        <f aca="false">IF(Tasks[[#This Row],[Task Name]]="","",IF(Tasks[[#This Row],[_IsSummary]],MIN(INDEX(Tasks[_ShownFcstStart],Tasks[[#This Row],[_Row]]+1):INDEX(Tasks[_ShownFcstStart],Tasks[[#This Row],[_Row]]+Tasks[[#This Row],[_Descendants]])),Tasks[[#This Row],[_ShownFcstStart]]))</f>
        <v/>
      </c>
      <c r="AF80" s="63" t="str">
        <f aca="false">IF(Tasks[[#This Row],[Task Name]]="","",IF(Tasks[[#This Row],[_IsSummary]],MAX(INDEX(Tasks[_ShownFcstFinish],Tasks[[#This Row],[_Row]]+1):INDEX(Tasks[_ShownFcstFinish],Tasks[[#This Row],[_Row]]+Tasks[[#This Row],[_Descendants]])),Tasks[[#This Row],[_ShownFcstFinish]]))</f>
        <v/>
      </c>
      <c r="AG80" s="21" t="str">
        <f aca="false">""</f>
        <v/>
      </c>
      <c r="AH80" s="23"/>
      <c r="AI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0" s="7"/>
      <c r="AK80" s="22"/>
      <c r="AL80" s="23"/>
      <c r="AM80" s="7"/>
      <c r="AN80" s="47" t="str">
        <f aca="false">IF(Tasks[[#This Row],[Task Name]]="","",IF(Tasks[[#This Row],[Finish]]&gt;=Tasks[[#This Row],[Planned Finish]],NETWORKDAYS.INTL(Tasks[[#This Row],[Planned Finish]],Tasks[[#This Row],[Finish]],WorkWeek,Holidays)-1,1-NETWORKDAYS.INTL(Tasks[[#This Row],[Finish]],Tasks[[#This Row],[Planned Finish]],WorkWeek,Holidays)))</f>
        <v/>
      </c>
      <c r="AO80" s="21" t="str">
        <f aca="false">IF(Tasks[[#This Row],[Task Name]]="","",IF(Tasks[[#This Row],[Progress]]&gt;=1,"Complete",IF(OR(N(Tasks[[#This Row],[Actual Start]])&gt;0,Tasks[[#This Row],[Progress]]&gt;0),IF(Tasks[[#This Row],[Finish Var]]&gt;0,"Behind","In Progress"),IF(Tasks[[#This Row],[Planned Start]]&lt;StatusDate,"Late Start","Not Started"))))</f>
        <v/>
      </c>
      <c r="AP80" s="21" t="str">
        <f aca="false">IF(Tasks[[#This Row],[Task Name]]="","",IF(IF(Tasks[[#This Row],[_IsSummary]],COUNTIF(INDEX(Tasks[_LeafCritical],Tasks[[#This Row],[_Row]]+1):INDEX(Tasks[_LeafCritical],Tasks[[#This Row],[_Row]]+Tasks[[#This Row],[_Descendants]]),TRUE())&gt;0,Tasks[[#This Row],[_LeafCritical]]),"Yes",""))</f>
        <v/>
      </c>
      <c r="AQ80" s="63" t="str">
        <f aca="false">IF(Tasks[[#This Row],[Task Name]]="","",IF(N(Tasks[[#This Row],[Baseline Start]])&gt;0,Tasks[[#This Row],[Baseline Start]],Tasks[[#This Row],[_CalcStart]]))</f>
        <v/>
      </c>
      <c r="AR80" s="63" t="str">
        <f aca="false">IF(Tasks[[#This Row],[Task Name]]="","",IF(N(Tasks[[#This Row],[Baseline Finish]])&gt;0,Tasks[[#This Row],[Baseline Finish]],Tasks[[#This Row],[_CalcFinish]]))</f>
        <v/>
      </c>
      <c r="AS80" s="47" t="str">
        <f aca="false">IF(Tasks[[#This Row],[Task Name]]="","",IF(Tasks[[#This Row],[Start]]&gt;=Tasks[[#This Row],[Planned Start]],NETWORKDAYS.INTL(Tasks[[#This Row],[Planned Start]],Tasks[[#This Row],[Start]],WorkWeek,Holidays)-1,1-NETWORKDAYS.INTL(Tasks[[#This Row],[Start]],Tasks[[#This Row],[Planned Start]],WorkWeek,Holidays)))</f>
        <v/>
      </c>
      <c r="AT80" s="63" t="str">
        <f aca="false">IF(Tasks[[#This Row],[Task Name]]="","",IF(Tasks[[#This Row],[_IsSummary]],MIN(INDEX(Tasks[_LeafLateStart],Tasks[[#This Row],[_Row]]+1):INDEX(Tasks[_LeafLateStart],Tasks[[#This Row],[_Row]]+Tasks[[#This Row],[_Descendants]])),Tasks[[#This Row],[_LeafLateStart]]))</f>
        <v/>
      </c>
      <c r="AU80" s="63" t="str">
        <f aca="false">IF(Tasks[[#This Row],[Task Name]]="","",IF(Tasks[[#This Row],[_IsSummary]],MAX(INDEX(Tasks[_LeafLateFinish],Tasks[[#This Row],[_Row]]+1):INDEX(Tasks[_LeafLateFinish],Tasks[[#This Row],[_Row]]+Tasks[[#This Row],[_Descendants]])),Tasks[[#This Row],[_LeafLateFinish]]))</f>
        <v/>
      </c>
      <c r="AV80" s="47" t="str">
        <f aca="false">IF(Tasks[[#This Row],[Task Name]]="","",IF(Tasks[[#This Row],[_IsSummary]],MIN(INDEX(Tasks[_LeafTotalSlack],Tasks[[#This Row],[_Row]]+1):INDEX(Tasks[_LeafTotalSlack],Tasks[[#This Row],[_Row]]+Tasks[[#This Row],[_Descendants]])),Tasks[[#This Row],[_LeafTotalSlack]]))</f>
        <v/>
      </c>
      <c r="AW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5"/>
      <c r="BA8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1" t="str">
        <f aca="false">IF(Tasks[[#This Row],[Task Name]]="","",IF(Tasks[[#This Row],[_Level]]&lt;=OutlineShowLevel,"Yes","No"))</f>
        <v/>
      </c>
      <c r="BE80" s="86" t="str">
        <f aca="false">IF(Tasks[[#This Row],[Task Name]]="","",IF(Tasks[[#This Row],[_IsSummary]],SUM(INDEX(Tasks[_LeafTotalWork],Tasks[[#This Row],[_Row]]+1):INDEX(Tasks[_LeafTotalWork],Tasks[[#This Row],[_Row]]+Tasks[[#This Row],[_Descendants]])),Tasks[[#This Row],[_LeafTotalWork]]))</f>
        <v/>
      </c>
      <c r="BF80" s="23"/>
      <c r="BG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0" s="21" t="str">
        <f aca="false">""</f>
        <v/>
      </c>
      <c r="BI80" s="87"/>
      <c r="BJ80" s="22"/>
      <c r="BK80" s="47" t="str">
        <f aca="false">IF(OR(Tasks[[#This Row],[Task Name]]="",Tasks[[#This Row],[Baseline Duration]]=""),"",Tasks[[#This Row],[_SpanDays]]-N(Tasks[[#This Row],[Baseline Duration]]))</f>
        <v/>
      </c>
      <c r="BL80" s="86" t="str">
        <f aca="false">IF(OR(Tasks[[#This Row],[Task Name]]="",Tasks[[#This Row],[Baseline Work]]=""),"",Tasks[[#This Row],[Work]]-N(Tasks[[#This Row],[Baseline Work]]))</f>
        <v/>
      </c>
      <c r="BM80" s="63" t="str">
        <f aca="false">IF(Tasks[[#This Row],[Task Name]]="","",IF(OR(TakeBaseline="Yes",N(Tasks[[#This Row],[Baseline Start]])=0),Tasks[[#This Row],[Start]],Tasks[[#This Row],[Baseline Start]]))</f>
        <v/>
      </c>
      <c r="BN80" s="63" t="str">
        <f aca="false">IF(Tasks[[#This Row],[Task Name]]="","",IF(OR(TakeBaseline="Yes",N(Tasks[[#This Row],[Baseline Finish]])=0),Tasks[[#This Row],[Finish]],Tasks[[#This Row],[Baseline Finish]]))</f>
        <v/>
      </c>
      <c r="BO80" s="21" t="str">
        <f aca="false">IF(Tasks[[#This Row],[Task Name]]="","",IF(OR(TakeBaseline="Yes",N(Tasks[[#This Row],[Baseline Duration]])=0),Tasks[[#This Row],[_SpanDays]],Tasks[[#This Row],[Baseline Duration]]))</f>
        <v/>
      </c>
      <c r="BP80" s="86" t="str">
        <f aca="false">IF(Tasks[[#This Row],[Task Name]]="","",IF(OR(TakeBaseline="Yes",N(Tasks[[#This Row],[Baseline Work]])=0),Tasks[[#This Row],[Work]],Tasks[[#This Row],[Baseline Work]]))</f>
        <v/>
      </c>
      <c r="BQ80" s="7"/>
      <c r="BR80" s="7"/>
      <c r="BS80" s="22"/>
      <c r="BT80" s="88"/>
      <c r="BU80" s="23"/>
      <c r="BV80" s="23"/>
      <c r="BW80" s="23"/>
      <c r="BX80" s="89" t="str">
        <f aca="false">IF(AND(Tasks[[#This Row],[_IsLeaf]]=1,ISNUMBER(Tasks[[#This Row],[Optimistic]]),ISNUMBER(Tasks[[#This Row],[Pessimistic]])),ROUND((Tasks[[#This Row],[Optimistic]]+4*N(Tasks[[#This Row],[_Days]])+Tasks[[#This Row],[Pessimistic]])/6,1),"")</f>
        <v/>
      </c>
      <c r="BY80" s="87"/>
      <c r="BZ80" s="87"/>
      <c r="CA80" s="22"/>
      <c r="CB80" s="43" t="str">
        <f aca="false">IF(Tasks[[#This Row],[Task Name]]="","",MAX(1,N(Tasks[[#This Row],[Level]])))</f>
        <v/>
      </c>
      <c r="CC80" s="43" t="n">
        <f aca="false">ROW()-ROW(Tasks[[#Headers],[ID]])</f>
        <v>75</v>
      </c>
      <c r="CD80" s="43" t="n">
        <f aca="false">IF(OR(Tasks[[#This Row],[Task Name]]="",Tasks[[#This Row],[_Level]]&lt;=1),0,IFERROR(LOOKUP(2,1/(Tasks[[#Headers],[_Level]]:Tasks[[#This Row],[_Level]]=Tasks[[#This Row],[_Level]]-1),ROW(Tasks[[#Headers],[_Level]]:Tasks[[#This Row],[_Level]])),0))</f>
        <v>0</v>
      </c>
      <c r="CE80" s="43" t="n">
        <f aca="false">IFERROR(N(INDEX(Tasks[_Level],Tasks[[#This Row],[_Row]]+1)),0)</f>
        <v>0</v>
      </c>
      <c r="CF80" s="90" t="b">
        <f aca="false">AND(Tasks[[#This Row],[Task Name]]&lt;&gt;"",Tasks[[#This Row],[_NextLevel]]&gt;Tasks[[#This Row],[_Level]])</f>
        <v>0</v>
      </c>
      <c r="CG80" s="43" t="n">
        <f aca="false">IF(Tasks[[#This Row],[_IsSummary]],COUNTIF(Tasks[WBS],Tasks[[#This Row],[WBS]]&amp;".*"),0)</f>
        <v>0</v>
      </c>
      <c r="CH80" s="43" t="n">
        <f aca="false">IF(AND(Tasks[[#This Row],[Task Name]]&lt;&gt;"",NOT(Tasks[[#This Row],[_IsSummary]])),1,0)</f>
        <v>0</v>
      </c>
      <c r="CI80" s="43" t="n">
        <f aca="false">IF(N(Tasks[[#This Row],[_Pred1UID]])=0,0,IFERROR(MATCH(Tasks[[#This Row],[_Pred1UID]],Tasks[UID],0),-1))</f>
        <v>0</v>
      </c>
      <c r="CJ80" s="43" t="n">
        <f aca="false">IF(N(Tasks[[#This Row],[_Pred2UID]])=0,0,IFERROR(MATCH(Tasks[[#This Row],[_Pred2UID]],Tasks[UID],0),-1))</f>
        <v>0</v>
      </c>
      <c r="CK80" s="43" t="n">
        <f aca="false">IF(N(Tasks[[#This Row],[_Pred3UID]])=0,0,IFERROR(MATCH(Tasks[[#This Row],[_Pred3UID]],Tasks[UID],0),-1))</f>
        <v>0</v>
      </c>
      <c r="CL80" s="43" t="n">
        <f aca="false">IF(N(Tasks[[#This Row],[_Pred4UID]])=0,0,IFERROR(MATCH(Tasks[[#This Row],[_Pred4UID]],Tasks[UID],0),-1))</f>
        <v>0</v>
      </c>
      <c r="CM8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0" s="91" t="n">
        <f aca="false">IF(OR(Tasks[[#This Row],[_ConstraintCode]]=2,Tasks[[#This Row],[_ConstraintCode]]=3,Tasks[[#This Row],[_ConstraintCode]]=4,Tasks[[#This Row],[_ConstraintCode]]=6),Tasks[[#This Row],[_ConstraintStart]],0)</f>
        <v>0</v>
      </c>
      <c r="CP80" s="91" t="n">
        <f aca="false">IF(OR(Tasks[[#This Row],[_ConstraintCode]]=2,Tasks[[#This Row],[_ConstraintCode]]=3,Tasks[[#This Row],[_ConstraintCode]]=5,Tasks[[#This Row],[_ConstraintCode]]=7),Tasks[[#This Row],[_ConstraintStart]],2958465)</f>
        <v>2958465</v>
      </c>
      <c r="CQ8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0" s="91" t="str">
        <f aca="false">IF(NOT(Tasks[[#This Row],[_IsLeaf]]=1),"",IF(N(Tasks[[#This Row],[_Days]])&lt;=0,Tasks[[#This Row],[_LeafCalcStart]],WORKDAY.INTL(Tasks[[#This Row],[_LeafCalcStart]],Tasks[[#This Row],[_Days]]-1,WorkWeek,Holidays)))</f>
        <v/>
      </c>
      <c r="CS8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0" s="43" t="str">
        <f aca="false">IF(Tasks[[#This Row],[_Predecessors]]="","",TRIM(MID(SUBSTITUTE(SUBSTITUTE(SUBSTITUTE(UPPER(Tasks[[#This Row],[_Predecessors]]),";",",")," ",""),",",REPT(" ",99)),1,99)))</f>
        <v/>
      </c>
      <c r="CV80" s="43" t="str">
        <f aca="false">IF(Tasks[[#This Row],[_Pred1Text]]="","",IFERROR(VALUE(LEFT(Tasks[[#This Row],[_Pred1Text]],MIN(FIND("F",Tasks[[#This Row],[_Pred1Text]]&amp;"F"),FIND("S",Tasks[[#This Row],[_Pred1Text]]&amp;"S"),FIND("+",Tasks[[#This Row],[_Pred1Text]]&amp;"+"),FIND("-",Tasks[[#This Row],[_Pred1Text]]&amp;"-"))-1)),""))</f>
        <v/>
      </c>
      <c r="CW8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0" s="43" t="str">
        <f aca="false">IF(Tasks[[#This Row],[_Pred1Text]]="","",TRIM(MID(SUBSTITUTE(SUBSTITUTE(SUBSTITUTE(UPPER(Tasks[[#This Row],[_Predecessors]]),";",",")," ",""),",",REPT(" ",99)),100,99)))</f>
        <v/>
      </c>
      <c r="CZ80" s="43" t="str">
        <f aca="false">IF(Tasks[[#This Row],[_Pred2Text]]="","",IFERROR(VALUE(LEFT(Tasks[[#This Row],[_Pred2Text]],MIN(FIND("F",Tasks[[#This Row],[_Pred2Text]]&amp;"F"),FIND("S",Tasks[[#This Row],[_Pred2Text]]&amp;"S"),FIND("+",Tasks[[#This Row],[_Pred2Text]]&amp;"+"),FIND("-",Tasks[[#This Row],[_Pred2Text]]&amp;"-"))-1)),""))</f>
        <v/>
      </c>
      <c r="DA8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0" s="43" t="str">
        <f aca="false">IF(Tasks[[#This Row],[_Pred2Text]]="","",TRIM(MID(SUBSTITUTE(SUBSTITUTE(SUBSTITUTE(UPPER(Tasks[[#This Row],[_Predecessors]]),";",",")," ",""),",",REPT(" ",99)),199,99)))</f>
        <v/>
      </c>
      <c r="DD80" s="43" t="str">
        <f aca="false">IF(Tasks[[#This Row],[_Pred3Text]]="","",IFERROR(VALUE(LEFT(Tasks[[#This Row],[_Pred3Text]],MIN(FIND("F",Tasks[[#This Row],[_Pred3Text]]&amp;"F"),FIND("S",Tasks[[#This Row],[_Pred3Text]]&amp;"S"),FIND("+",Tasks[[#This Row],[_Pred3Text]]&amp;"+"),FIND("-",Tasks[[#This Row],[_Pred3Text]]&amp;"-"))-1)),""))</f>
        <v/>
      </c>
      <c r="DE8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0" s="43" t="str">
        <f aca="false">IF(Tasks[[#This Row],[_Pred3Text]]="","",TRIM(MID(SUBSTITUTE(SUBSTITUTE(SUBSTITUTE(UPPER(Tasks[[#This Row],[_Predecessors]]),";",",")," ",""),",",REPT(" ",99)),298,99)))</f>
        <v/>
      </c>
      <c r="DH80" s="43" t="str">
        <f aca="false">IF(Tasks[[#This Row],[_Pred4Text]]="","",IFERROR(VALUE(LEFT(Tasks[[#This Row],[_Pred4Text]],MIN(FIND("F",Tasks[[#This Row],[_Pred4Text]]&amp;"F"),FIND("S",Tasks[[#This Row],[_Pred4Text]]&amp;"S"),FIND("+",Tasks[[#This Row],[_Pred4Text]]&amp;"+"),FIND("-",Tasks[[#This Row],[_Pred4Text]]&amp;"-"))-1)),""))</f>
        <v/>
      </c>
      <c r="DI8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0" s="43" t="str">
        <f aca="false">IF(OR(Tasks[[#This Row],[Task Name]]="",Tasks[[#This Row],[_Resources]]=""),"",TRIM(MID(SUBSTITUTE(Tasks[[#This Row],[_Resources]],",",REPT(" ",99)),1,99)))</f>
        <v/>
      </c>
      <c r="DL80" s="43" t="str">
        <f aca="false">IF(Tasks[[#This Row],[_Res1Text]]="","",TRIM(MID(SUBSTITUTE(Tasks[[#This Row],[_Resources]],",",REPT(" ",99)),100,99)))</f>
        <v/>
      </c>
      <c r="DM80" s="43" t="str">
        <f aca="false">IF(Tasks[[#This Row],[_Res2Text]]="","",TRIM(MID(SUBSTITUTE(Tasks[[#This Row],[_Resources]],",",REPT(" ",99)),199,99)))</f>
        <v/>
      </c>
      <c r="DN80" s="43" t="str">
        <f aca="false">IF(Tasks[[#This Row],[_Res3Text]]="","",TRIM(MID(SUBSTITUTE(Tasks[[#This Row],[_Resources]],",",REPT(" ",99)),298,99)))</f>
        <v/>
      </c>
      <c r="DO80" s="43" t="n">
        <f aca="false">IF(Tasks[[#This Row],[_Res1Text]]="",0,IFERROR(MATCH(TRIM(LEFT(Tasks[[#This Row],[_Res1Text]],FIND("[",Tasks[[#This Row],[_Res1Text]]&amp;"[")-1)),res_Name,0),IFERROR(MATCH(TRIM(LEFT(Tasks[[#This Row],[_Res1Text]],FIND("[",Tasks[[#This Row],[_Res1Text]]&amp;"[")-1)),res_Initials,0),0)))</f>
        <v>0</v>
      </c>
      <c r="DP80" s="43" t="n">
        <f aca="false">IF(Tasks[[#This Row],[_Res2Text]]="",0,IFERROR(MATCH(TRIM(LEFT(Tasks[[#This Row],[_Res2Text]],FIND("[",Tasks[[#This Row],[_Res2Text]]&amp;"[")-1)),res_Name,0),IFERROR(MATCH(TRIM(LEFT(Tasks[[#This Row],[_Res2Text]],FIND("[",Tasks[[#This Row],[_Res2Text]]&amp;"[")-1)),res_Initials,0),0)))</f>
        <v>0</v>
      </c>
      <c r="DQ80" s="43" t="n">
        <f aca="false">IF(Tasks[[#This Row],[_Res3Text]]="",0,IFERROR(MATCH(TRIM(LEFT(Tasks[[#This Row],[_Res3Text]],FIND("[",Tasks[[#This Row],[_Res3Text]]&amp;"[")-1)),res_Name,0),IFERROR(MATCH(TRIM(LEFT(Tasks[[#This Row],[_Res3Text]],FIND("[",Tasks[[#This Row],[_Res3Text]]&amp;"[")-1)),res_Initials,0),0)))</f>
        <v>0</v>
      </c>
      <c r="DR80" s="43" t="n">
        <f aca="false">IF(Tasks[[#This Row],[_Res4Text]]="",0,IFERROR(MATCH(TRIM(LEFT(Tasks[[#This Row],[_Res4Text]],FIND("[",Tasks[[#This Row],[_Res4Text]]&amp;"[")-1)),res_Name,0),IFERROR(MATCH(TRIM(LEFT(Tasks[[#This Row],[_Res4Text]],FIND("[",Tasks[[#This Row],[_Res4Text]]&amp;"[")-1)),res_Initials,0),0)))</f>
        <v>0</v>
      </c>
      <c r="DS80" s="43" t="str">
        <f aca="false">IF(Tasks[[#This Row],[_Res1Text]]="","",IF(Tasks[[#This Row],[_Res1Row]]&gt;0,INDEX(res_Name,Tasks[[#This Row],[_Res1Row]]),TRIM(LEFT(Tasks[[#This Row],[_Res1Text]],FIND("[",Tasks[[#This Row],[_Res1Text]]&amp;"[")-1))))</f>
        <v/>
      </c>
      <c r="DT8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0" s="43" t="n">
        <f aca="false">IF(NOT(Tasks[[#This Row],[_IsLeaf]]=1),0,(Tasks[[#This Row],[_Resource1]]&lt;&gt;"")+(Tasks[[#This Row],[_Res2]]&lt;&gt;"")+(Tasks[[#This Row],[_Res3]]&lt;&gt;"")+(Tasks[[#This Row],[_Res4]]&lt;&gt;""))</f>
        <v>0</v>
      </c>
      <c r="DV80" s="43" t="str">
        <f aca="false">IF(Tasks[[#This Row],[_Res2Text]]="","",IF(Tasks[[#This Row],[_Res2Row]]&gt;0,INDEX(res_Name,Tasks[[#This Row],[_Res2Row]]),TRIM(LEFT(Tasks[[#This Row],[_Res2Text]],FIND("[",Tasks[[#This Row],[_Res2Text]]&amp;"[")-1))))</f>
        <v/>
      </c>
      <c r="DW8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0" s="43" t="n">
        <f aca="false">IF(OR(NOT(Tasks[[#This Row],[_IsLeaf]]=1),Tasks[[#This Row],[_Res2Row]]=0),0,N(Tasks[[#This Row],[_Days]])*HoursPerDay*IF(Tasks[[#This Row],[_Res2Units]]="",DefaultUnits,Tasks[[#This Row],[_Res2Units]]))</f>
        <v>0</v>
      </c>
      <c r="DY80" s="43" t="n">
        <f aca="false">IF(AND(AND(Tasks[[#This Row],[_IsLeaf]]=1,Tasks[[#This Row],[_LeafTotalWork]]&gt;0),Tasks[[#This Row],[_Res2Work]]&gt;0),Tasks[[#This Row],[_Res2Work]]/(Tasks[[#This Row],[_FinishWorkday]]-Tasks[[#This Row],[_StartWorkday]]+1),0)</f>
        <v>0</v>
      </c>
      <c r="DZ80" s="43" t="n">
        <f aca="false">Tasks[[#This Row],[_Res2WorkPerWD]]*MAX(0,Tasks[[#This Row],[_StartWorkday]]-1)</f>
        <v>0</v>
      </c>
      <c r="EA80" s="43" t="n">
        <f aca="false">Tasks[[#This Row],[_Res2Work]]*Tasks[[#This Row],[_LeafProgress]]</f>
        <v>0</v>
      </c>
      <c r="EB80" s="43" t="str">
        <f aca="false">IF(Tasks[[#This Row],[_Res3Text]]="","",IF(Tasks[[#This Row],[_Res3Row]]&gt;0,INDEX(res_Name,Tasks[[#This Row],[_Res3Row]]),TRIM(LEFT(Tasks[[#This Row],[_Res3Text]],FIND("[",Tasks[[#This Row],[_Res3Text]]&amp;"[")-1))))</f>
        <v/>
      </c>
      <c r="EC8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0" s="43" t="n">
        <f aca="false">IF(OR(NOT(Tasks[[#This Row],[_IsLeaf]]=1),Tasks[[#This Row],[_Res3Row]]=0),0,N(Tasks[[#This Row],[_Days]])*HoursPerDay*IF(Tasks[[#This Row],[_Res3Units]]="",DefaultUnits,Tasks[[#This Row],[_Res3Units]]))</f>
        <v>0</v>
      </c>
      <c r="EE80" s="43" t="n">
        <f aca="false">IF(AND(AND(Tasks[[#This Row],[_IsLeaf]]=1,Tasks[[#This Row],[_LeafTotalWork]]&gt;0),Tasks[[#This Row],[_Res3Work]]&gt;0),Tasks[[#This Row],[_Res3Work]]/(Tasks[[#This Row],[_FinishWorkday]]-Tasks[[#This Row],[_StartWorkday]]+1),0)</f>
        <v>0</v>
      </c>
      <c r="EF80" s="43" t="n">
        <f aca="false">Tasks[[#This Row],[_Res3WorkPerWD]]*MAX(0,Tasks[[#This Row],[_StartWorkday]]-1)</f>
        <v>0</v>
      </c>
      <c r="EG80" s="43" t="n">
        <f aca="false">Tasks[[#This Row],[_Res3Work]]*Tasks[[#This Row],[_LeafProgress]]</f>
        <v>0</v>
      </c>
      <c r="EH80" s="43" t="str">
        <f aca="false">IF(Tasks[[#This Row],[_Res4Text]]="","",IF(Tasks[[#This Row],[_Res4Row]]&gt;0,INDEX(res_Name,Tasks[[#This Row],[_Res4Row]]),TRIM(LEFT(Tasks[[#This Row],[_Res4Text]],FIND("[",Tasks[[#This Row],[_Res4Text]]&amp;"[")-1))))</f>
        <v/>
      </c>
      <c r="EI8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0" s="43" t="n">
        <f aca="false">IF(OR(NOT(Tasks[[#This Row],[_IsLeaf]]=1),Tasks[[#This Row],[_Res4Row]]=0),0,N(Tasks[[#This Row],[_Days]])*HoursPerDay*IF(Tasks[[#This Row],[_Res4Units]]="",DefaultUnits,Tasks[[#This Row],[_Res4Units]]))</f>
        <v>0</v>
      </c>
      <c r="EK80" s="43" t="n">
        <f aca="false">IF(AND(AND(Tasks[[#This Row],[_IsLeaf]]=1,Tasks[[#This Row],[_LeafTotalWork]]&gt;0),Tasks[[#This Row],[_Res4Work]]&gt;0),Tasks[[#This Row],[_Res4Work]]/(Tasks[[#This Row],[_FinishWorkday]]-Tasks[[#This Row],[_StartWorkday]]+1),0)</f>
        <v>0</v>
      </c>
      <c r="EL80" s="43" t="n">
        <f aca="false">Tasks[[#This Row],[_Res4WorkPerWD]]*MAX(0,Tasks[[#This Row],[_StartWorkday]]-1)</f>
        <v>0</v>
      </c>
      <c r="EM80" s="43" t="n">
        <f aca="false">Tasks[[#This Row],[_Res4Work]]*Tasks[[#This Row],[_LeafProgress]]</f>
        <v>0</v>
      </c>
      <c r="EN80" s="43" t="n">
        <f aca="false">IF(ISNUMBER(Tasks[[#This Row],[% Complete]]),Tasks[[#This Row],[% Complete]],IF(Tasks[[#This Row],[Stage]]="",0,IFERROR(INDEX(stg_Pct,MATCH(Tasks[[#This Row],[Stage]],stg_Name,0)),0)))</f>
        <v>0</v>
      </c>
      <c r="EO80" s="43" t="n">
        <f aca="false">IF(NOT(Tasks[[#This Row],[_IsLeaf]]=1),0,IF(N(Tasks[[#This Row],[Actual Finish]])&gt;0,1,MIN(1,Tasks[[#This Row],[_Pct]])))</f>
        <v>0</v>
      </c>
      <c r="EP80" s="43" t="n">
        <f aca="false">IF(OR(NOT(Tasks[[#This Row],[_IsLeaf]]=1),Tasks[[#This Row],[_Res1Row]]=0),0,N(Tasks[[#This Row],[_Days]])*HoursPerDay*IF(Tasks[[#This Row],[_Units1]]="",DefaultUnits,Tasks[[#This Row],[_Units1]]))</f>
        <v>0</v>
      </c>
      <c r="EQ80" s="43" t="n">
        <f aca="false">Tasks[[#This Row],[_LeafWork]]+Tasks[[#This Row],[_Res2Work]]+Tasks[[#This Row],[_Res3Work]]+Tasks[[#This Row],[_Res4Work]]</f>
        <v>0</v>
      </c>
      <c r="ER8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0" s="43" t="n">
        <f aca="false">IF(NOT(Tasks[[#This Row],[_IsLeaf]]=1),0,MAX(_xlfn.MAXIFS(Tasks[_Row],Tasks[_Pred1UID],Tasks[[#This Row],[UID]]),_xlfn.MAXIFS(Tasks[_Row],Tasks[_Pred2UID],Tasks[[#This Row],[UID]]),_xlfn.MAXIFS(Tasks[_Row],Tasks[_Pred3UID],Tasks[[#This Row],[UID]]),_xlfn.MAXIFS(Tasks[_Row],Tasks[_Pred4UID],Tasks[[#This Row],[UID]])))</f>
        <v>0</v>
      </c>
      <c r="FA8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0" s="91" t="str">
        <f aca="false">IF(NOT(Tasks[[#This Row],[_IsLeaf]]=1),"",IF(N(Tasks[[#This Row],[_Days]])&lt;=0,Tasks[[#This Row],[_LeafLateFinish]],WORKDAY.INTL(Tasks[[#This Row],[_LeafLateFinish]],-(Tasks[[#This Row],[_Days]]-1),WorkWeek,Holidays)))</f>
        <v/>
      </c>
      <c r="FD8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0" s="90" t="b">
        <f aca="false">AND(Tasks[[#This Row],[_IsLeaf]]=1,Tasks[[#This Row],[_LeafProgress]]&lt;1,N(Tasks[[#This Row],[_LeafTotalSlack]])&lt;=CriticalSlackDays)</f>
        <v>0</v>
      </c>
      <c r="FF80" s="43" t="n">
        <f aca="false">IF(AND(Tasks[[#This Row],[_IsLeaf]]=1,Tasks[[#This Row],[_ConstraintCode]]=1,Tasks[[#This Row],[Mode]]&lt;&gt;"Manual",N(Tasks[[#This Row],[Actual Start]])=0),MAX(0,N(Tasks[[#This Row],[Free Slack]])),0)</f>
        <v>0</v>
      </c>
      <c r="FG80" s="91" t="str">
        <f aca="false">IF(NOT(Tasks[[#This Row],[_IsLeaf]]=1),"",IF(Tasks[[#This Row],[_AlapShift]]=0,Tasks[[#This Row],[_LeafCalcStart]],WORKDAY.INTL(Tasks[[#This Row],[_LeafCalcStart]],Tasks[[#This Row],[_AlapShift]],WorkWeek,Holidays)))</f>
        <v/>
      </c>
      <c r="FH80" s="91" t="str">
        <f aca="false">IF(NOT(Tasks[[#This Row],[_IsLeaf]]=1),"",IF(Tasks[[#This Row],[_AlapShift]]=0,Tasks[[#This Row],[_LeafCalcFinish]],WORKDAY.INTL(Tasks[[#This Row],[_LeafCalcFinish]],Tasks[[#This Row],[_AlapShift]],WorkWeek,Holidays)))</f>
        <v/>
      </c>
      <c r="FI80" s="91" t="str">
        <f aca="false">IF(NOT(Tasks[[#This Row],[_IsLeaf]]=1),"",IF(Tasks[[#This Row],[_AlapShift]]=0,Tasks[[#This Row],[_LeafFcstStart]],WORKDAY.INTL(Tasks[[#This Row],[_LeafFcstStart]],Tasks[[#This Row],[_AlapShift]],WorkWeek,Holidays)))</f>
        <v/>
      </c>
      <c r="FJ80" s="91" t="str">
        <f aca="false">IF(NOT(Tasks[[#This Row],[_IsLeaf]]=1),"",IF(Tasks[[#This Row],[_AlapShift]]=0,Tasks[[#This Row],[_LeafFcstFinish]],WORKDAY.INTL(Tasks[[#This Row],[_LeafFcstFinish]],Tasks[[#This Row],[_AlapShift]],WorkWeek,Holidays)))</f>
        <v/>
      </c>
      <c r="FK80" s="91" t="str">
        <f aca="false">IF(Tasks[[#This Row],[Task Name]]="","",IF(Tasks[[#This Row],[_IsSummary]],MIN(INDEX(Tasks[_ShownCalcStart],Tasks[[#This Row],[_Row]]+1):INDEX(Tasks[_ShownCalcStart],Tasks[[#This Row],[_Row]]+Tasks[[#This Row],[_Descendants]])),Tasks[[#This Row],[_ShownCalcStart]]))</f>
        <v/>
      </c>
      <c r="FL80" s="91" t="str">
        <f aca="false">IF(Tasks[[#This Row],[Task Name]]="","",IF(Tasks[[#This Row],[_IsSummary]],MAX(INDEX(Tasks[_ShownCalcFinish],Tasks[[#This Row],[_Row]]+1):INDEX(Tasks[_ShownCalcFinish],Tasks[[#This Row],[_Row]]+Tasks[[#This Row],[_Descendants]])),Tasks[[#This Row],[_ShownCalcFinish]]))</f>
        <v/>
      </c>
      <c r="FM8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0" s="43" t="n">
        <f aca="false">IF(AND(Tasks[[#This Row],[_IsLeaf]]=1,Tasks[[#This Row],[_LeafTotalWork]]&gt;0),NETWORKDAYS.INTL(ProjectStart,Tasks[[#This Row],[_ShownFcstStart]],WorkWeek,Holidays),0)</f>
        <v>0</v>
      </c>
      <c r="FZ80" s="43" t="n">
        <f aca="false">IF(AND(Tasks[[#This Row],[_IsLeaf]]=1,Tasks[[#This Row],[_LeafTotalWork]]&gt;0),MAX(Tasks[[#This Row],[_StartWorkday]],NETWORKDAYS.INTL(ProjectStart,Tasks[[#This Row],[_ShownFcstFinish]],WorkWeek,Holidays)),0)</f>
        <v>0</v>
      </c>
      <c r="GA80" s="43" t="n">
        <f aca="false">IF(AND(Tasks[[#This Row],[_IsLeaf]]=1,Tasks[[#This Row],[_LeafTotalWork]]&gt;0),Tasks[[#This Row],[_LeafWork]]/(Tasks[[#This Row],[_FinishWorkday]]-Tasks[[#This Row],[_StartWorkday]]+1),0)</f>
        <v>0</v>
      </c>
      <c r="GB80" s="43" t="n">
        <f aca="false">Tasks[[#This Row],[_WorkPerWorkday]]*(Tasks[[#This Row],[_StartWorkday]]-1)</f>
        <v>-0</v>
      </c>
      <c r="GC80" s="43" t="n">
        <f aca="false">IF(Tasks[[#This Row],[_IsLeaf]]=1,MAX(N(Tasks[[#This Row],[_Days]]),0.1),0)</f>
        <v>0</v>
      </c>
      <c r="GD80" s="43" t="n">
        <f aca="false">Tasks[[#This Row],[_WeightDur]]*Tasks[[#This Row],[_LeafProgress]]</f>
        <v>0</v>
      </c>
      <c r="GE80" s="43" t="n">
        <f aca="false">Tasks[[#This Row],[_WeightDur]]*Tasks[[#This Row],[_PlannedPct]]</f>
        <v>0</v>
      </c>
      <c r="GF8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0" s="43" t="str">
        <f aca="false">IF(AND(Tasks[[#This Row],[_IsLeaf]]=1,N(Tasks[[#This Row],[_Days]])=0,Tasks[[#This Row],[_LeafProgress]]&lt;1),Tasks[[#This Row],[_ShownFcstFinish]]+Tasks[[#This Row],[_Row]]/100000,"")</f>
        <v/>
      </c>
      <c r="GH8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0" s="43" t="str">
        <f aca="false">IF(Tasks[[#This Row],[Task Name]]="","",LEFT(Tasks[[#This Row],[WBS]],FIND(".",Tasks[[#This Row],[WBS]]&amp;".")-1))</f>
        <v/>
      </c>
      <c r="GJ80" s="43" t="str">
        <f aca="false">IF(AND(Tasks[[#This Row],[Task Name]]&lt;&gt;"",Tasks[[#This Row],[_Level]]=1),Tasks[[#This Row],[_Row]],"")</f>
        <v/>
      </c>
      <c r="GK80" s="43" t="str">
        <f aca="false">IF(AND(Tasks[[#This Row],[_IsLeaf]]=1,N(Tasks[[#This Row],[_Days]])=0),Tasks[[#This Row],[Planned Finish]]+Tasks[[#This Row],[_Row]]/100000,"")</f>
        <v/>
      </c>
      <c r="GL80" s="43" t="str">
        <f aca="false">IF(AND(Tasks[[#This Row],[_IsLeaf]]=1,Tasks[[#This Row],[_LeafProgress]]&lt;1,OR(N(Tasks[[#This Row],[Finish Var]])&gt;0,Tasks[[#This Row],[Status]]="Late Start")),MAX(0,Tasks[[#This Row],[Finish Var]])+1-Tasks[[#This Row],[_Row]]/1000000,"")</f>
        <v/>
      </c>
      <c r="GM80" s="43" t="str">
        <f aca="false">IF(AND(Tasks[[#This Row],[_IsLeaf]]=1,N(Tasks[[#This Row],[Actual Start]])=0,Tasks[[#This Row],[_ShownFcstStart]]&gt;=StatusDate,Tasks[[#This Row],[_ShownFcstStart]]&lt;=LookaheadEnd),Tasks[[#This Row],[_ShownFcstStart]]+Tasks[[#This Row],[_Row]]/100000,"")</f>
        <v/>
      </c>
      <c r="GN80" s="43" t="str">
        <f aca="false">IF(AND(Tasks[[#This Row],[_IsLeaf]]=1,Tasks[[#This Row],[_LeafProgress]]&lt;1,Tasks[[#This Row],[_ShownFcstFinish]]&gt;=StatusDate,Tasks[[#This Row],[_ShownFcstFinish]]&lt;=LookaheadEnd),Tasks[[#This Row],[_ShownFcstFinish]]+Tasks[[#This Row],[_Row]]/100000,"")</f>
        <v/>
      </c>
      <c r="GO80" s="43" t="str">
        <f aca="false">IF(Tasks[[#This Row],[_LeafCritical]],Tasks[[#This Row],[_ShownFcstStart]]+Tasks[[#This Row],[_Row]]/100000,"")</f>
        <v/>
      </c>
      <c r="GP80" s="43" t="n">
        <f aca="false">Tasks[[#This Row],[_LeafWork]]*Tasks[[#This Row],[_LeafProgress]]</f>
        <v>0</v>
      </c>
      <c r="GQ80" s="91" t="str">
        <f aca="false">IF(AND(Tasks[[#This Row],[_IsLeaf]]=1,Tasks[[#This Row],[_LeafProgress]]&gt;=1),IF(N(Tasks[[#This Row],[Actual Finish]])&gt;0,Tasks[[#This Row],[Actual Finish]],Tasks[[#This Row],[_ShownFcstFinish]]),"")</f>
        <v/>
      </c>
      <c r="GR80" s="43" t="n">
        <f aca="false">IF(Tasks[[#This Row],[_IsLeaf]]=1,N(Tasks[[#This Row],[Story Points]]),0)</f>
        <v>0</v>
      </c>
      <c r="GS80" s="43" t="str">
        <f aca="false">""</f>
        <v/>
      </c>
      <c r="GT80" s="90" t="b">
        <f aca="false">IF(Tasks[[#This Row],[Task Name]]="",FALSE(),AND(Tasks[[#This Row],[_IsLeaf]]=1,N(Tasks[[#This Row],[_Days]])=0))</f>
        <v>0</v>
      </c>
      <c r="GU80" s="91" t="n">
        <f aca="false">IF(Tasks[[#This Row],[Task Name]]="",0,IF(AND(Tasks[[#This Row],[_IsLeaf]]=1,NOT(Tasks[[#This Row],[_IsMilestone]]),N(Tasks[[#This Row],[Progress]])&gt;0),Tasks[[#This Row],[Start]],0))</f>
        <v>0</v>
      </c>
      <c r="GV80" s="91" t="n">
        <f aca="false">IF(Tasks[[#This Row],[_DoneFrom]]=0,0,IF(Tasks[[#This Row],[Progress]]&gt;=1,Tasks[[#This Row],[Finish]],MAX(Tasks[[#This Row],[_DoneFrom]],Tasks[[#This Row],[Start]]+ROUND((Tasks[[#This Row],[Finish]]-Tasks[[#This Row],[Start]]+1)*Tasks[[#This Row],[Progress]],0)-1)))</f>
        <v>0</v>
      </c>
      <c r="GW80" s="91" t="n">
        <f aca="false">IF(Tasks[[#This Row],[Task Name]]="",0,IF(OR(NOT(Tasks[[#This Row],[_IsLeaf]]=1),Tasks[[#This Row],[_IsMilestone]],N(Tasks[[#This Row],[Progress]])&gt;=1),0,IF(Tasks[[#This Row],[_DoneTo]]&gt;0,Tasks[[#This Row],[_DoneTo]]+1,Tasks[[#This Row],[Start]])))</f>
        <v>0</v>
      </c>
      <c r="GX80" s="91" t="n">
        <f aca="false">IF(Tasks[[#This Row],[_RemFrom]]=0,0,Tasks[[#This Row],[Finish]])</f>
        <v>0</v>
      </c>
      <c r="GY80" s="90" t="b">
        <f aca="false">IF(Tasks[[#This Row],[Task Name]]="",FALSE(),OR(NOT(BaselineSet),N(Tasks[[#This Row],[Baseline Start]])&gt;0))</f>
        <v>0</v>
      </c>
      <c r="GZ8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0" s="92" t="str">
        <f aca="false">IF(Tasks[[#This Row],[_IsLeaf]]=1,Tasks[[#This Row],[_Row]],"")</f>
        <v/>
      </c>
      <c r="HD80" s="92" t="str">
        <f aca="false">IFERROR(INDEX(Tasks[UID],SMALL(Tasks[_PickKey],Tasks[[#This Row],[_Row]]))&amp;" "&amp;INDEX(Tasks[Task Name],SMALL(Tasks[_PickKey],Tasks[[#This Row],[_Row]])),"")</f>
        <v/>
      </c>
      <c r="HE80" s="43" t="str">
        <f aca="false">IF(Tasks[[#This Row],[Task Name]]="","",IF(Tasks[[#This Row],[_IsSummary]],NETWORKDAYS.INTL(Tasks[[#This Row],[Start]],Tasks[[#This Row],[Finish]],WorkWeek,Holidays),N(Tasks[[#This Row],[_Days]])))</f>
        <v/>
      </c>
      <c r="HF80" s="43" t="n">
        <f aca="false">IF(Tasks[[#This Row],[Expected]]="",0,((Tasks[[#This Row],[Pessimistic]]-Tasks[[#This Row],[Optimistic]])/6)^2)</f>
        <v>0</v>
      </c>
      <c r="HG80" s="43" t="n">
        <f aca="false">IF(Tasks[[#This Row],[Expected]]="",0,Tasks[[#This Row],[Expected]]-N(Tasks[[#This Row],[_Days]]))</f>
        <v>0</v>
      </c>
    </row>
    <row r="81" customFormat="false" ht="15" hidden="false" customHeight="false" outlineLevel="0" collapsed="false">
      <c r="A81" s="21" t="str">
        <f aca="false">IF(Tasks[[#This Row],[Task Name]]="","",COUNTA(Tasks[[#Headers],[Task Name]]:Tasks[[#This Row],[Task Name]])-1)</f>
        <v/>
      </c>
      <c r="B81" s="22" t="n">
        <v>89</v>
      </c>
      <c r="C81" s="22"/>
      <c r="D81" s="23"/>
      <c r="E81" s="22"/>
      <c r="F81" s="23"/>
      <c r="G81" s="22"/>
      <c r="H81" s="22"/>
      <c r="I81" s="23"/>
      <c r="J81" s="22"/>
      <c r="K81" s="22"/>
      <c r="L81" s="23"/>
      <c r="M81" s="22"/>
      <c r="N81" s="22"/>
      <c r="O81" s="23"/>
      <c r="P81" s="22"/>
      <c r="Q81" s="22"/>
      <c r="R81" s="23"/>
      <c r="S81" s="23"/>
      <c r="T81" s="84"/>
      <c r="U81" s="23"/>
      <c r="V81" s="84"/>
      <c r="W81" s="23"/>
      <c r="X81" s="84"/>
      <c r="Y81" s="23"/>
      <c r="Z81" s="84"/>
      <c r="AA81" s="23"/>
      <c r="AB81" s="23"/>
      <c r="AC81" s="7"/>
      <c r="AD81" s="7"/>
      <c r="AE81" s="63" t="str">
        <f aca="false">IF(Tasks[[#This Row],[Task Name]]="","",IF(Tasks[[#This Row],[_IsSummary]],MIN(INDEX(Tasks[_ShownFcstStart],Tasks[[#This Row],[_Row]]+1):INDEX(Tasks[_ShownFcstStart],Tasks[[#This Row],[_Row]]+Tasks[[#This Row],[_Descendants]])),Tasks[[#This Row],[_ShownFcstStart]]))</f>
        <v/>
      </c>
      <c r="AF81" s="63" t="str">
        <f aca="false">IF(Tasks[[#This Row],[Task Name]]="","",IF(Tasks[[#This Row],[_IsSummary]],MAX(INDEX(Tasks[_ShownFcstFinish],Tasks[[#This Row],[_Row]]+1):INDEX(Tasks[_ShownFcstFinish],Tasks[[#This Row],[_Row]]+Tasks[[#This Row],[_Descendants]])),Tasks[[#This Row],[_ShownFcstFinish]]))</f>
        <v/>
      </c>
      <c r="AG81" s="21" t="str">
        <f aca="false">""</f>
        <v/>
      </c>
      <c r="AH81" s="23"/>
      <c r="AI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1" s="7"/>
      <c r="AK81" s="22"/>
      <c r="AL81" s="23"/>
      <c r="AM81" s="7"/>
      <c r="AN81" s="47" t="str">
        <f aca="false">IF(Tasks[[#This Row],[Task Name]]="","",IF(Tasks[[#This Row],[Finish]]&gt;=Tasks[[#This Row],[Planned Finish]],NETWORKDAYS.INTL(Tasks[[#This Row],[Planned Finish]],Tasks[[#This Row],[Finish]],WorkWeek,Holidays)-1,1-NETWORKDAYS.INTL(Tasks[[#This Row],[Finish]],Tasks[[#This Row],[Planned Finish]],WorkWeek,Holidays)))</f>
        <v/>
      </c>
      <c r="AO81" s="21" t="str">
        <f aca="false">IF(Tasks[[#This Row],[Task Name]]="","",IF(Tasks[[#This Row],[Progress]]&gt;=1,"Complete",IF(OR(N(Tasks[[#This Row],[Actual Start]])&gt;0,Tasks[[#This Row],[Progress]]&gt;0),IF(Tasks[[#This Row],[Finish Var]]&gt;0,"Behind","In Progress"),IF(Tasks[[#This Row],[Planned Start]]&lt;StatusDate,"Late Start","Not Started"))))</f>
        <v/>
      </c>
      <c r="AP81" s="21" t="str">
        <f aca="false">IF(Tasks[[#This Row],[Task Name]]="","",IF(IF(Tasks[[#This Row],[_IsSummary]],COUNTIF(INDEX(Tasks[_LeafCritical],Tasks[[#This Row],[_Row]]+1):INDEX(Tasks[_LeafCritical],Tasks[[#This Row],[_Row]]+Tasks[[#This Row],[_Descendants]]),TRUE())&gt;0,Tasks[[#This Row],[_LeafCritical]]),"Yes",""))</f>
        <v/>
      </c>
      <c r="AQ81" s="63" t="str">
        <f aca="false">IF(Tasks[[#This Row],[Task Name]]="","",IF(N(Tasks[[#This Row],[Baseline Start]])&gt;0,Tasks[[#This Row],[Baseline Start]],Tasks[[#This Row],[_CalcStart]]))</f>
        <v/>
      </c>
      <c r="AR81" s="63" t="str">
        <f aca="false">IF(Tasks[[#This Row],[Task Name]]="","",IF(N(Tasks[[#This Row],[Baseline Finish]])&gt;0,Tasks[[#This Row],[Baseline Finish]],Tasks[[#This Row],[_CalcFinish]]))</f>
        <v/>
      </c>
      <c r="AS81" s="47" t="str">
        <f aca="false">IF(Tasks[[#This Row],[Task Name]]="","",IF(Tasks[[#This Row],[Start]]&gt;=Tasks[[#This Row],[Planned Start]],NETWORKDAYS.INTL(Tasks[[#This Row],[Planned Start]],Tasks[[#This Row],[Start]],WorkWeek,Holidays)-1,1-NETWORKDAYS.INTL(Tasks[[#This Row],[Start]],Tasks[[#This Row],[Planned Start]],WorkWeek,Holidays)))</f>
        <v/>
      </c>
      <c r="AT81" s="63" t="str">
        <f aca="false">IF(Tasks[[#This Row],[Task Name]]="","",IF(Tasks[[#This Row],[_IsSummary]],MIN(INDEX(Tasks[_LeafLateStart],Tasks[[#This Row],[_Row]]+1):INDEX(Tasks[_LeafLateStart],Tasks[[#This Row],[_Row]]+Tasks[[#This Row],[_Descendants]])),Tasks[[#This Row],[_LeafLateStart]]))</f>
        <v/>
      </c>
      <c r="AU81" s="63" t="str">
        <f aca="false">IF(Tasks[[#This Row],[Task Name]]="","",IF(Tasks[[#This Row],[_IsSummary]],MAX(INDEX(Tasks[_LeafLateFinish],Tasks[[#This Row],[_Row]]+1):INDEX(Tasks[_LeafLateFinish],Tasks[[#This Row],[_Row]]+Tasks[[#This Row],[_Descendants]])),Tasks[[#This Row],[_LeafLateFinish]]))</f>
        <v/>
      </c>
      <c r="AV81" s="47" t="str">
        <f aca="false">IF(Tasks[[#This Row],[Task Name]]="","",IF(Tasks[[#This Row],[_IsSummary]],MIN(INDEX(Tasks[_LeafTotalSlack],Tasks[[#This Row],[_Row]]+1):INDEX(Tasks[_LeafTotalSlack],Tasks[[#This Row],[_Row]]+Tasks[[#This Row],[_Descendants]])),Tasks[[#This Row],[_LeafTotalSlack]]))</f>
        <v/>
      </c>
      <c r="AW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5"/>
      <c r="BA8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1" t="str">
        <f aca="false">IF(Tasks[[#This Row],[Task Name]]="","",IF(Tasks[[#This Row],[_Level]]&lt;=OutlineShowLevel,"Yes","No"))</f>
        <v/>
      </c>
      <c r="BE81" s="86" t="str">
        <f aca="false">IF(Tasks[[#This Row],[Task Name]]="","",IF(Tasks[[#This Row],[_IsSummary]],SUM(INDEX(Tasks[_LeafTotalWork],Tasks[[#This Row],[_Row]]+1):INDEX(Tasks[_LeafTotalWork],Tasks[[#This Row],[_Row]]+Tasks[[#This Row],[_Descendants]])),Tasks[[#This Row],[_LeafTotalWork]]))</f>
        <v/>
      </c>
      <c r="BF81" s="23"/>
      <c r="BG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1" s="21" t="str">
        <f aca="false">""</f>
        <v/>
      </c>
      <c r="BI81" s="87"/>
      <c r="BJ81" s="22"/>
      <c r="BK81" s="47" t="str">
        <f aca="false">IF(OR(Tasks[[#This Row],[Task Name]]="",Tasks[[#This Row],[Baseline Duration]]=""),"",Tasks[[#This Row],[_SpanDays]]-N(Tasks[[#This Row],[Baseline Duration]]))</f>
        <v/>
      </c>
      <c r="BL81" s="86" t="str">
        <f aca="false">IF(OR(Tasks[[#This Row],[Task Name]]="",Tasks[[#This Row],[Baseline Work]]=""),"",Tasks[[#This Row],[Work]]-N(Tasks[[#This Row],[Baseline Work]]))</f>
        <v/>
      </c>
      <c r="BM81" s="63" t="str">
        <f aca="false">IF(Tasks[[#This Row],[Task Name]]="","",IF(OR(TakeBaseline="Yes",N(Tasks[[#This Row],[Baseline Start]])=0),Tasks[[#This Row],[Start]],Tasks[[#This Row],[Baseline Start]]))</f>
        <v/>
      </c>
      <c r="BN81" s="63" t="str">
        <f aca="false">IF(Tasks[[#This Row],[Task Name]]="","",IF(OR(TakeBaseline="Yes",N(Tasks[[#This Row],[Baseline Finish]])=0),Tasks[[#This Row],[Finish]],Tasks[[#This Row],[Baseline Finish]]))</f>
        <v/>
      </c>
      <c r="BO81" s="21" t="str">
        <f aca="false">IF(Tasks[[#This Row],[Task Name]]="","",IF(OR(TakeBaseline="Yes",N(Tasks[[#This Row],[Baseline Duration]])=0),Tasks[[#This Row],[_SpanDays]],Tasks[[#This Row],[Baseline Duration]]))</f>
        <v/>
      </c>
      <c r="BP81" s="86" t="str">
        <f aca="false">IF(Tasks[[#This Row],[Task Name]]="","",IF(OR(TakeBaseline="Yes",N(Tasks[[#This Row],[Baseline Work]])=0),Tasks[[#This Row],[Work]],Tasks[[#This Row],[Baseline Work]]))</f>
        <v/>
      </c>
      <c r="BQ81" s="7"/>
      <c r="BR81" s="7"/>
      <c r="BS81" s="22"/>
      <c r="BT81" s="88"/>
      <c r="BU81" s="23"/>
      <c r="BV81" s="23"/>
      <c r="BW81" s="23"/>
      <c r="BX81" s="89" t="str">
        <f aca="false">IF(AND(Tasks[[#This Row],[_IsLeaf]]=1,ISNUMBER(Tasks[[#This Row],[Optimistic]]),ISNUMBER(Tasks[[#This Row],[Pessimistic]])),ROUND((Tasks[[#This Row],[Optimistic]]+4*N(Tasks[[#This Row],[_Days]])+Tasks[[#This Row],[Pessimistic]])/6,1),"")</f>
        <v/>
      </c>
      <c r="BY81" s="87"/>
      <c r="BZ81" s="87"/>
      <c r="CA81" s="22"/>
      <c r="CB81" s="43" t="str">
        <f aca="false">IF(Tasks[[#This Row],[Task Name]]="","",MAX(1,N(Tasks[[#This Row],[Level]])))</f>
        <v/>
      </c>
      <c r="CC81" s="43" t="n">
        <f aca="false">ROW()-ROW(Tasks[[#Headers],[ID]])</f>
        <v>76</v>
      </c>
      <c r="CD81" s="43" t="n">
        <f aca="false">IF(OR(Tasks[[#This Row],[Task Name]]="",Tasks[[#This Row],[_Level]]&lt;=1),0,IFERROR(LOOKUP(2,1/(Tasks[[#Headers],[_Level]]:Tasks[[#This Row],[_Level]]=Tasks[[#This Row],[_Level]]-1),ROW(Tasks[[#Headers],[_Level]]:Tasks[[#This Row],[_Level]])),0))</f>
        <v>0</v>
      </c>
      <c r="CE81" s="43" t="n">
        <f aca="false">IFERROR(N(INDEX(Tasks[_Level],Tasks[[#This Row],[_Row]]+1)),0)</f>
        <v>0</v>
      </c>
      <c r="CF81" s="90" t="b">
        <f aca="false">AND(Tasks[[#This Row],[Task Name]]&lt;&gt;"",Tasks[[#This Row],[_NextLevel]]&gt;Tasks[[#This Row],[_Level]])</f>
        <v>0</v>
      </c>
      <c r="CG81" s="43" t="n">
        <f aca="false">IF(Tasks[[#This Row],[_IsSummary]],COUNTIF(Tasks[WBS],Tasks[[#This Row],[WBS]]&amp;".*"),0)</f>
        <v>0</v>
      </c>
      <c r="CH81" s="43" t="n">
        <f aca="false">IF(AND(Tasks[[#This Row],[Task Name]]&lt;&gt;"",NOT(Tasks[[#This Row],[_IsSummary]])),1,0)</f>
        <v>0</v>
      </c>
      <c r="CI81" s="43" t="n">
        <f aca="false">IF(N(Tasks[[#This Row],[_Pred1UID]])=0,0,IFERROR(MATCH(Tasks[[#This Row],[_Pred1UID]],Tasks[UID],0),-1))</f>
        <v>0</v>
      </c>
      <c r="CJ81" s="43" t="n">
        <f aca="false">IF(N(Tasks[[#This Row],[_Pred2UID]])=0,0,IFERROR(MATCH(Tasks[[#This Row],[_Pred2UID]],Tasks[UID],0),-1))</f>
        <v>0</v>
      </c>
      <c r="CK81" s="43" t="n">
        <f aca="false">IF(N(Tasks[[#This Row],[_Pred3UID]])=0,0,IFERROR(MATCH(Tasks[[#This Row],[_Pred3UID]],Tasks[UID],0),-1))</f>
        <v>0</v>
      </c>
      <c r="CL81" s="43" t="n">
        <f aca="false">IF(N(Tasks[[#This Row],[_Pred4UID]])=0,0,IFERROR(MATCH(Tasks[[#This Row],[_Pred4UID]],Tasks[UID],0),-1))</f>
        <v>0</v>
      </c>
      <c r="CM8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1" s="91" t="n">
        <f aca="false">IF(OR(Tasks[[#This Row],[_ConstraintCode]]=2,Tasks[[#This Row],[_ConstraintCode]]=3,Tasks[[#This Row],[_ConstraintCode]]=4,Tasks[[#This Row],[_ConstraintCode]]=6),Tasks[[#This Row],[_ConstraintStart]],0)</f>
        <v>0</v>
      </c>
      <c r="CP81" s="91" t="n">
        <f aca="false">IF(OR(Tasks[[#This Row],[_ConstraintCode]]=2,Tasks[[#This Row],[_ConstraintCode]]=3,Tasks[[#This Row],[_ConstraintCode]]=5,Tasks[[#This Row],[_ConstraintCode]]=7),Tasks[[#This Row],[_ConstraintStart]],2958465)</f>
        <v>2958465</v>
      </c>
      <c r="CQ8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1" s="91" t="str">
        <f aca="false">IF(NOT(Tasks[[#This Row],[_IsLeaf]]=1),"",IF(N(Tasks[[#This Row],[_Days]])&lt;=0,Tasks[[#This Row],[_LeafCalcStart]],WORKDAY.INTL(Tasks[[#This Row],[_LeafCalcStart]],Tasks[[#This Row],[_Days]]-1,WorkWeek,Holidays)))</f>
        <v/>
      </c>
      <c r="CS8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1" s="43" t="str">
        <f aca="false">IF(Tasks[[#This Row],[_Predecessors]]="","",TRIM(MID(SUBSTITUTE(SUBSTITUTE(SUBSTITUTE(UPPER(Tasks[[#This Row],[_Predecessors]]),";",",")," ",""),",",REPT(" ",99)),1,99)))</f>
        <v/>
      </c>
      <c r="CV81" s="43" t="str">
        <f aca="false">IF(Tasks[[#This Row],[_Pred1Text]]="","",IFERROR(VALUE(LEFT(Tasks[[#This Row],[_Pred1Text]],MIN(FIND("F",Tasks[[#This Row],[_Pred1Text]]&amp;"F"),FIND("S",Tasks[[#This Row],[_Pred1Text]]&amp;"S"),FIND("+",Tasks[[#This Row],[_Pred1Text]]&amp;"+"),FIND("-",Tasks[[#This Row],[_Pred1Text]]&amp;"-"))-1)),""))</f>
        <v/>
      </c>
      <c r="CW8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1" s="43" t="str">
        <f aca="false">IF(Tasks[[#This Row],[_Pred1Text]]="","",TRIM(MID(SUBSTITUTE(SUBSTITUTE(SUBSTITUTE(UPPER(Tasks[[#This Row],[_Predecessors]]),";",",")," ",""),",",REPT(" ",99)),100,99)))</f>
        <v/>
      </c>
      <c r="CZ81" s="43" t="str">
        <f aca="false">IF(Tasks[[#This Row],[_Pred2Text]]="","",IFERROR(VALUE(LEFT(Tasks[[#This Row],[_Pred2Text]],MIN(FIND("F",Tasks[[#This Row],[_Pred2Text]]&amp;"F"),FIND("S",Tasks[[#This Row],[_Pred2Text]]&amp;"S"),FIND("+",Tasks[[#This Row],[_Pred2Text]]&amp;"+"),FIND("-",Tasks[[#This Row],[_Pred2Text]]&amp;"-"))-1)),""))</f>
        <v/>
      </c>
      <c r="DA8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1" s="43" t="str">
        <f aca="false">IF(Tasks[[#This Row],[_Pred2Text]]="","",TRIM(MID(SUBSTITUTE(SUBSTITUTE(SUBSTITUTE(UPPER(Tasks[[#This Row],[_Predecessors]]),";",",")," ",""),",",REPT(" ",99)),199,99)))</f>
        <v/>
      </c>
      <c r="DD81" s="43" t="str">
        <f aca="false">IF(Tasks[[#This Row],[_Pred3Text]]="","",IFERROR(VALUE(LEFT(Tasks[[#This Row],[_Pred3Text]],MIN(FIND("F",Tasks[[#This Row],[_Pred3Text]]&amp;"F"),FIND("S",Tasks[[#This Row],[_Pred3Text]]&amp;"S"),FIND("+",Tasks[[#This Row],[_Pred3Text]]&amp;"+"),FIND("-",Tasks[[#This Row],[_Pred3Text]]&amp;"-"))-1)),""))</f>
        <v/>
      </c>
      <c r="DE8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1" s="43" t="str">
        <f aca="false">IF(Tasks[[#This Row],[_Pred3Text]]="","",TRIM(MID(SUBSTITUTE(SUBSTITUTE(SUBSTITUTE(UPPER(Tasks[[#This Row],[_Predecessors]]),";",",")," ",""),",",REPT(" ",99)),298,99)))</f>
        <v/>
      </c>
      <c r="DH81" s="43" t="str">
        <f aca="false">IF(Tasks[[#This Row],[_Pred4Text]]="","",IFERROR(VALUE(LEFT(Tasks[[#This Row],[_Pred4Text]],MIN(FIND("F",Tasks[[#This Row],[_Pred4Text]]&amp;"F"),FIND("S",Tasks[[#This Row],[_Pred4Text]]&amp;"S"),FIND("+",Tasks[[#This Row],[_Pred4Text]]&amp;"+"),FIND("-",Tasks[[#This Row],[_Pred4Text]]&amp;"-"))-1)),""))</f>
        <v/>
      </c>
      <c r="DI8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1" s="43" t="str">
        <f aca="false">IF(OR(Tasks[[#This Row],[Task Name]]="",Tasks[[#This Row],[_Resources]]=""),"",TRIM(MID(SUBSTITUTE(Tasks[[#This Row],[_Resources]],",",REPT(" ",99)),1,99)))</f>
        <v/>
      </c>
      <c r="DL81" s="43" t="str">
        <f aca="false">IF(Tasks[[#This Row],[_Res1Text]]="","",TRIM(MID(SUBSTITUTE(Tasks[[#This Row],[_Resources]],",",REPT(" ",99)),100,99)))</f>
        <v/>
      </c>
      <c r="DM81" s="43" t="str">
        <f aca="false">IF(Tasks[[#This Row],[_Res2Text]]="","",TRIM(MID(SUBSTITUTE(Tasks[[#This Row],[_Resources]],",",REPT(" ",99)),199,99)))</f>
        <v/>
      </c>
      <c r="DN81" s="43" t="str">
        <f aca="false">IF(Tasks[[#This Row],[_Res3Text]]="","",TRIM(MID(SUBSTITUTE(Tasks[[#This Row],[_Resources]],",",REPT(" ",99)),298,99)))</f>
        <v/>
      </c>
      <c r="DO81" s="43" t="n">
        <f aca="false">IF(Tasks[[#This Row],[_Res1Text]]="",0,IFERROR(MATCH(TRIM(LEFT(Tasks[[#This Row],[_Res1Text]],FIND("[",Tasks[[#This Row],[_Res1Text]]&amp;"[")-1)),res_Name,0),IFERROR(MATCH(TRIM(LEFT(Tasks[[#This Row],[_Res1Text]],FIND("[",Tasks[[#This Row],[_Res1Text]]&amp;"[")-1)),res_Initials,0),0)))</f>
        <v>0</v>
      </c>
      <c r="DP81" s="43" t="n">
        <f aca="false">IF(Tasks[[#This Row],[_Res2Text]]="",0,IFERROR(MATCH(TRIM(LEFT(Tasks[[#This Row],[_Res2Text]],FIND("[",Tasks[[#This Row],[_Res2Text]]&amp;"[")-1)),res_Name,0),IFERROR(MATCH(TRIM(LEFT(Tasks[[#This Row],[_Res2Text]],FIND("[",Tasks[[#This Row],[_Res2Text]]&amp;"[")-1)),res_Initials,0),0)))</f>
        <v>0</v>
      </c>
      <c r="DQ81" s="43" t="n">
        <f aca="false">IF(Tasks[[#This Row],[_Res3Text]]="",0,IFERROR(MATCH(TRIM(LEFT(Tasks[[#This Row],[_Res3Text]],FIND("[",Tasks[[#This Row],[_Res3Text]]&amp;"[")-1)),res_Name,0),IFERROR(MATCH(TRIM(LEFT(Tasks[[#This Row],[_Res3Text]],FIND("[",Tasks[[#This Row],[_Res3Text]]&amp;"[")-1)),res_Initials,0),0)))</f>
        <v>0</v>
      </c>
      <c r="DR81" s="43" t="n">
        <f aca="false">IF(Tasks[[#This Row],[_Res4Text]]="",0,IFERROR(MATCH(TRIM(LEFT(Tasks[[#This Row],[_Res4Text]],FIND("[",Tasks[[#This Row],[_Res4Text]]&amp;"[")-1)),res_Name,0),IFERROR(MATCH(TRIM(LEFT(Tasks[[#This Row],[_Res4Text]],FIND("[",Tasks[[#This Row],[_Res4Text]]&amp;"[")-1)),res_Initials,0),0)))</f>
        <v>0</v>
      </c>
      <c r="DS81" s="43" t="str">
        <f aca="false">IF(Tasks[[#This Row],[_Res1Text]]="","",IF(Tasks[[#This Row],[_Res1Row]]&gt;0,INDEX(res_Name,Tasks[[#This Row],[_Res1Row]]),TRIM(LEFT(Tasks[[#This Row],[_Res1Text]],FIND("[",Tasks[[#This Row],[_Res1Text]]&amp;"[")-1))))</f>
        <v/>
      </c>
      <c r="DT8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1" s="43" t="n">
        <f aca="false">IF(NOT(Tasks[[#This Row],[_IsLeaf]]=1),0,(Tasks[[#This Row],[_Resource1]]&lt;&gt;"")+(Tasks[[#This Row],[_Res2]]&lt;&gt;"")+(Tasks[[#This Row],[_Res3]]&lt;&gt;"")+(Tasks[[#This Row],[_Res4]]&lt;&gt;""))</f>
        <v>0</v>
      </c>
      <c r="DV81" s="43" t="str">
        <f aca="false">IF(Tasks[[#This Row],[_Res2Text]]="","",IF(Tasks[[#This Row],[_Res2Row]]&gt;0,INDEX(res_Name,Tasks[[#This Row],[_Res2Row]]),TRIM(LEFT(Tasks[[#This Row],[_Res2Text]],FIND("[",Tasks[[#This Row],[_Res2Text]]&amp;"[")-1))))</f>
        <v/>
      </c>
      <c r="DW8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1" s="43" t="n">
        <f aca="false">IF(OR(NOT(Tasks[[#This Row],[_IsLeaf]]=1),Tasks[[#This Row],[_Res2Row]]=0),0,N(Tasks[[#This Row],[_Days]])*HoursPerDay*IF(Tasks[[#This Row],[_Res2Units]]="",DefaultUnits,Tasks[[#This Row],[_Res2Units]]))</f>
        <v>0</v>
      </c>
      <c r="DY81" s="43" t="n">
        <f aca="false">IF(AND(AND(Tasks[[#This Row],[_IsLeaf]]=1,Tasks[[#This Row],[_LeafTotalWork]]&gt;0),Tasks[[#This Row],[_Res2Work]]&gt;0),Tasks[[#This Row],[_Res2Work]]/(Tasks[[#This Row],[_FinishWorkday]]-Tasks[[#This Row],[_StartWorkday]]+1),0)</f>
        <v>0</v>
      </c>
      <c r="DZ81" s="43" t="n">
        <f aca="false">Tasks[[#This Row],[_Res2WorkPerWD]]*MAX(0,Tasks[[#This Row],[_StartWorkday]]-1)</f>
        <v>0</v>
      </c>
      <c r="EA81" s="43" t="n">
        <f aca="false">Tasks[[#This Row],[_Res2Work]]*Tasks[[#This Row],[_LeafProgress]]</f>
        <v>0</v>
      </c>
      <c r="EB81" s="43" t="str">
        <f aca="false">IF(Tasks[[#This Row],[_Res3Text]]="","",IF(Tasks[[#This Row],[_Res3Row]]&gt;0,INDEX(res_Name,Tasks[[#This Row],[_Res3Row]]),TRIM(LEFT(Tasks[[#This Row],[_Res3Text]],FIND("[",Tasks[[#This Row],[_Res3Text]]&amp;"[")-1))))</f>
        <v/>
      </c>
      <c r="EC8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1" s="43" t="n">
        <f aca="false">IF(OR(NOT(Tasks[[#This Row],[_IsLeaf]]=1),Tasks[[#This Row],[_Res3Row]]=0),0,N(Tasks[[#This Row],[_Days]])*HoursPerDay*IF(Tasks[[#This Row],[_Res3Units]]="",DefaultUnits,Tasks[[#This Row],[_Res3Units]]))</f>
        <v>0</v>
      </c>
      <c r="EE81" s="43" t="n">
        <f aca="false">IF(AND(AND(Tasks[[#This Row],[_IsLeaf]]=1,Tasks[[#This Row],[_LeafTotalWork]]&gt;0),Tasks[[#This Row],[_Res3Work]]&gt;0),Tasks[[#This Row],[_Res3Work]]/(Tasks[[#This Row],[_FinishWorkday]]-Tasks[[#This Row],[_StartWorkday]]+1),0)</f>
        <v>0</v>
      </c>
      <c r="EF81" s="43" t="n">
        <f aca="false">Tasks[[#This Row],[_Res3WorkPerWD]]*MAX(0,Tasks[[#This Row],[_StartWorkday]]-1)</f>
        <v>0</v>
      </c>
      <c r="EG81" s="43" t="n">
        <f aca="false">Tasks[[#This Row],[_Res3Work]]*Tasks[[#This Row],[_LeafProgress]]</f>
        <v>0</v>
      </c>
      <c r="EH81" s="43" t="str">
        <f aca="false">IF(Tasks[[#This Row],[_Res4Text]]="","",IF(Tasks[[#This Row],[_Res4Row]]&gt;0,INDEX(res_Name,Tasks[[#This Row],[_Res4Row]]),TRIM(LEFT(Tasks[[#This Row],[_Res4Text]],FIND("[",Tasks[[#This Row],[_Res4Text]]&amp;"[")-1))))</f>
        <v/>
      </c>
      <c r="EI8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1" s="43" t="n">
        <f aca="false">IF(OR(NOT(Tasks[[#This Row],[_IsLeaf]]=1),Tasks[[#This Row],[_Res4Row]]=0),0,N(Tasks[[#This Row],[_Days]])*HoursPerDay*IF(Tasks[[#This Row],[_Res4Units]]="",DefaultUnits,Tasks[[#This Row],[_Res4Units]]))</f>
        <v>0</v>
      </c>
      <c r="EK81" s="43" t="n">
        <f aca="false">IF(AND(AND(Tasks[[#This Row],[_IsLeaf]]=1,Tasks[[#This Row],[_LeafTotalWork]]&gt;0),Tasks[[#This Row],[_Res4Work]]&gt;0),Tasks[[#This Row],[_Res4Work]]/(Tasks[[#This Row],[_FinishWorkday]]-Tasks[[#This Row],[_StartWorkday]]+1),0)</f>
        <v>0</v>
      </c>
      <c r="EL81" s="43" t="n">
        <f aca="false">Tasks[[#This Row],[_Res4WorkPerWD]]*MAX(0,Tasks[[#This Row],[_StartWorkday]]-1)</f>
        <v>0</v>
      </c>
      <c r="EM81" s="43" t="n">
        <f aca="false">Tasks[[#This Row],[_Res4Work]]*Tasks[[#This Row],[_LeafProgress]]</f>
        <v>0</v>
      </c>
      <c r="EN81" s="43" t="n">
        <f aca="false">IF(ISNUMBER(Tasks[[#This Row],[% Complete]]),Tasks[[#This Row],[% Complete]],IF(Tasks[[#This Row],[Stage]]="",0,IFERROR(INDEX(stg_Pct,MATCH(Tasks[[#This Row],[Stage]],stg_Name,0)),0)))</f>
        <v>0</v>
      </c>
      <c r="EO81" s="43" t="n">
        <f aca="false">IF(NOT(Tasks[[#This Row],[_IsLeaf]]=1),0,IF(N(Tasks[[#This Row],[Actual Finish]])&gt;0,1,MIN(1,Tasks[[#This Row],[_Pct]])))</f>
        <v>0</v>
      </c>
      <c r="EP81" s="43" t="n">
        <f aca="false">IF(OR(NOT(Tasks[[#This Row],[_IsLeaf]]=1),Tasks[[#This Row],[_Res1Row]]=0),0,N(Tasks[[#This Row],[_Days]])*HoursPerDay*IF(Tasks[[#This Row],[_Units1]]="",DefaultUnits,Tasks[[#This Row],[_Units1]]))</f>
        <v>0</v>
      </c>
      <c r="EQ81" s="43" t="n">
        <f aca="false">Tasks[[#This Row],[_LeafWork]]+Tasks[[#This Row],[_Res2Work]]+Tasks[[#This Row],[_Res3Work]]+Tasks[[#This Row],[_Res4Work]]</f>
        <v>0</v>
      </c>
      <c r="ER8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1" s="43" t="n">
        <f aca="false">IF(NOT(Tasks[[#This Row],[_IsLeaf]]=1),0,MAX(_xlfn.MAXIFS(Tasks[_Row],Tasks[_Pred1UID],Tasks[[#This Row],[UID]]),_xlfn.MAXIFS(Tasks[_Row],Tasks[_Pred2UID],Tasks[[#This Row],[UID]]),_xlfn.MAXIFS(Tasks[_Row],Tasks[_Pred3UID],Tasks[[#This Row],[UID]]),_xlfn.MAXIFS(Tasks[_Row],Tasks[_Pred4UID],Tasks[[#This Row],[UID]])))</f>
        <v>0</v>
      </c>
      <c r="FA8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1" s="91" t="str">
        <f aca="false">IF(NOT(Tasks[[#This Row],[_IsLeaf]]=1),"",IF(N(Tasks[[#This Row],[_Days]])&lt;=0,Tasks[[#This Row],[_LeafLateFinish]],WORKDAY.INTL(Tasks[[#This Row],[_LeafLateFinish]],-(Tasks[[#This Row],[_Days]]-1),WorkWeek,Holidays)))</f>
        <v/>
      </c>
      <c r="FD8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1" s="90" t="b">
        <f aca="false">AND(Tasks[[#This Row],[_IsLeaf]]=1,Tasks[[#This Row],[_LeafProgress]]&lt;1,N(Tasks[[#This Row],[_LeafTotalSlack]])&lt;=CriticalSlackDays)</f>
        <v>0</v>
      </c>
      <c r="FF81" s="43" t="n">
        <f aca="false">IF(AND(Tasks[[#This Row],[_IsLeaf]]=1,Tasks[[#This Row],[_ConstraintCode]]=1,Tasks[[#This Row],[Mode]]&lt;&gt;"Manual",N(Tasks[[#This Row],[Actual Start]])=0),MAX(0,N(Tasks[[#This Row],[Free Slack]])),0)</f>
        <v>0</v>
      </c>
      <c r="FG81" s="91" t="str">
        <f aca="false">IF(NOT(Tasks[[#This Row],[_IsLeaf]]=1),"",IF(Tasks[[#This Row],[_AlapShift]]=0,Tasks[[#This Row],[_LeafCalcStart]],WORKDAY.INTL(Tasks[[#This Row],[_LeafCalcStart]],Tasks[[#This Row],[_AlapShift]],WorkWeek,Holidays)))</f>
        <v/>
      </c>
      <c r="FH81" s="91" t="str">
        <f aca="false">IF(NOT(Tasks[[#This Row],[_IsLeaf]]=1),"",IF(Tasks[[#This Row],[_AlapShift]]=0,Tasks[[#This Row],[_LeafCalcFinish]],WORKDAY.INTL(Tasks[[#This Row],[_LeafCalcFinish]],Tasks[[#This Row],[_AlapShift]],WorkWeek,Holidays)))</f>
        <v/>
      </c>
      <c r="FI81" s="91" t="str">
        <f aca="false">IF(NOT(Tasks[[#This Row],[_IsLeaf]]=1),"",IF(Tasks[[#This Row],[_AlapShift]]=0,Tasks[[#This Row],[_LeafFcstStart]],WORKDAY.INTL(Tasks[[#This Row],[_LeafFcstStart]],Tasks[[#This Row],[_AlapShift]],WorkWeek,Holidays)))</f>
        <v/>
      </c>
      <c r="FJ81" s="91" t="str">
        <f aca="false">IF(NOT(Tasks[[#This Row],[_IsLeaf]]=1),"",IF(Tasks[[#This Row],[_AlapShift]]=0,Tasks[[#This Row],[_LeafFcstFinish]],WORKDAY.INTL(Tasks[[#This Row],[_LeafFcstFinish]],Tasks[[#This Row],[_AlapShift]],WorkWeek,Holidays)))</f>
        <v/>
      </c>
      <c r="FK81" s="91" t="str">
        <f aca="false">IF(Tasks[[#This Row],[Task Name]]="","",IF(Tasks[[#This Row],[_IsSummary]],MIN(INDEX(Tasks[_ShownCalcStart],Tasks[[#This Row],[_Row]]+1):INDEX(Tasks[_ShownCalcStart],Tasks[[#This Row],[_Row]]+Tasks[[#This Row],[_Descendants]])),Tasks[[#This Row],[_ShownCalcStart]]))</f>
        <v/>
      </c>
      <c r="FL81" s="91" t="str">
        <f aca="false">IF(Tasks[[#This Row],[Task Name]]="","",IF(Tasks[[#This Row],[_IsSummary]],MAX(INDEX(Tasks[_ShownCalcFinish],Tasks[[#This Row],[_Row]]+1):INDEX(Tasks[_ShownCalcFinish],Tasks[[#This Row],[_Row]]+Tasks[[#This Row],[_Descendants]])),Tasks[[#This Row],[_ShownCalcFinish]]))</f>
        <v/>
      </c>
      <c r="FM8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1" s="43" t="n">
        <f aca="false">IF(AND(Tasks[[#This Row],[_IsLeaf]]=1,Tasks[[#This Row],[_LeafTotalWork]]&gt;0),NETWORKDAYS.INTL(ProjectStart,Tasks[[#This Row],[_ShownFcstStart]],WorkWeek,Holidays),0)</f>
        <v>0</v>
      </c>
      <c r="FZ81" s="43" t="n">
        <f aca="false">IF(AND(Tasks[[#This Row],[_IsLeaf]]=1,Tasks[[#This Row],[_LeafTotalWork]]&gt;0),MAX(Tasks[[#This Row],[_StartWorkday]],NETWORKDAYS.INTL(ProjectStart,Tasks[[#This Row],[_ShownFcstFinish]],WorkWeek,Holidays)),0)</f>
        <v>0</v>
      </c>
      <c r="GA81" s="43" t="n">
        <f aca="false">IF(AND(Tasks[[#This Row],[_IsLeaf]]=1,Tasks[[#This Row],[_LeafTotalWork]]&gt;0),Tasks[[#This Row],[_LeafWork]]/(Tasks[[#This Row],[_FinishWorkday]]-Tasks[[#This Row],[_StartWorkday]]+1),0)</f>
        <v>0</v>
      </c>
      <c r="GB81" s="43" t="n">
        <f aca="false">Tasks[[#This Row],[_WorkPerWorkday]]*(Tasks[[#This Row],[_StartWorkday]]-1)</f>
        <v>-0</v>
      </c>
      <c r="GC81" s="43" t="n">
        <f aca="false">IF(Tasks[[#This Row],[_IsLeaf]]=1,MAX(N(Tasks[[#This Row],[_Days]]),0.1),0)</f>
        <v>0</v>
      </c>
      <c r="GD81" s="43" t="n">
        <f aca="false">Tasks[[#This Row],[_WeightDur]]*Tasks[[#This Row],[_LeafProgress]]</f>
        <v>0</v>
      </c>
      <c r="GE81" s="43" t="n">
        <f aca="false">Tasks[[#This Row],[_WeightDur]]*Tasks[[#This Row],[_PlannedPct]]</f>
        <v>0</v>
      </c>
      <c r="GF8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1" s="43" t="str">
        <f aca="false">IF(AND(Tasks[[#This Row],[_IsLeaf]]=1,N(Tasks[[#This Row],[_Days]])=0,Tasks[[#This Row],[_LeafProgress]]&lt;1),Tasks[[#This Row],[_ShownFcstFinish]]+Tasks[[#This Row],[_Row]]/100000,"")</f>
        <v/>
      </c>
      <c r="GH8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1" s="43" t="str">
        <f aca="false">IF(Tasks[[#This Row],[Task Name]]="","",LEFT(Tasks[[#This Row],[WBS]],FIND(".",Tasks[[#This Row],[WBS]]&amp;".")-1))</f>
        <v/>
      </c>
      <c r="GJ81" s="43" t="str">
        <f aca="false">IF(AND(Tasks[[#This Row],[Task Name]]&lt;&gt;"",Tasks[[#This Row],[_Level]]=1),Tasks[[#This Row],[_Row]],"")</f>
        <v/>
      </c>
      <c r="GK81" s="43" t="str">
        <f aca="false">IF(AND(Tasks[[#This Row],[_IsLeaf]]=1,N(Tasks[[#This Row],[_Days]])=0),Tasks[[#This Row],[Planned Finish]]+Tasks[[#This Row],[_Row]]/100000,"")</f>
        <v/>
      </c>
      <c r="GL81" s="43" t="str">
        <f aca="false">IF(AND(Tasks[[#This Row],[_IsLeaf]]=1,Tasks[[#This Row],[_LeafProgress]]&lt;1,OR(N(Tasks[[#This Row],[Finish Var]])&gt;0,Tasks[[#This Row],[Status]]="Late Start")),MAX(0,Tasks[[#This Row],[Finish Var]])+1-Tasks[[#This Row],[_Row]]/1000000,"")</f>
        <v/>
      </c>
      <c r="GM81" s="43" t="str">
        <f aca="false">IF(AND(Tasks[[#This Row],[_IsLeaf]]=1,N(Tasks[[#This Row],[Actual Start]])=0,Tasks[[#This Row],[_ShownFcstStart]]&gt;=StatusDate,Tasks[[#This Row],[_ShownFcstStart]]&lt;=LookaheadEnd),Tasks[[#This Row],[_ShownFcstStart]]+Tasks[[#This Row],[_Row]]/100000,"")</f>
        <v/>
      </c>
      <c r="GN81" s="43" t="str">
        <f aca="false">IF(AND(Tasks[[#This Row],[_IsLeaf]]=1,Tasks[[#This Row],[_LeafProgress]]&lt;1,Tasks[[#This Row],[_ShownFcstFinish]]&gt;=StatusDate,Tasks[[#This Row],[_ShownFcstFinish]]&lt;=LookaheadEnd),Tasks[[#This Row],[_ShownFcstFinish]]+Tasks[[#This Row],[_Row]]/100000,"")</f>
        <v/>
      </c>
      <c r="GO81" s="43" t="str">
        <f aca="false">IF(Tasks[[#This Row],[_LeafCritical]],Tasks[[#This Row],[_ShownFcstStart]]+Tasks[[#This Row],[_Row]]/100000,"")</f>
        <v/>
      </c>
      <c r="GP81" s="43" t="n">
        <f aca="false">Tasks[[#This Row],[_LeafWork]]*Tasks[[#This Row],[_LeafProgress]]</f>
        <v>0</v>
      </c>
      <c r="GQ81" s="91" t="str">
        <f aca="false">IF(AND(Tasks[[#This Row],[_IsLeaf]]=1,Tasks[[#This Row],[_LeafProgress]]&gt;=1),IF(N(Tasks[[#This Row],[Actual Finish]])&gt;0,Tasks[[#This Row],[Actual Finish]],Tasks[[#This Row],[_ShownFcstFinish]]),"")</f>
        <v/>
      </c>
      <c r="GR81" s="43" t="n">
        <f aca="false">IF(Tasks[[#This Row],[_IsLeaf]]=1,N(Tasks[[#This Row],[Story Points]]),0)</f>
        <v>0</v>
      </c>
      <c r="GS81" s="43" t="str">
        <f aca="false">""</f>
        <v/>
      </c>
      <c r="GT81" s="90" t="b">
        <f aca="false">IF(Tasks[[#This Row],[Task Name]]="",FALSE(),AND(Tasks[[#This Row],[_IsLeaf]]=1,N(Tasks[[#This Row],[_Days]])=0))</f>
        <v>0</v>
      </c>
      <c r="GU81" s="91" t="n">
        <f aca="false">IF(Tasks[[#This Row],[Task Name]]="",0,IF(AND(Tasks[[#This Row],[_IsLeaf]]=1,NOT(Tasks[[#This Row],[_IsMilestone]]),N(Tasks[[#This Row],[Progress]])&gt;0),Tasks[[#This Row],[Start]],0))</f>
        <v>0</v>
      </c>
      <c r="GV81" s="91" t="n">
        <f aca="false">IF(Tasks[[#This Row],[_DoneFrom]]=0,0,IF(Tasks[[#This Row],[Progress]]&gt;=1,Tasks[[#This Row],[Finish]],MAX(Tasks[[#This Row],[_DoneFrom]],Tasks[[#This Row],[Start]]+ROUND((Tasks[[#This Row],[Finish]]-Tasks[[#This Row],[Start]]+1)*Tasks[[#This Row],[Progress]],0)-1)))</f>
        <v>0</v>
      </c>
      <c r="GW81" s="91" t="n">
        <f aca="false">IF(Tasks[[#This Row],[Task Name]]="",0,IF(OR(NOT(Tasks[[#This Row],[_IsLeaf]]=1),Tasks[[#This Row],[_IsMilestone]],N(Tasks[[#This Row],[Progress]])&gt;=1),0,IF(Tasks[[#This Row],[_DoneTo]]&gt;0,Tasks[[#This Row],[_DoneTo]]+1,Tasks[[#This Row],[Start]])))</f>
        <v>0</v>
      </c>
      <c r="GX81" s="91" t="n">
        <f aca="false">IF(Tasks[[#This Row],[_RemFrom]]=0,0,Tasks[[#This Row],[Finish]])</f>
        <v>0</v>
      </c>
      <c r="GY81" s="90" t="b">
        <f aca="false">IF(Tasks[[#This Row],[Task Name]]="",FALSE(),OR(NOT(BaselineSet),N(Tasks[[#This Row],[Baseline Start]])&gt;0))</f>
        <v>0</v>
      </c>
      <c r="GZ8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1" s="92" t="str">
        <f aca="false">IF(Tasks[[#This Row],[_IsLeaf]]=1,Tasks[[#This Row],[_Row]],"")</f>
        <v/>
      </c>
      <c r="HD81" s="92" t="str">
        <f aca="false">IFERROR(INDEX(Tasks[UID],SMALL(Tasks[_PickKey],Tasks[[#This Row],[_Row]]))&amp;" "&amp;INDEX(Tasks[Task Name],SMALL(Tasks[_PickKey],Tasks[[#This Row],[_Row]])),"")</f>
        <v/>
      </c>
      <c r="HE81" s="43" t="str">
        <f aca="false">IF(Tasks[[#This Row],[Task Name]]="","",IF(Tasks[[#This Row],[_IsSummary]],NETWORKDAYS.INTL(Tasks[[#This Row],[Start]],Tasks[[#This Row],[Finish]],WorkWeek,Holidays),N(Tasks[[#This Row],[_Days]])))</f>
        <v/>
      </c>
      <c r="HF81" s="43" t="n">
        <f aca="false">IF(Tasks[[#This Row],[Expected]]="",0,((Tasks[[#This Row],[Pessimistic]]-Tasks[[#This Row],[Optimistic]])/6)^2)</f>
        <v>0</v>
      </c>
      <c r="HG81" s="43" t="n">
        <f aca="false">IF(Tasks[[#This Row],[Expected]]="",0,Tasks[[#This Row],[Expected]]-N(Tasks[[#This Row],[_Days]]))</f>
        <v>0</v>
      </c>
    </row>
    <row r="82" customFormat="false" ht="15" hidden="false" customHeight="false" outlineLevel="0" collapsed="false">
      <c r="A82" s="21" t="str">
        <f aca="false">IF(Tasks[[#This Row],[Task Name]]="","",COUNTA(Tasks[[#Headers],[Task Name]]:Tasks[[#This Row],[Task Name]])-1)</f>
        <v/>
      </c>
      <c r="B82" s="22" t="n">
        <v>90</v>
      </c>
      <c r="C82" s="22"/>
      <c r="D82" s="23"/>
      <c r="E82" s="22"/>
      <c r="F82" s="23"/>
      <c r="G82" s="22"/>
      <c r="H82" s="22"/>
      <c r="I82" s="23"/>
      <c r="J82" s="22"/>
      <c r="K82" s="22"/>
      <c r="L82" s="23"/>
      <c r="M82" s="22"/>
      <c r="N82" s="22"/>
      <c r="O82" s="23"/>
      <c r="P82" s="22"/>
      <c r="Q82" s="22"/>
      <c r="R82" s="23"/>
      <c r="S82" s="23"/>
      <c r="T82" s="84"/>
      <c r="U82" s="23"/>
      <c r="V82" s="84"/>
      <c r="W82" s="23"/>
      <c r="X82" s="84"/>
      <c r="Y82" s="23"/>
      <c r="Z82" s="84"/>
      <c r="AA82" s="23"/>
      <c r="AB82" s="23"/>
      <c r="AC82" s="7"/>
      <c r="AD82" s="7"/>
      <c r="AE82" s="63" t="str">
        <f aca="false">IF(Tasks[[#This Row],[Task Name]]="","",IF(Tasks[[#This Row],[_IsSummary]],MIN(INDEX(Tasks[_ShownFcstStart],Tasks[[#This Row],[_Row]]+1):INDEX(Tasks[_ShownFcstStart],Tasks[[#This Row],[_Row]]+Tasks[[#This Row],[_Descendants]])),Tasks[[#This Row],[_ShownFcstStart]]))</f>
        <v/>
      </c>
      <c r="AF82" s="63" t="str">
        <f aca="false">IF(Tasks[[#This Row],[Task Name]]="","",IF(Tasks[[#This Row],[_IsSummary]],MAX(INDEX(Tasks[_ShownFcstFinish],Tasks[[#This Row],[_Row]]+1):INDEX(Tasks[_ShownFcstFinish],Tasks[[#This Row],[_Row]]+Tasks[[#This Row],[_Descendants]])),Tasks[[#This Row],[_ShownFcstFinish]]))</f>
        <v/>
      </c>
      <c r="AG82" s="21" t="str">
        <f aca="false">""</f>
        <v/>
      </c>
      <c r="AH82" s="23"/>
      <c r="AI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2" s="7"/>
      <c r="AK82" s="22"/>
      <c r="AL82" s="23"/>
      <c r="AM82" s="7"/>
      <c r="AN82" s="47" t="str">
        <f aca="false">IF(Tasks[[#This Row],[Task Name]]="","",IF(Tasks[[#This Row],[Finish]]&gt;=Tasks[[#This Row],[Planned Finish]],NETWORKDAYS.INTL(Tasks[[#This Row],[Planned Finish]],Tasks[[#This Row],[Finish]],WorkWeek,Holidays)-1,1-NETWORKDAYS.INTL(Tasks[[#This Row],[Finish]],Tasks[[#This Row],[Planned Finish]],WorkWeek,Holidays)))</f>
        <v/>
      </c>
      <c r="AO82" s="21" t="str">
        <f aca="false">IF(Tasks[[#This Row],[Task Name]]="","",IF(Tasks[[#This Row],[Progress]]&gt;=1,"Complete",IF(OR(N(Tasks[[#This Row],[Actual Start]])&gt;0,Tasks[[#This Row],[Progress]]&gt;0),IF(Tasks[[#This Row],[Finish Var]]&gt;0,"Behind","In Progress"),IF(Tasks[[#This Row],[Planned Start]]&lt;StatusDate,"Late Start","Not Started"))))</f>
        <v/>
      </c>
      <c r="AP82" s="21" t="str">
        <f aca="false">IF(Tasks[[#This Row],[Task Name]]="","",IF(IF(Tasks[[#This Row],[_IsSummary]],COUNTIF(INDEX(Tasks[_LeafCritical],Tasks[[#This Row],[_Row]]+1):INDEX(Tasks[_LeafCritical],Tasks[[#This Row],[_Row]]+Tasks[[#This Row],[_Descendants]]),TRUE())&gt;0,Tasks[[#This Row],[_LeafCritical]]),"Yes",""))</f>
        <v/>
      </c>
      <c r="AQ82" s="63" t="str">
        <f aca="false">IF(Tasks[[#This Row],[Task Name]]="","",IF(N(Tasks[[#This Row],[Baseline Start]])&gt;0,Tasks[[#This Row],[Baseline Start]],Tasks[[#This Row],[_CalcStart]]))</f>
        <v/>
      </c>
      <c r="AR82" s="63" t="str">
        <f aca="false">IF(Tasks[[#This Row],[Task Name]]="","",IF(N(Tasks[[#This Row],[Baseline Finish]])&gt;0,Tasks[[#This Row],[Baseline Finish]],Tasks[[#This Row],[_CalcFinish]]))</f>
        <v/>
      </c>
      <c r="AS82" s="47" t="str">
        <f aca="false">IF(Tasks[[#This Row],[Task Name]]="","",IF(Tasks[[#This Row],[Start]]&gt;=Tasks[[#This Row],[Planned Start]],NETWORKDAYS.INTL(Tasks[[#This Row],[Planned Start]],Tasks[[#This Row],[Start]],WorkWeek,Holidays)-1,1-NETWORKDAYS.INTL(Tasks[[#This Row],[Start]],Tasks[[#This Row],[Planned Start]],WorkWeek,Holidays)))</f>
        <v/>
      </c>
      <c r="AT82" s="63" t="str">
        <f aca="false">IF(Tasks[[#This Row],[Task Name]]="","",IF(Tasks[[#This Row],[_IsSummary]],MIN(INDEX(Tasks[_LeafLateStart],Tasks[[#This Row],[_Row]]+1):INDEX(Tasks[_LeafLateStart],Tasks[[#This Row],[_Row]]+Tasks[[#This Row],[_Descendants]])),Tasks[[#This Row],[_LeafLateStart]]))</f>
        <v/>
      </c>
      <c r="AU82" s="63" t="str">
        <f aca="false">IF(Tasks[[#This Row],[Task Name]]="","",IF(Tasks[[#This Row],[_IsSummary]],MAX(INDEX(Tasks[_LeafLateFinish],Tasks[[#This Row],[_Row]]+1):INDEX(Tasks[_LeafLateFinish],Tasks[[#This Row],[_Row]]+Tasks[[#This Row],[_Descendants]])),Tasks[[#This Row],[_LeafLateFinish]]))</f>
        <v/>
      </c>
      <c r="AV82" s="47" t="str">
        <f aca="false">IF(Tasks[[#This Row],[Task Name]]="","",IF(Tasks[[#This Row],[_IsSummary]],MIN(INDEX(Tasks[_LeafTotalSlack],Tasks[[#This Row],[_Row]]+1):INDEX(Tasks[_LeafTotalSlack],Tasks[[#This Row],[_Row]]+Tasks[[#This Row],[_Descendants]])),Tasks[[#This Row],[_LeafTotalSlack]]))</f>
        <v/>
      </c>
      <c r="AW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5"/>
      <c r="BA8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1" t="str">
        <f aca="false">IF(Tasks[[#This Row],[Task Name]]="","",IF(Tasks[[#This Row],[_Level]]&lt;=OutlineShowLevel,"Yes","No"))</f>
        <v/>
      </c>
      <c r="BE82" s="86" t="str">
        <f aca="false">IF(Tasks[[#This Row],[Task Name]]="","",IF(Tasks[[#This Row],[_IsSummary]],SUM(INDEX(Tasks[_LeafTotalWork],Tasks[[#This Row],[_Row]]+1):INDEX(Tasks[_LeafTotalWork],Tasks[[#This Row],[_Row]]+Tasks[[#This Row],[_Descendants]])),Tasks[[#This Row],[_LeafTotalWork]]))</f>
        <v/>
      </c>
      <c r="BF82" s="23"/>
      <c r="BG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2" s="21" t="str">
        <f aca="false">""</f>
        <v/>
      </c>
      <c r="BI82" s="87"/>
      <c r="BJ82" s="22"/>
      <c r="BK82" s="47" t="str">
        <f aca="false">IF(OR(Tasks[[#This Row],[Task Name]]="",Tasks[[#This Row],[Baseline Duration]]=""),"",Tasks[[#This Row],[_SpanDays]]-N(Tasks[[#This Row],[Baseline Duration]]))</f>
        <v/>
      </c>
      <c r="BL82" s="86" t="str">
        <f aca="false">IF(OR(Tasks[[#This Row],[Task Name]]="",Tasks[[#This Row],[Baseline Work]]=""),"",Tasks[[#This Row],[Work]]-N(Tasks[[#This Row],[Baseline Work]]))</f>
        <v/>
      </c>
      <c r="BM82" s="63" t="str">
        <f aca="false">IF(Tasks[[#This Row],[Task Name]]="","",IF(OR(TakeBaseline="Yes",N(Tasks[[#This Row],[Baseline Start]])=0),Tasks[[#This Row],[Start]],Tasks[[#This Row],[Baseline Start]]))</f>
        <v/>
      </c>
      <c r="BN82" s="63" t="str">
        <f aca="false">IF(Tasks[[#This Row],[Task Name]]="","",IF(OR(TakeBaseline="Yes",N(Tasks[[#This Row],[Baseline Finish]])=0),Tasks[[#This Row],[Finish]],Tasks[[#This Row],[Baseline Finish]]))</f>
        <v/>
      </c>
      <c r="BO82" s="21" t="str">
        <f aca="false">IF(Tasks[[#This Row],[Task Name]]="","",IF(OR(TakeBaseline="Yes",N(Tasks[[#This Row],[Baseline Duration]])=0),Tasks[[#This Row],[_SpanDays]],Tasks[[#This Row],[Baseline Duration]]))</f>
        <v/>
      </c>
      <c r="BP82" s="86" t="str">
        <f aca="false">IF(Tasks[[#This Row],[Task Name]]="","",IF(OR(TakeBaseline="Yes",N(Tasks[[#This Row],[Baseline Work]])=0),Tasks[[#This Row],[Work]],Tasks[[#This Row],[Baseline Work]]))</f>
        <v/>
      </c>
      <c r="BQ82" s="7"/>
      <c r="BR82" s="7"/>
      <c r="BS82" s="22"/>
      <c r="BT82" s="88"/>
      <c r="BU82" s="23"/>
      <c r="BV82" s="23"/>
      <c r="BW82" s="23"/>
      <c r="BX82" s="89" t="str">
        <f aca="false">IF(AND(Tasks[[#This Row],[_IsLeaf]]=1,ISNUMBER(Tasks[[#This Row],[Optimistic]]),ISNUMBER(Tasks[[#This Row],[Pessimistic]])),ROUND((Tasks[[#This Row],[Optimistic]]+4*N(Tasks[[#This Row],[_Days]])+Tasks[[#This Row],[Pessimistic]])/6,1),"")</f>
        <v/>
      </c>
      <c r="BY82" s="87"/>
      <c r="BZ82" s="87"/>
      <c r="CA82" s="22"/>
      <c r="CB82" s="43" t="str">
        <f aca="false">IF(Tasks[[#This Row],[Task Name]]="","",MAX(1,N(Tasks[[#This Row],[Level]])))</f>
        <v/>
      </c>
      <c r="CC82" s="43" t="n">
        <f aca="false">ROW()-ROW(Tasks[[#Headers],[ID]])</f>
        <v>77</v>
      </c>
      <c r="CD82" s="43" t="n">
        <f aca="false">IF(OR(Tasks[[#This Row],[Task Name]]="",Tasks[[#This Row],[_Level]]&lt;=1),0,IFERROR(LOOKUP(2,1/(Tasks[[#Headers],[_Level]]:Tasks[[#This Row],[_Level]]=Tasks[[#This Row],[_Level]]-1),ROW(Tasks[[#Headers],[_Level]]:Tasks[[#This Row],[_Level]])),0))</f>
        <v>0</v>
      </c>
      <c r="CE82" s="43" t="n">
        <f aca="false">IFERROR(N(INDEX(Tasks[_Level],Tasks[[#This Row],[_Row]]+1)),0)</f>
        <v>0</v>
      </c>
      <c r="CF82" s="90" t="b">
        <f aca="false">AND(Tasks[[#This Row],[Task Name]]&lt;&gt;"",Tasks[[#This Row],[_NextLevel]]&gt;Tasks[[#This Row],[_Level]])</f>
        <v>0</v>
      </c>
      <c r="CG82" s="43" t="n">
        <f aca="false">IF(Tasks[[#This Row],[_IsSummary]],COUNTIF(Tasks[WBS],Tasks[[#This Row],[WBS]]&amp;".*"),0)</f>
        <v>0</v>
      </c>
      <c r="CH82" s="43" t="n">
        <f aca="false">IF(AND(Tasks[[#This Row],[Task Name]]&lt;&gt;"",NOT(Tasks[[#This Row],[_IsSummary]])),1,0)</f>
        <v>0</v>
      </c>
      <c r="CI82" s="43" t="n">
        <f aca="false">IF(N(Tasks[[#This Row],[_Pred1UID]])=0,0,IFERROR(MATCH(Tasks[[#This Row],[_Pred1UID]],Tasks[UID],0),-1))</f>
        <v>0</v>
      </c>
      <c r="CJ82" s="43" t="n">
        <f aca="false">IF(N(Tasks[[#This Row],[_Pred2UID]])=0,0,IFERROR(MATCH(Tasks[[#This Row],[_Pred2UID]],Tasks[UID],0),-1))</f>
        <v>0</v>
      </c>
      <c r="CK82" s="43" t="n">
        <f aca="false">IF(N(Tasks[[#This Row],[_Pred3UID]])=0,0,IFERROR(MATCH(Tasks[[#This Row],[_Pred3UID]],Tasks[UID],0),-1))</f>
        <v>0</v>
      </c>
      <c r="CL82" s="43" t="n">
        <f aca="false">IF(N(Tasks[[#This Row],[_Pred4UID]])=0,0,IFERROR(MATCH(Tasks[[#This Row],[_Pred4UID]],Tasks[UID],0),-1))</f>
        <v>0</v>
      </c>
      <c r="CM8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2" s="91" t="n">
        <f aca="false">IF(OR(Tasks[[#This Row],[_ConstraintCode]]=2,Tasks[[#This Row],[_ConstraintCode]]=3,Tasks[[#This Row],[_ConstraintCode]]=4,Tasks[[#This Row],[_ConstraintCode]]=6),Tasks[[#This Row],[_ConstraintStart]],0)</f>
        <v>0</v>
      </c>
      <c r="CP82" s="91" t="n">
        <f aca="false">IF(OR(Tasks[[#This Row],[_ConstraintCode]]=2,Tasks[[#This Row],[_ConstraintCode]]=3,Tasks[[#This Row],[_ConstraintCode]]=5,Tasks[[#This Row],[_ConstraintCode]]=7),Tasks[[#This Row],[_ConstraintStart]],2958465)</f>
        <v>2958465</v>
      </c>
      <c r="CQ8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2" s="91" t="str">
        <f aca="false">IF(NOT(Tasks[[#This Row],[_IsLeaf]]=1),"",IF(N(Tasks[[#This Row],[_Days]])&lt;=0,Tasks[[#This Row],[_LeafCalcStart]],WORKDAY.INTL(Tasks[[#This Row],[_LeafCalcStart]],Tasks[[#This Row],[_Days]]-1,WorkWeek,Holidays)))</f>
        <v/>
      </c>
      <c r="CS8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2" s="43" t="str">
        <f aca="false">IF(Tasks[[#This Row],[_Predecessors]]="","",TRIM(MID(SUBSTITUTE(SUBSTITUTE(SUBSTITUTE(UPPER(Tasks[[#This Row],[_Predecessors]]),";",",")," ",""),",",REPT(" ",99)),1,99)))</f>
        <v/>
      </c>
      <c r="CV82" s="43" t="str">
        <f aca="false">IF(Tasks[[#This Row],[_Pred1Text]]="","",IFERROR(VALUE(LEFT(Tasks[[#This Row],[_Pred1Text]],MIN(FIND("F",Tasks[[#This Row],[_Pred1Text]]&amp;"F"),FIND("S",Tasks[[#This Row],[_Pred1Text]]&amp;"S"),FIND("+",Tasks[[#This Row],[_Pred1Text]]&amp;"+"),FIND("-",Tasks[[#This Row],[_Pred1Text]]&amp;"-"))-1)),""))</f>
        <v/>
      </c>
      <c r="CW8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2" s="43" t="str">
        <f aca="false">IF(Tasks[[#This Row],[_Pred1Text]]="","",TRIM(MID(SUBSTITUTE(SUBSTITUTE(SUBSTITUTE(UPPER(Tasks[[#This Row],[_Predecessors]]),";",",")," ",""),",",REPT(" ",99)),100,99)))</f>
        <v/>
      </c>
      <c r="CZ82" s="43" t="str">
        <f aca="false">IF(Tasks[[#This Row],[_Pred2Text]]="","",IFERROR(VALUE(LEFT(Tasks[[#This Row],[_Pred2Text]],MIN(FIND("F",Tasks[[#This Row],[_Pred2Text]]&amp;"F"),FIND("S",Tasks[[#This Row],[_Pred2Text]]&amp;"S"),FIND("+",Tasks[[#This Row],[_Pred2Text]]&amp;"+"),FIND("-",Tasks[[#This Row],[_Pred2Text]]&amp;"-"))-1)),""))</f>
        <v/>
      </c>
      <c r="DA8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2" s="43" t="str">
        <f aca="false">IF(Tasks[[#This Row],[_Pred2Text]]="","",TRIM(MID(SUBSTITUTE(SUBSTITUTE(SUBSTITUTE(UPPER(Tasks[[#This Row],[_Predecessors]]),";",",")," ",""),",",REPT(" ",99)),199,99)))</f>
        <v/>
      </c>
      <c r="DD82" s="43" t="str">
        <f aca="false">IF(Tasks[[#This Row],[_Pred3Text]]="","",IFERROR(VALUE(LEFT(Tasks[[#This Row],[_Pred3Text]],MIN(FIND("F",Tasks[[#This Row],[_Pred3Text]]&amp;"F"),FIND("S",Tasks[[#This Row],[_Pred3Text]]&amp;"S"),FIND("+",Tasks[[#This Row],[_Pred3Text]]&amp;"+"),FIND("-",Tasks[[#This Row],[_Pred3Text]]&amp;"-"))-1)),""))</f>
        <v/>
      </c>
      <c r="DE8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2" s="43" t="str">
        <f aca="false">IF(Tasks[[#This Row],[_Pred3Text]]="","",TRIM(MID(SUBSTITUTE(SUBSTITUTE(SUBSTITUTE(UPPER(Tasks[[#This Row],[_Predecessors]]),";",",")," ",""),",",REPT(" ",99)),298,99)))</f>
        <v/>
      </c>
      <c r="DH82" s="43" t="str">
        <f aca="false">IF(Tasks[[#This Row],[_Pred4Text]]="","",IFERROR(VALUE(LEFT(Tasks[[#This Row],[_Pred4Text]],MIN(FIND("F",Tasks[[#This Row],[_Pred4Text]]&amp;"F"),FIND("S",Tasks[[#This Row],[_Pred4Text]]&amp;"S"),FIND("+",Tasks[[#This Row],[_Pred4Text]]&amp;"+"),FIND("-",Tasks[[#This Row],[_Pred4Text]]&amp;"-"))-1)),""))</f>
        <v/>
      </c>
      <c r="DI8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2" s="43" t="str">
        <f aca="false">IF(OR(Tasks[[#This Row],[Task Name]]="",Tasks[[#This Row],[_Resources]]=""),"",TRIM(MID(SUBSTITUTE(Tasks[[#This Row],[_Resources]],",",REPT(" ",99)),1,99)))</f>
        <v/>
      </c>
      <c r="DL82" s="43" t="str">
        <f aca="false">IF(Tasks[[#This Row],[_Res1Text]]="","",TRIM(MID(SUBSTITUTE(Tasks[[#This Row],[_Resources]],",",REPT(" ",99)),100,99)))</f>
        <v/>
      </c>
      <c r="DM82" s="43" t="str">
        <f aca="false">IF(Tasks[[#This Row],[_Res2Text]]="","",TRIM(MID(SUBSTITUTE(Tasks[[#This Row],[_Resources]],",",REPT(" ",99)),199,99)))</f>
        <v/>
      </c>
      <c r="DN82" s="43" t="str">
        <f aca="false">IF(Tasks[[#This Row],[_Res3Text]]="","",TRIM(MID(SUBSTITUTE(Tasks[[#This Row],[_Resources]],",",REPT(" ",99)),298,99)))</f>
        <v/>
      </c>
      <c r="DO82" s="43" t="n">
        <f aca="false">IF(Tasks[[#This Row],[_Res1Text]]="",0,IFERROR(MATCH(TRIM(LEFT(Tasks[[#This Row],[_Res1Text]],FIND("[",Tasks[[#This Row],[_Res1Text]]&amp;"[")-1)),res_Name,0),IFERROR(MATCH(TRIM(LEFT(Tasks[[#This Row],[_Res1Text]],FIND("[",Tasks[[#This Row],[_Res1Text]]&amp;"[")-1)),res_Initials,0),0)))</f>
        <v>0</v>
      </c>
      <c r="DP82" s="43" t="n">
        <f aca="false">IF(Tasks[[#This Row],[_Res2Text]]="",0,IFERROR(MATCH(TRIM(LEFT(Tasks[[#This Row],[_Res2Text]],FIND("[",Tasks[[#This Row],[_Res2Text]]&amp;"[")-1)),res_Name,0),IFERROR(MATCH(TRIM(LEFT(Tasks[[#This Row],[_Res2Text]],FIND("[",Tasks[[#This Row],[_Res2Text]]&amp;"[")-1)),res_Initials,0),0)))</f>
        <v>0</v>
      </c>
      <c r="DQ82" s="43" t="n">
        <f aca="false">IF(Tasks[[#This Row],[_Res3Text]]="",0,IFERROR(MATCH(TRIM(LEFT(Tasks[[#This Row],[_Res3Text]],FIND("[",Tasks[[#This Row],[_Res3Text]]&amp;"[")-1)),res_Name,0),IFERROR(MATCH(TRIM(LEFT(Tasks[[#This Row],[_Res3Text]],FIND("[",Tasks[[#This Row],[_Res3Text]]&amp;"[")-1)),res_Initials,0),0)))</f>
        <v>0</v>
      </c>
      <c r="DR82" s="43" t="n">
        <f aca="false">IF(Tasks[[#This Row],[_Res4Text]]="",0,IFERROR(MATCH(TRIM(LEFT(Tasks[[#This Row],[_Res4Text]],FIND("[",Tasks[[#This Row],[_Res4Text]]&amp;"[")-1)),res_Name,0),IFERROR(MATCH(TRIM(LEFT(Tasks[[#This Row],[_Res4Text]],FIND("[",Tasks[[#This Row],[_Res4Text]]&amp;"[")-1)),res_Initials,0),0)))</f>
        <v>0</v>
      </c>
      <c r="DS82" s="43" t="str">
        <f aca="false">IF(Tasks[[#This Row],[_Res1Text]]="","",IF(Tasks[[#This Row],[_Res1Row]]&gt;0,INDEX(res_Name,Tasks[[#This Row],[_Res1Row]]),TRIM(LEFT(Tasks[[#This Row],[_Res1Text]],FIND("[",Tasks[[#This Row],[_Res1Text]]&amp;"[")-1))))</f>
        <v/>
      </c>
      <c r="DT8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2" s="43" t="n">
        <f aca="false">IF(NOT(Tasks[[#This Row],[_IsLeaf]]=1),0,(Tasks[[#This Row],[_Resource1]]&lt;&gt;"")+(Tasks[[#This Row],[_Res2]]&lt;&gt;"")+(Tasks[[#This Row],[_Res3]]&lt;&gt;"")+(Tasks[[#This Row],[_Res4]]&lt;&gt;""))</f>
        <v>0</v>
      </c>
      <c r="DV82" s="43" t="str">
        <f aca="false">IF(Tasks[[#This Row],[_Res2Text]]="","",IF(Tasks[[#This Row],[_Res2Row]]&gt;0,INDEX(res_Name,Tasks[[#This Row],[_Res2Row]]),TRIM(LEFT(Tasks[[#This Row],[_Res2Text]],FIND("[",Tasks[[#This Row],[_Res2Text]]&amp;"[")-1))))</f>
        <v/>
      </c>
      <c r="DW8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2" s="43" t="n">
        <f aca="false">IF(OR(NOT(Tasks[[#This Row],[_IsLeaf]]=1),Tasks[[#This Row],[_Res2Row]]=0),0,N(Tasks[[#This Row],[_Days]])*HoursPerDay*IF(Tasks[[#This Row],[_Res2Units]]="",DefaultUnits,Tasks[[#This Row],[_Res2Units]]))</f>
        <v>0</v>
      </c>
      <c r="DY82" s="43" t="n">
        <f aca="false">IF(AND(AND(Tasks[[#This Row],[_IsLeaf]]=1,Tasks[[#This Row],[_LeafTotalWork]]&gt;0),Tasks[[#This Row],[_Res2Work]]&gt;0),Tasks[[#This Row],[_Res2Work]]/(Tasks[[#This Row],[_FinishWorkday]]-Tasks[[#This Row],[_StartWorkday]]+1),0)</f>
        <v>0</v>
      </c>
      <c r="DZ82" s="43" t="n">
        <f aca="false">Tasks[[#This Row],[_Res2WorkPerWD]]*MAX(0,Tasks[[#This Row],[_StartWorkday]]-1)</f>
        <v>0</v>
      </c>
      <c r="EA82" s="43" t="n">
        <f aca="false">Tasks[[#This Row],[_Res2Work]]*Tasks[[#This Row],[_LeafProgress]]</f>
        <v>0</v>
      </c>
      <c r="EB82" s="43" t="str">
        <f aca="false">IF(Tasks[[#This Row],[_Res3Text]]="","",IF(Tasks[[#This Row],[_Res3Row]]&gt;0,INDEX(res_Name,Tasks[[#This Row],[_Res3Row]]),TRIM(LEFT(Tasks[[#This Row],[_Res3Text]],FIND("[",Tasks[[#This Row],[_Res3Text]]&amp;"[")-1))))</f>
        <v/>
      </c>
      <c r="EC8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2" s="43" t="n">
        <f aca="false">IF(OR(NOT(Tasks[[#This Row],[_IsLeaf]]=1),Tasks[[#This Row],[_Res3Row]]=0),0,N(Tasks[[#This Row],[_Days]])*HoursPerDay*IF(Tasks[[#This Row],[_Res3Units]]="",DefaultUnits,Tasks[[#This Row],[_Res3Units]]))</f>
        <v>0</v>
      </c>
      <c r="EE82" s="43" t="n">
        <f aca="false">IF(AND(AND(Tasks[[#This Row],[_IsLeaf]]=1,Tasks[[#This Row],[_LeafTotalWork]]&gt;0),Tasks[[#This Row],[_Res3Work]]&gt;0),Tasks[[#This Row],[_Res3Work]]/(Tasks[[#This Row],[_FinishWorkday]]-Tasks[[#This Row],[_StartWorkday]]+1),0)</f>
        <v>0</v>
      </c>
      <c r="EF82" s="43" t="n">
        <f aca="false">Tasks[[#This Row],[_Res3WorkPerWD]]*MAX(0,Tasks[[#This Row],[_StartWorkday]]-1)</f>
        <v>0</v>
      </c>
      <c r="EG82" s="43" t="n">
        <f aca="false">Tasks[[#This Row],[_Res3Work]]*Tasks[[#This Row],[_LeafProgress]]</f>
        <v>0</v>
      </c>
      <c r="EH82" s="43" t="str">
        <f aca="false">IF(Tasks[[#This Row],[_Res4Text]]="","",IF(Tasks[[#This Row],[_Res4Row]]&gt;0,INDEX(res_Name,Tasks[[#This Row],[_Res4Row]]),TRIM(LEFT(Tasks[[#This Row],[_Res4Text]],FIND("[",Tasks[[#This Row],[_Res4Text]]&amp;"[")-1))))</f>
        <v/>
      </c>
      <c r="EI8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2" s="43" t="n">
        <f aca="false">IF(OR(NOT(Tasks[[#This Row],[_IsLeaf]]=1),Tasks[[#This Row],[_Res4Row]]=0),0,N(Tasks[[#This Row],[_Days]])*HoursPerDay*IF(Tasks[[#This Row],[_Res4Units]]="",DefaultUnits,Tasks[[#This Row],[_Res4Units]]))</f>
        <v>0</v>
      </c>
      <c r="EK82" s="43" t="n">
        <f aca="false">IF(AND(AND(Tasks[[#This Row],[_IsLeaf]]=1,Tasks[[#This Row],[_LeafTotalWork]]&gt;0),Tasks[[#This Row],[_Res4Work]]&gt;0),Tasks[[#This Row],[_Res4Work]]/(Tasks[[#This Row],[_FinishWorkday]]-Tasks[[#This Row],[_StartWorkday]]+1),0)</f>
        <v>0</v>
      </c>
      <c r="EL82" s="43" t="n">
        <f aca="false">Tasks[[#This Row],[_Res4WorkPerWD]]*MAX(0,Tasks[[#This Row],[_StartWorkday]]-1)</f>
        <v>0</v>
      </c>
      <c r="EM82" s="43" t="n">
        <f aca="false">Tasks[[#This Row],[_Res4Work]]*Tasks[[#This Row],[_LeafProgress]]</f>
        <v>0</v>
      </c>
      <c r="EN82" s="43" t="n">
        <f aca="false">IF(ISNUMBER(Tasks[[#This Row],[% Complete]]),Tasks[[#This Row],[% Complete]],IF(Tasks[[#This Row],[Stage]]="",0,IFERROR(INDEX(stg_Pct,MATCH(Tasks[[#This Row],[Stage]],stg_Name,0)),0)))</f>
        <v>0</v>
      </c>
      <c r="EO82" s="43" t="n">
        <f aca="false">IF(NOT(Tasks[[#This Row],[_IsLeaf]]=1),0,IF(N(Tasks[[#This Row],[Actual Finish]])&gt;0,1,MIN(1,Tasks[[#This Row],[_Pct]])))</f>
        <v>0</v>
      </c>
      <c r="EP82" s="43" t="n">
        <f aca="false">IF(OR(NOT(Tasks[[#This Row],[_IsLeaf]]=1),Tasks[[#This Row],[_Res1Row]]=0),0,N(Tasks[[#This Row],[_Days]])*HoursPerDay*IF(Tasks[[#This Row],[_Units1]]="",DefaultUnits,Tasks[[#This Row],[_Units1]]))</f>
        <v>0</v>
      </c>
      <c r="EQ82" s="43" t="n">
        <f aca="false">Tasks[[#This Row],[_LeafWork]]+Tasks[[#This Row],[_Res2Work]]+Tasks[[#This Row],[_Res3Work]]+Tasks[[#This Row],[_Res4Work]]</f>
        <v>0</v>
      </c>
      <c r="ER8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2" s="43" t="n">
        <f aca="false">IF(NOT(Tasks[[#This Row],[_IsLeaf]]=1),0,MAX(_xlfn.MAXIFS(Tasks[_Row],Tasks[_Pred1UID],Tasks[[#This Row],[UID]]),_xlfn.MAXIFS(Tasks[_Row],Tasks[_Pred2UID],Tasks[[#This Row],[UID]]),_xlfn.MAXIFS(Tasks[_Row],Tasks[_Pred3UID],Tasks[[#This Row],[UID]]),_xlfn.MAXIFS(Tasks[_Row],Tasks[_Pred4UID],Tasks[[#This Row],[UID]])))</f>
        <v>0</v>
      </c>
      <c r="FA8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2" s="91" t="str">
        <f aca="false">IF(NOT(Tasks[[#This Row],[_IsLeaf]]=1),"",IF(N(Tasks[[#This Row],[_Days]])&lt;=0,Tasks[[#This Row],[_LeafLateFinish]],WORKDAY.INTL(Tasks[[#This Row],[_LeafLateFinish]],-(Tasks[[#This Row],[_Days]]-1),WorkWeek,Holidays)))</f>
        <v/>
      </c>
      <c r="FD8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2" s="90" t="b">
        <f aca="false">AND(Tasks[[#This Row],[_IsLeaf]]=1,Tasks[[#This Row],[_LeafProgress]]&lt;1,N(Tasks[[#This Row],[_LeafTotalSlack]])&lt;=CriticalSlackDays)</f>
        <v>0</v>
      </c>
      <c r="FF82" s="43" t="n">
        <f aca="false">IF(AND(Tasks[[#This Row],[_IsLeaf]]=1,Tasks[[#This Row],[_ConstraintCode]]=1,Tasks[[#This Row],[Mode]]&lt;&gt;"Manual",N(Tasks[[#This Row],[Actual Start]])=0),MAX(0,N(Tasks[[#This Row],[Free Slack]])),0)</f>
        <v>0</v>
      </c>
      <c r="FG82" s="91" t="str">
        <f aca="false">IF(NOT(Tasks[[#This Row],[_IsLeaf]]=1),"",IF(Tasks[[#This Row],[_AlapShift]]=0,Tasks[[#This Row],[_LeafCalcStart]],WORKDAY.INTL(Tasks[[#This Row],[_LeafCalcStart]],Tasks[[#This Row],[_AlapShift]],WorkWeek,Holidays)))</f>
        <v/>
      </c>
      <c r="FH82" s="91" t="str">
        <f aca="false">IF(NOT(Tasks[[#This Row],[_IsLeaf]]=1),"",IF(Tasks[[#This Row],[_AlapShift]]=0,Tasks[[#This Row],[_LeafCalcFinish]],WORKDAY.INTL(Tasks[[#This Row],[_LeafCalcFinish]],Tasks[[#This Row],[_AlapShift]],WorkWeek,Holidays)))</f>
        <v/>
      </c>
      <c r="FI82" s="91" t="str">
        <f aca="false">IF(NOT(Tasks[[#This Row],[_IsLeaf]]=1),"",IF(Tasks[[#This Row],[_AlapShift]]=0,Tasks[[#This Row],[_LeafFcstStart]],WORKDAY.INTL(Tasks[[#This Row],[_LeafFcstStart]],Tasks[[#This Row],[_AlapShift]],WorkWeek,Holidays)))</f>
        <v/>
      </c>
      <c r="FJ82" s="91" t="str">
        <f aca="false">IF(NOT(Tasks[[#This Row],[_IsLeaf]]=1),"",IF(Tasks[[#This Row],[_AlapShift]]=0,Tasks[[#This Row],[_LeafFcstFinish]],WORKDAY.INTL(Tasks[[#This Row],[_LeafFcstFinish]],Tasks[[#This Row],[_AlapShift]],WorkWeek,Holidays)))</f>
        <v/>
      </c>
      <c r="FK82" s="91" t="str">
        <f aca="false">IF(Tasks[[#This Row],[Task Name]]="","",IF(Tasks[[#This Row],[_IsSummary]],MIN(INDEX(Tasks[_ShownCalcStart],Tasks[[#This Row],[_Row]]+1):INDEX(Tasks[_ShownCalcStart],Tasks[[#This Row],[_Row]]+Tasks[[#This Row],[_Descendants]])),Tasks[[#This Row],[_ShownCalcStart]]))</f>
        <v/>
      </c>
      <c r="FL82" s="91" t="str">
        <f aca="false">IF(Tasks[[#This Row],[Task Name]]="","",IF(Tasks[[#This Row],[_IsSummary]],MAX(INDEX(Tasks[_ShownCalcFinish],Tasks[[#This Row],[_Row]]+1):INDEX(Tasks[_ShownCalcFinish],Tasks[[#This Row],[_Row]]+Tasks[[#This Row],[_Descendants]])),Tasks[[#This Row],[_ShownCalcFinish]]))</f>
        <v/>
      </c>
      <c r="FM8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2" s="43" t="n">
        <f aca="false">IF(AND(Tasks[[#This Row],[_IsLeaf]]=1,Tasks[[#This Row],[_LeafTotalWork]]&gt;0),NETWORKDAYS.INTL(ProjectStart,Tasks[[#This Row],[_ShownFcstStart]],WorkWeek,Holidays),0)</f>
        <v>0</v>
      </c>
      <c r="FZ82" s="43" t="n">
        <f aca="false">IF(AND(Tasks[[#This Row],[_IsLeaf]]=1,Tasks[[#This Row],[_LeafTotalWork]]&gt;0),MAX(Tasks[[#This Row],[_StartWorkday]],NETWORKDAYS.INTL(ProjectStart,Tasks[[#This Row],[_ShownFcstFinish]],WorkWeek,Holidays)),0)</f>
        <v>0</v>
      </c>
      <c r="GA82" s="43" t="n">
        <f aca="false">IF(AND(Tasks[[#This Row],[_IsLeaf]]=1,Tasks[[#This Row],[_LeafTotalWork]]&gt;0),Tasks[[#This Row],[_LeafWork]]/(Tasks[[#This Row],[_FinishWorkday]]-Tasks[[#This Row],[_StartWorkday]]+1),0)</f>
        <v>0</v>
      </c>
      <c r="GB82" s="43" t="n">
        <f aca="false">Tasks[[#This Row],[_WorkPerWorkday]]*(Tasks[[#This Row],[_StartWorkday]]-1)</f>
        <v>-0</v>
      </c>
      <c r="GC82" s="43" t="n">
        <f aca="false">IF(Tasks[[#This Row],[_IsLeaf]]=1,MAX(N(Tasks[[#This Row],[_Days]]),0.1),0)</f>
        <v>0</v>
      </c>
      <c r="GD82" s="43" t="n">
        <f aca="false">Tasks[[#This Row],[_WeightDur]]*Tasks[[#This Row],[_LeafProgress]]</f>
        <v>0</v>
      </c>
      <c r="GE82" s="43" t="n">
        <f aca="false">Tasks[[#This Row],[_WeightDur]]*Tasks[[#This Row],[_PlannedPct]]</f>
        <v>0</v>
      </c>
      <c r="GF8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2" s="43" t="str">
        <f aca="false">IF(AND(Tasks[[#This Row],[_IsLeaf]]=1,N(Tasks[[#This Row],[_Days]])=0,Tasks[[#This Row],[_LeafProgress]]&lt;1),Tasks[[#This Row],[_ShownFcstFinish]]+Tasks[[#This Row],[_Row]]/100000,"")</f>
        <v/>
      </c>
      <c r="GH8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2" s="43" t="str">
        <f aca="false">IF(Tasks[[#This Row],[Task Name]]="","",LEFT(Tasks[[#This Row],[WBS]],FIND(".",Tasks[[#This Row],[WBS]]&amp;".")-1))</f>
        <v/>
      </c>
      <c r="GJ82" s="43" t="str">
        <f aca="false">IF(AND(Tasks[[#This Row],[Task Name]]&lt;&gt;"",Tasks[[#This Row],[_Level]]=1),Tasks[[#This Row],[_Row]],"")</f>
        <v/>
      </c>
      <c r="GK82" s="43" t="str">
        <f aca="false">IF(AND(Tasks[[#This Row],[_IsLeaf]]=1,N(Tasks[[#This Row],[_Days]])=0),Tasks[[#This Row],[Planned Finish]]+Tasks[[#This Row],[_Row]]/100000,"")</f>
        <v/>
      </c>
      <c r="GL82" s="43" t="str">
        <f aca="false">IF(AND(Tasks[[#This Row],[_IsLeaf]]=1,Tasks[[#This Row],[_LeafProgress]]&lt;1,OR(N(Tasks[[#This Row],[Finish Var]])&gt;0,Tasks[[#This Row],[Status]]="Late Start")),MAX(0,Tasks[[#This Row],[Finish Var]])+1-Tasks[[#This Row],[_Row]]/1000000,"")</f>
        <v/>
      </c>
      <c r="GM82" s="43" t="str">
        <f aca="false">IF(AND(Tasks[[#This Row],[_IsLeaf]]=1,N(Tasks[[#This Row],[Actual Start]])=0,Tasks[[#This Row],[_ShownFcstStart]]&gt;=StatusDate,Tasks[[#This Row],[_ShownFcstStart]]&lt;=LookaheadEnd),Tasks[[#This Row],[_ShownFcstStart]]+Tasks[[#This Row],[_Row]]/100000,"")</f>
        <v/>
      </c>
      <c r="GN82" s="43" t="str">
        <f aca="false">IF(AND(Tasks[[#This Row],[_IsLeaf]]=1,Tasks[[#This Row],[_LeafProgress]]&lt;1,Tasks[[#This Row],[_ShownFcstFinish]]&gt;=StatusDate,Tasks[[#This Row],[_ShownFcstFinish]]&lt;=LookaheadEnd),Tasks[[#This Row],[_ShownFcstFinish]]+Tasks[[#This Row],[_Row]]/100000,"")</f>
        <v/>
      </c>
      <c r="GO82" s="43" t="str">
        <f aca="false">IF(Tasks[[#This Row],[_LeafCritical]],Tasks[[#This Row],[_ShownFcstStart]]+Tasks[[#This Row],[_Row]]/100000,"")</f>
        <v/>
      </c>
      <c r="GP82" s="43" t="n">
        <f aca="false">Tasks[[#This Row],[_LeafWork]]*Tasks[[#This Row],[_LeafProgress]]</f>
        <v>0</v>
      </c>
      <c r="GQ82" s="91" t="str">
        <f aca="false">IF(AND(Tasks[[#This Row],[_IsLeaf]]=1,Tasks[[#This Row],[_LeafProgress]]&gt;=1),IF(N(Tasks[[#This Row],[Actual Finish]])&gt;0,Tasks[[#This Row],[Actual Finish]],Tasks[[#This Row],[_ShownFcstFinish]]),"")</f>
        <v/>
      </c>
      <c r="GR82" s="43" t="n">
        <f aca="false">IF(Tasks[[#This Row],[_IsLeaf]]=1,N(Tasks[[#This Row],[Story Points]]),0)</f>
        <v>0</v>
      </c>
      <c r="GS82" s="43" t="str">
        <f aca="false">""</f>
        <v/>
      </c>
      <c r="GT82" s="90" t="b">
        <f aca="false">IF(Tasks[[#This Row],[Task Name]]="",FALSE(),AND(Tasks[[#This Row],[_IsLeaf]]=1,N(Tasks[[#This Row],[_Days]])=0))</f>
        <v>0</v>
      </c>
      <c r="GU82" s="91" t="n">
        <f aca="false">IF(Tasks[[#This Row],[Task Name]]="",0,IF(AND(Tasks[[#This Row],[_IsLeaf]]=1,NOT(Tasks[[#This Row],[_IsMilestone]]),N(Tasks[[#This Row],[Progress]])&gt;0),Tasks[[#This Row],[Start]],0))</f>
        <v>0</v>
      </c>
      <c r="GV82" s="91" t="n">
        <f aca="false">IF(Tasks[[#This Row],[_DoneFrom]]=0,0,IF(Tasks[[#This Row],[Progress]]&gt;=1,Tasks[[#This Row],[Finish]],MAX(Tasks[[#This Row],[_DoneFrom]],Tasks[[#This Row],[Start]]+ROUND((Tasks[[#This Row],[Finish]]-Tasks[[#This Row],[Start]]+1)*Tasks[[#This Row],[Progress]],0)-1)))</f>
        <v>0</v>
      </c>
      <c r="GW82" s="91" t="n">
        <f aca="false">IF(Tasks[[#This Row],[Task Name]]="",0,IF(OR(NOT(Tasks[[#This Row],[_IsLeaf]]=1),Tasks[[#This Row],[_IsMilestone]],N(Tasks[[#This Row],[Progress]])&gt;=1),0,IF(Tasks[[#This Row],[_DoneTo]]&gt;0,Tasks[[#This Row],[_DoneTo]]+1,Tasks[[#This Row],[Start]])))</f>
        <v>0</v>
      </c>
      <c r="GX82" s="91" t="n">
        <f aca="false">IF(Tasks[[#This Row],[_RemFrom]]=0,0,Tasks[[#This Row],[Finish]])</f>
        <v>0</v>
      </c>
      <c r="GY82" s="90" t="b">
        <f aca="false">IF(Tasks[[#This Row],[Task Name]]="",FALSE(),OR(NOT(BaselineSet),N(Tasks[[#This Row],[Baseline Start]])&gt;0))</f>
        <v>0</v>
      </c>
      <c r="GZ8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2" s="92" t="str">
        <f aca="false">IF(Tasks[[#This Row],[_IsLeaf]]=1,Tasks[[#This Row],[_Row]],"")</f>
        <v/>
      </c>
      <c r="HD82" s="92" t="str">
        <f aca="false">IFERROR(INDEX(Tasks[UID],SMALL(Tasks[_PickKey],Tasks[[#This Row],[_Row]]))&amp;" "&amp;INDEX(Tasks[Task Name],SMALL(Tasks[_PickKey],Tasks[[#This Row],[_Row]])),"")</f>
        <v/>
      </c>
      <c r="HE82" s="43" t="str">
        <f aca="false">IF(Tasks[[#This Row],[Task Name]]="","",IF(Tasks[[#This Row],[_IsSummary]],NETWORKDAYS.INTL(Tasks[[#This Row],[Start]],Tasks[[#This Row],[Finish]],WorkWeek,Holidays),N(Tasks[[#This Row],[_Days]])))</f>
        <v/>
      </c>
      <c r="HF82" s="43" t="n">
        <f aca="false">IF(Tasks[[#This Row],[Expected]]="",0,((Tasks[[#This Row],[Pessimistic]]-Tasks[[#This Row],[Optimistic]])/6)^2)</f>
        <v>0</v>
      </c>
      <c r="HG82" s="43" t="n">
        <f aca="false">IF(Tasks[[#This Row],[Expected]]="",0,Tasks[[#This Row],[Expected]]-N(Tasks[[#This Row],[_Days]]))</f>
        <v>0</v>
      </c>
    </row>
    <row r="83" customFormat="false" ht="15" hidden="false" customHeight="false" outlineLevel="0" collapsed="false">
      <c r="A83" s="21" t="str">
        <f aca="false">IF(Tasks[[#This Row],[Task Name]]="","",COUNTA(Tasks[[#Headers],[Task Name]]:Tasks[[#This Row],[Task Name]])-1)</f>
        <v/>
      </c>
      <c r="B83" s="22" t="n">
        <v>91</v>
      </c>
      <c r="C83" s="22"/>
      <c r="D83" s="23"/>
      <c r="E83" s="22"/>
      <c r="F83" s="23"/>
      <c r="G83" s="22"/>
      <c r="H83" s="22"/>
      <c r="I83" s="23"/>
      <c r="J83" s="22"/>
      <c r="K83" s="22"/>
      <c r="L83" s="23"/>
      <c r="M83" s="22"/>
      <c r="N83" s="22"/>
      <c r="O83" s="23"/>
      <c r="P83" s="22"/>
      <c r="Q83" s="22"/>
      <c r="R83" s="23"/>
      <c r="S83" s="23"/>
      <c r="T83" s="84"/>
      <c r="U83" s="23"/>
      <c r="V83" s="84"/>
      <c r="W83" s="23"/>
      <c r="X83" s="84"/>
      <c r="Y83" s="23"/>
      <c r="Z83" s="84"/>
      <c r="AA83" s="23"/>
      <c r="AB83" s="23"/>
      <c r="AC83" s="7"/>
      <c r="AD83" s="7"/>
      <c r="AE83" s="63" t="str">
        <f aca="false">IF(Tasks[[#This Row],[Task Name]]="","",IF(Tasks[[#This Row],[_IsSummary]],MIN(INDEX(Tasks[_ShownFcstStart],Tasks[[#This Row],[_Row]]+1):INDEX(Tasks[_ShownFcstStart],Tasks[[#This Row],[_Row]]+Tasks[[#This Row],[_Descendants]])),Tasks[[#This Row],[_ShownFcstStart]]))</f>
        <v/>
      </c>
      <c r="AF83" s="63" t="str">
        <f aca="false">IF(Tasks[[#This Row],[Task Name]]="","",IF(Tasks[[#This Row],[_IsSummary]],MAX(INDEX(Tasks[_ShownFcstFinish],Tasks[[#This Row],[_Row]]+1):INDEX(Tasks[_ShownFcstFinish],Tasks[[#This Row],[_Row]]+Tasks[[#This Row],[_Descendants]])),Tasks[[#This Row],[_ShownFcstFinish]]))</f>
        <v/>
      </c>
      <c r="AG83" s="21" t="str">
        <f aca="false">""</f>
        <v/>
      </c>
      <c r="AH83" s="23"/>
      <c r="AI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3" s="7"/>
      <c r="AK83" s="22"/>
      <c r="AL83" s="23"/>
      <c r="AM83" s="7"/>
      <c r="AN83" s="47" t="str">
        <f aca="false">IF(Tasks[[#This Row],[Task Name]]="","",IF(Tasks[[#This Row],[Finish]]&gt;=Tasks[[#This Row],[Planned Finish]],NETWORKDAYS.INTL(Tasks[[#This Row],[Planned Finish]],Tasks[[#This Row],[Finish]],WorkWeek,Holidays)-1,1-NETWORKDAYS.INTL(Tasks[[#This Row],[Finish]],Tasks[[#This Row],[Planned Finish]],WorkWeek,Holidays)))</f>
        <v/>
      </c>
      <c r="AO83" s="21" t="str">
        <f aca="false">IF(Tasks[[#This Row],[Task Name]]="","",IF(Tasks[[#This Row],[Progress]]&gt;=1,"Complete",IF(OR(N(Tasks[[#This Row],[Actual Start]])&gt;0,Tasks[[#This Row],[Progress]]&gt;0),IF(Tasks[[#This Row],[Finish Var]]&gt;0,"Behind","In Progress"),IF(Tasks[[#This Row],[Planned Start]]&lt;StatusDate,"Late Start","Not Started"))))</f>
        <v/>
      </c>
      <c r="AP83" s="21" t="str">
        <f aca="false">IF(Tasks[[#This Row],[Task Name]]="","",IF(IF(Tasks[[#This Row],[_IsSummary]],COUNTIF(INDEX(Tasks[_LeafCritical],Tasks[[#This Row],[_Row]]+1):INDEX(Tasks[_LeafCritical],Tasks[[#This Row],[_Row]]+Tasks[[#This Row],[_Descendants]]),TRUE())&gt;0,Tasks[[#This Row],[_LeafCritical]]),"Yes",""))</f>
        <v/>
      </c>
      <c r="AQ83" s="63" t="str">
        <f aca="false">IF(Tasks[[#This Row],[Task Name]]="","",IF(N(Tasks[[#This Row],[Baseline Start]])&gt;0,Tasks[[#This Row],[Baseline Start]],Tasks[[#This Row],[_CalcStart]]))</f>
        <v/>
      </c>
      <c r="AR83" s="63" t="str">
        <f aca="false">IF(Tasks[[#This Row],[Task Name]]="","",IF(N(Tasks[[#This Row],[Baseline Finish]])&gt;0,Tasks[[#This Row],[Baseline Finish]],Tasks[[#This Row],[_CalcFinish]]))</f>
        <v/>
      </c>
      <c r="AS83" s="47" t="str">
        <f aca="false">IF(Tasks[[#This Row],[Task Name]]="","",IF(Tasks[[#This Row],[Start]]&gt;=Tasks[[#This Row],[Planned Start]],NETWORKDAYS.INTL(Tasks[[#This Row],[Planned Start]],Tasks[[#This Row],[Start]],WorkWeek,Holidays)-1,1-NETWORKDAYS.INTL(Tasks[[#This Row],[Start]],Tasks[[#This Row],[Planned Start]],WorkWeek,Holidays)))</f>
        <v/>
      </c>
      <c r="AT83" s="63" t="str">
        <f aca="false">IF(Tasks[[#This Row],[Task Name]]="","",IF(Tasks[[#This Row],[_IsSummary]],MIN(INDEX(Tasks[_LeafLateStart],Tasks[[#This Row],[_Row]]+1):INDEX(Tasks[_LeafLateStart],Tasks[[#This Row],[_Row]]+Tasks[[#This Row],[_Descendants]])),Tasks[[#This Row],[_LeafLateStart]]))</f>
        <v/>
      </c>
      <c r="AU83" s="63" t="str">
        <f aca="false">IF(Tasks[[#This Row],[Task Name]]="","",IF(Tasks[[#This Row],[_IsSummary]],MAX(INDEX(Tasks[_LeafLateFinish],Tasks[[#This Row],[_Row]]+1):INDEX(Tasks[_LeafLateFinish],Tasks[[#This Row],[_Row]]+Tasks[[#This Row],[_Descendants]])),Tasks[[#This Row],[_LeafLateFinish]]))</f>
        <v/>
      </c>
      <c r="AV83" s="47" t="str">
        <f aca="false">IF(Tasks[[#This Row],[Task Name]]="","",IF(Tasks[[#This Row],[_IsSummary]],MIN(INDEX(Tasks[_LeafTotalSlack],Tasks[[#This Row],[_Row]]+1):INDEX(Tasks[_LeafTotalSlack],Tasks[[#This Row],[_Row]]+Tasks[[#This Row],[_Descendants]])),Tasks[[#This Row],[_LeafTotalSlack]]))</f>
        <v/>
      </c>
      <c r="AW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5"/>
      <c r="BA8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1" t="str">
        <f aca="false">IF(Tasks[[#This Row],[Task Name]]="","",IF(Tasks[[#This Row],[_Level]]&lt;=OutlineShowLevel,"Yes","No"))</f>
        <v/>
      </c>
      <c r="BE83" s="86" t="str">
        <f aca="false">IF(Tasks[[#This Row],[Task Name]]="","",IF(Tasks[[#This Row],[_IsSummary]],SUM(INDEX(Tasks[_LeafTotalWork],Tasks[[#This Row],[_Row]]+1):INDEX(Tasks[_LeafTotalWork],Tasks[[#This Row],[_Row]]+Tasks[[#This Row],[_Descendants]])),Tasks[[#This Row],[_LeafTotalWork]]))</f>
        <v/>
      </c>
      <c r="BF83" s="23"/>
      <c r="BG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3" s="21" t="str">
        <f aca="false">""</f>
        <v/>
      </c>
      <c r="BI83" s="87"/>
      <c r="BJ83" s="22"/>
      <c r="BK83" s="47" t="str">
        <f aca="false">IF(OR(Tasks[[#This Row],[Task Name]]="",Tasks[[#This Row],[Baseline Duration]]=""),"",Tasks[[#This Row],[_SpanDays]]-N(Tasks[[#This Row],[Baseline Duration]]))</f>
        <v/>
      </c>
      <c r="BL83" s="86" t="str">
        <f aca="false">IF(OR(Tasks[[#This Row],[Task Name]]="",Tasks[[#This Row],[Baseline Work]]=""),"",Tasks[[#This Row],[Work]]-N(Tasks[[#This Row],[Baseline Work]]))</f>
        <v/>
      </c>
      <c r="BM83" s="63" t="str">
        <f aca="false">IF(Tasks[[#This Row],[Task Name]]="","",IF(OR(TakeBaseline="Yes",N(Tasks[[#This Row],[Baseline Start]])=0),Tasks[[#This Row],[Start]],Tasks[[#This Row],[Baseline Start]]))</f>
        <v/>
      </c>
      <c r="BN83" s="63" t="str">
        <f aca="false">IF(Tasks[[#This Row],[Task Name]]="","",IF(OR(TakeBaseline="Yes",N(Tasks[[#This Row],[Baseline Finish]])=0),Tasks[[#This Row],[Finish]],Tasks[[#This Row],[Baseline Finish]]))</f>
        <v/>
      </c>
      <c r="BO83" s="21" t="str">
        <f aca="false">IF(Tasks[[#This Row],[Task Name]]="","",IF(OR(TakeBaseline="Yes",N(Tasks[[#This Row],[Baseline Duration]])=0),Tasks[[#This Row],[_SpanDays]],Tasks[[#This Row],[Baseline Duration]]))</f>
        <v/>
      </c>
      <c r="BP83" s="86" t="str">
        <f aca="false">IF(Tasks[[#This Row],[Task Name]]="","",IF(OR(TakeBaseline="Yes",N(Tasks[[#This Row],[Baseline Work]])=0),Tasks[[#This Row],[Work]],Tasks[[#This Row],[Baseline Work]]))</f>
        <v/>
      </c>
      <c r="BQ83" s="7"/>
      <c r="BR83" s="7"/>
      <c r="BS83" s="22"/>
      <c r="BT83" s="88"/>
      <c r="BU83" s="23"/>
      <c r="BV83" s="23"/>
      <c r="BW83" s="23"/>
      <c r="BX83" s="89" t="str">
        <f aca="false">IF(AND(Tasks[[#This Row],[_IsLeaf]]=1,ISNUMBER(Tasks[[#This Row],[Optimistic]]),ISNUMBER(Tasks[[#This Row],[Pessimistic]])),ROUND((Tasks[[#This Row],[Optimistic]]+4*N(Tasks[[#This Row],[_Days]])+Tasks[[#This Row],[Pessimistic]])/6,1),"")</f>
        <v/>
      </c>
      <c r="BY83" s="87"/>
      <c r="BZ83" s="87"/>
      <c r="CA83" s="22"/>
      <c r="CB83" s="43" t="str">
        <f aca="false">IF(Tasks[[#This Row],[Task Name]]="","",MAX(1,N(Tasks[[#This Row],[Level]])))</f>
        <v/>
      </c>
      <c r="CC83" s="43" t="n">
        <f aca="false">ROW()-ROW(Tasks[[#Headers],[ID]])</f>
        <v>78</v>
      </c>
      <c r="CD83" s="43" t="n">
        <f aca="false">IF(OR(Tasks[[#This Row],[Task Name]]="",Tasks[[#This Row],[_Level]]&lt;=1),0,IFERROR(LOOKUP(2,1/(Tasks[[#Headers],[_Level]]:Tasks[[#This Row],[_Level]]=Tasks[[#This Row],[_Level]]-1),ROW(Tasks[[#Headers],[_Level]]:Tasks[[#This Row],[_Level]])),0))</f>
        <v>0</v>
      </c>
      <c r="CE83" s="43" t="n">
        <f aca="false">IFERROR(N(INDEX(Tasks[_Level],Tasks[[#This Row],[_Row]]+1)),0)</f>
        <v>0</v>
      </c>
      <c r="CF83" s="90" t="b">
        <f aca="false">AND(Tasks[[#This Row],[Task Name]]&lt;&gt;"",Tasks[[#This Row],[_NextLevel]]&gt;Tasks[[#This Row],[_Level]])</f>
        <v>0</v>
      </c>
      <c r="CG83" s="43" t="n">
        <f aca="false">IF(Tasks[[#This Row],[_IsSummary]],COUNTIF(Tasks[WBS],Tasks[[#This Row],[WBS]]&amp;".*"),0)</f>
        <v>0</v>
      </c>
      <c r="CH83" s="43" t="n">
        <f aca="false">IF(AND(Tasks[[#This Row],[Task Name]]&lt;&gt;"",NOT(Tasks[[#This Row],[_IsSummary]])),1,0)</f>
        <v>0</v>
      </c>
      <c r="CI83" s="43" t="n">
        <f aca="false">IF(N(Tasks[[#This Row],[_Pred1UID]])=0,0,IFERROR(MATCH(Tasks[[#This Row],[_Pred1UID]],Tasks[UID],0),-1))</f>
        <v>0</v>
      </c>
      <c r="CJ83" s="43" t="n">
        <f aca="false">IF(N(Tasks[[#This Row],[_Pred2UID]])=0,0,IFERROR(MATCH(Tasks[[#This Row],[_Pred2UID]],Tasks[UID],0),-1))</f>
        <v>0</v>
      </c>
      <c r="CK83" s="43" t="n">
        <f aca="false">IF(N(Tasks[[#This Row],[_Pred3UID]])=0,0,IFERROR(MATCH(Tasks[[#This Row],[_Pred3UID]],Tasks[UID],0),-1))</f>
        <v>0</v>
      </c>
      <c r="CL83" s="43" t="n">
        <f aca="false">IF(N(Tasks[[#This Row],[_Pred4UID]])=0,0,IFERROR(MATCH(Tasks[[#This Row],[_Pred4UID]],Tasks[UID],0),-1))</f>
        <v>0</v>
      </c>
      <c r="CM8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3" s="91" t="n">
        <f aca="false">IF(OR(Tasks[[#This Row],[_ConstraintCode]]=2,Tasks[[#This Row],[_ConstraintCode]]=3,Tasks[[#This Row],[_ConstraintCode]]=4,Tasks[[#This Row],[_ConstraintCode]]=6),Tasks[[#This Row],[_ConstraintStart]],0)</f>
        <v>0</v>
      </c>
      <c r="CP83" s="91" t="n">
        <f aca="false">IF(OR(Tasks[[#This Row],[_ConstraintCode]]=2,Tasks[[#This Row],[_ConstraintCode]]=3,Tasks[[#This Row],[_ConstraintCode]]=5,Tasks[[#This Row],[_ConstraintCode]]=7),Tasks[[#This Row],[_ConstraintStart]],2958465)</f>
        <v>2958465</v>
      </c>
      <c r="CQ8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3" s="91" t="str">
        <f aca="false">IF(NOT(Tasks[[#This Row],[_IsLeaf]]=1),"",IF(N(Tasks[[#This Row],[_Days]])&lt;=0,Tasks[[#This Row],[_LeafCalcStart]],WORKDAY.INTL(Tasks[[#This Row],[_LeafCalcStart]],Tasks[[#This Row],[_Days]]-1,WorkWeek,Holidays)))</f>
        <v/>
      </c>
      <c r="CS8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3" s="43" t="str">
        <f aca="false">IF(Tasks[[#This Row],[_Predecessors]]="","",TRIM(MID(SUBSTITUTE(SUBSTITUTE(SUBSTITUTE(UPPER(Tasks[[#This Row],[_Predecessors]]),";",",")," ",""),",",REPT(" ",99)),1,99)))</f>
        <v/>
      </c>
      <c r="CV83" s="43" t="str">
        <f aca="false">IF(Tasks[[#This Row],[_Pred1Text]]="","",IFERROR(VALUE(LEFT(Tasks[[#This Row],[_Pred1Text]],MIN(FIND("F",Tasks[[#This Row],[_Pred1Text]]&amp;"F"),FIND("S",Tasks[[#This Row],[_Pred1Text]]&amp;"S"),FIND("+",Tasks[[#This Row],[_Pred1Text]]&amp;"+"),FIND("-",Tasks[[#This Row],[_Pred1Text]]&amp;"-"))-1)),""))</f>
        <v/>
      </c>
      <c r="CW8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3" s="43" t="str">
        <f aca="false">IF(Tasks[[#This Row],[_Pred1Text]]="","",TRIM(MID(SUBSTITUTE(SUBSTITUTE(SUBSTITUTE(UPPER(Tasks[[#This Row],[_Predecessors]]),";",",")," ",""),",",REPT(" ",99)),100,99)))</f>
        <v/>
      </c>
      <c r="CZ83" s="43" t="str">
        <f aca="false">IF(Tasks[[#This Row],[_Pred2Text]]="","",IFERROR(VALUE(LEFT(Tasks[[#This Row],[_Pred2Text]],MIN(FIND("F",Tasks[[#This Row],[_Pred2Text]]&amp;"F"),FIND("S",Tasks[[#This Row],[_Pred2Text]]&amp;"S"),FIND("+",Tasks[[#This Row],[_Pred2Text]]&amp;"+"),FIND("-",Tasks[[#This Row],[_Pred2Text]]&amp;"-"))-1)),""))</f>
        <v/>
      </c>
      <c r="DA8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3" s="43" t="str">
        <f aca="false">IF(Tasks[[#This Row],[_Pred2Text]]="","",TRIM(MID(SUBSTITUTE(SUBSTITUTE(SUBSTITUTE(UPPER(Tasks[[#This Row],[_Predecessors]]),";",",")," ",""),",",REPT(" ",99)),199,99)))</f>
        <v/>
      </c>
      <c r="DD83" s="43" t="str">
        <f aca="false">IF(Tasks[[#This Row],[_Pred3Text]]="","",IFERROR(VALUE(LEFT(Tasks[[#This Row],[_Pred3Text]],MIN(FIND("F",Tasks[[#This Row],[_Pred3Text]]&amp;"F"),FIND("S",Tasks[[#This Row],[_Pred3Text]]&amp;"S"),FIND("+",Tasks[[#This Row],[_Pred3Text]]&amp;"+"),FIND("-",Tasks[[#This Row],[_Pred3Text]]&amp;"-"))-1)),""))</f>
        <v/>
      </c>
      <c r="DE8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3" s="43" t="str">
        <f aca="false">IF(Tasks[[#This Row],[_Pred3Text]]="","",TRIM(MID(SUBSTITUTE(SUBSTITUTE(SUBSTITUTE(UPPER(Tasks[[#This Row],[_Predecessors]]),";",",")," ",""),",",REPT(" ",99)),298,99)))</f>
        <v/>
      </c>
      <c r="DH83" s="43" t="str">
        <f aca="false">IF(Tasks[[#This Row],[_Pred4Text]]="","",IFERROR(VALUE(LEFT(Tasks[[#This Row],[_Pred4Text]],MIN(FIND("F",Tasks[[#This Row],[_Pred4Text]]&amp;"F"),FIND("S",Tasks[[#This Row],[_Pred4Text]]&amp;"S"),FIND("+",Tasks[[#This Row],[_Pred4Text]]&amp;"+"),FIND("-",Tasks[[#This Row],[_Pred4Text]]&amp;"-"))-1)),""))</f>
        <v/>
      </c>
      <c r="DI8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3" s="43" t="str">
        <f aca="false">IF(OR(Tasks[[#This Row],[Task Name]]="",Tasks[[#This Row],[_Resources]]=""),"",TRIM(MID(SUBSTITUTE(Tasks[[#This Row],[_Resources]],",",REPT(" ",99)),1,99)))</f>
        <v/>
      </c>
      <c r="DL83" s="43" t="str">
        <f aca="false">IF(Tasks[[#This Row],[_Res1Text]]="","",TRIM(MID(SUBSTITUTE(Tasks[[#This Row],[_Resources]],",",REPT(" ",99)),100,99)))</f>
        <v/>
      </c>
      <c r="DM83" s="43" t="str">
        <f aca="false">IF(Tasks[[#This Row],[_Res2Text]]="","",TRIM(MID(SUBSTITUTE(Tasks[[#This Row],[_Resources]],",",REPT(" ",99)),199,99)))</f>
        <v/>
      </c>
      <c r="DN83" s="43" t="str">
        <f aca="false">IF(Tasks[[#This Row],[_Res3Text]]="","",TRIM(MID(SUBSTITUTE(Tasks[[#This Row],[_Resources]],",",REPT(" ",99)),298,99)))</f>
        <v/>
      </c>
      <c r="DO83" s="43" t="n">
        <f aca="false">IF(Tasks[[#This Row],[_Res1Text]]="",0,IFERROR(MATCH(TRIM(LEFT(Tasks[[#This Row],[_Res1Text]],FIND("[",Tasks[[#This Row],[_Res1Text]]&amp;"[")-1)),res_Name,0),IFERROR(MATCH(TRIM(LEFT(Tasks[[#This Row],[_Res1Text]],FIND("[",Tasks[[#This Row],[_Res1Text]]&amp;"[")-1)),res_Initials,0),0)))</f>
        <v>0</v>
      </c>
      <c r="DP83" s="43" t="n">
        <f aca="false">IF(Tasks[[#This Row],[_Res2Text]]="",0,IFERROR(MATCH(TRIM(LEFT(Tasks[[#This Row],[_Res2Text]],FIND("[",Tasks[[#This Row],[_Res2Text]]&amp;"[")-1)),res_Name,0),IFERROR(MATCH(TRIM(LEFT(Tasks[[#This Row],[_Res2Text]],FIND("[",Tasks[[#This Row],[_Res2Text]]&amp;"[")-1)),res_Initials,0),0)))</f>
        <v>0</v>
      </c>
      <c r="DQ83" s="43" t="n">
        <f aca="false">IF(Tasks[[#This Row],[_Res3Text]]="",0,IFERROR(MATCH(TRIM(LEFT(Tasks[[#This Row],[_Res3Text]],FIND("[",Tasks[[#This Row],[_Res3Text]]&amp;"[")-1)),res_Name,0),IFERROR(MATCH(TRIM(LEFT(Tasks[[#This Row],[_Res3Text]],FIND("[",Tasks[[#This Row],[_Res3Text]]&amp;"[")-1)),res_Initials,0),0)))</f>
        <v>0</v>
      </c>
      <c r="DR83" s="43" t="n">
        <f aca="false">IF(Tasks[[#This Row],[_Res4Text]]="",0,IFERROR(MATCH(TRIM(LEFT(Tasks[[#This Row],[_Res4Text]],FIND("[",Tasks[[#This Row],[_Res4Text]]&amp;"[")-1)),res_Name,0),IFERROR(MATCH(TRIM(LEFT(Tasks[[#This Row],[_Res4Text]],FIND("[",Tasks[[#This Row],[_Res4Text]]&amp;"[")-1)),res_Initials,0),0)))</f>
        <v>0</v>
      </c>
      <c r="DS83" s="43" t="str">
        <f aca="false">IF(Tasks[[#This Row],[_Res1Text]]="","",IF(Tasks[[#This Row],[_Res1Row]]&gt;0,INDEX(res_Name,Tasks[[#This Row],[_Res1Row]]),TRIM(LEFT(Tasks[[#This Row],[_Res1Text]],FIND("[",Tasks[[#This Row],[_Res1Text]]&amp;"[")-1))))</f>
        <v/>
      </c>
      <c r="DT8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3" s="43" t="n">
        <f aca="false">IF(NOT(Tasks[[#This Row],[_IsLeaf]]=1),0,(Tasks[[#This Row],[_Resource1]]&lt;&gt;"")+(Tasks[[#This Row],[_Res2]]&lt;&gt;"")+(Tasks[[#This Row],[_Res3]]&lt;&gt;"")+(Tasks[[#This Row],[_Res4]]&lt;&gt;""))</f>
        <v>0</v>
      </c>
      <c r="DV83" s="43" t="str">
        <f aca="false">IF(Tasks[[#This Row],[_Res2Text]]="","",IF(Tasks[[#This Row],[_Res2Row]]&gt;0,INDEX(res_Name,Tasks[[#This Row],[_Res2Row]]),TRIM(LEFT(Tasks[[#This Row],[_Res2Text]],FIND("[",Tasks[[#This Row],[_Res2Text]]&amp;"[")-1))))</f>
        <v/>
      </c>
      <c r="DW8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3" s="43" t="n">
        <f aca="false">IF(OR(NOT(Tasks[[#This Row],[_IsLeaf]]=1),Tasks[[#This Row],[_Res2Row]]=0),0,N(Tasks[[#This Row],[_Days]])*HoursPerDay*IF(Tasks[[#This Row],[_Res2Units]]="",DefaultUnits,Tasks[[#This Row],[_Res2Units]]))</f>
        <v>0</v>
      </c>
      <c r="DY83" s="43" t="n">
        <f aca="false">IF(AND(AND(Tasks[[#This Row],[_IsLeaf]]=1,Tasks[[#This Row],[_LeafTotalWork]]&gt;0),Tasks[[#This Row],[_Res2Work]]&gt;0),Tasks[[#This Row],[_Res2Work]]/(Tasks[[#This Row],[_FinishWorkday]]-Tasks[[#This Row],[_StartWorkday]]+1),0)</f>
        <v>0</v>
      </c>
      <c r="DZ83" s="43" t="n">
        <f aca="false">Tasks[[#This Row],[_Res2WorkPerWD]]*MAX(0,Tasks[[#This Row],[_StartWorkday]]-1)</f>
        <v>0</v>
      </c>
      <c r="EA83" s="43" t="n">
        <f aca="false">Tasks[[#This Row],[_Res2Work]]*Tasks[[#This Row],[_LeafProgress]]</f>
        <v>0</v>
      </c>
      <c r="EB83" s="43" t="str">
        <f aca="false">IF(Tasks[[#This Row],[_Res3Text]]="","",IF(Tasks[[#This Row],[_Res3Row]]&gt;0,INDEX(res_Name,Tasks[[#This Row],[_Res3Row]]),TRIM(LEFT(Tasks[[#This Row],[_Res3Text]],FIND("[",Tasks[[#This Row],[_Res3Text]]&amp;"[")-1))))</f>
        <v/>
      </c>
      <c r="EC8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3" s="43" t="n">
        <f aca="false">IF(OR(NOT(Tasks[[#This Row],[_IsLeaf]]=1),Tasks[[#This Row],[_Res3Row]]=0),0,N(Tasks[[#This Row],[_Days]])*HoursPerDay*IF(Tasks[[#This Row],[_Res3Units]]="",DefaultUnits,Tasks[[#This Row],[_Res3Units]]))</f>
        <v>0</v>
      </c>
      <c r="EE83" s="43" t="n">
        <f aca="false">IF(AND(AND(Tasks[[#This Row],[_IsLeaf]]=1,Tasks[[#This Row],[_LeafTotalWork]]&gt;0),Tasks[[#This Row],[_Res3Work]]&gt;0),Tasks[[#This Row],[_Res3Work]]/(Tasks[[#This Row],[_FinishWorkday]]-Tasks[[#This Row],[_StartWorkday]]+1),0)</f>
        <v>0</v>
      </c>
      <c r="EF83" s="43" t="n">
        <f aca="false">Tasks[[#This Row],[_Res3WorkPerWD]]*MAX(0,Tasks[[#This Row],[_StartWorkday]]-1)</f>
        <v>0</v>
      </c>
      <c r="EG83" s="43" t="n">
        <f aca="false">Tasks[[#This Row],[_Res3Work]]*Tasks[[#This Row],[_LeafProgress]]</f>
        <v>0</v>
      </c>
      <c r="EH83" s="43" t="str">
        <f aca="false">IF(Tasks[[#This Row],[_Res4Text]]="","",IF(Tasks[[#This Row],[_Res4Row]]&gt;0,INDEX(res_Name,Tasks[[#This Row],[_Res4Row]]),TRIM(LEFT(Tasks[[#This Row],[_Res4Text]],FIND("[",Tasks[[#This Row],[_Res4Text]]&amp;"[")-1))))</f>
        <v/>
      </c>
      <c r="EI8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3" s="43" t="n">
        <f aca="false">IF(OR(NOT(Tasks[[#This Row],[_IsLeaf]]=1),Tasks[[#This Row],[_Res4Row]]=0),0,N(Tasks[[#This Row],[_Days]])*HoursPerDay*IF(Tasks[[#This Row],[_Res4Units]]="",DefaultUnits,Tasks[[#This Row],[_Res4Units]]))</f>
        <v>0</v>
      </c>
      <c r="EK83" s="43" t="n">
        <f aca="false">IF(AND(AND(Tasks[[#This Row],[_IsLeaf]]=1,Tasks[[#This Row],[_LeafTotalWork]]&gt;0),Tasks[[#This Row],[_Res4Work]]&gt;0),Tasks[[#This Row],[_Res4Work]]/(Tasks[[#This Row],[_FinishWorkday]]-Tasks[[#This Row],[_StartWorkday]]+1),0)</f>
        <v>0</v>
      </c>
      <c r="EL83" s="43" t="n">
        <f aca="false">Tasks[[#This Row],[_Res4WorkPerWD]]*MAX(0,Tasks[[#This Row],[_StartWorkday]]-1)</f>
        <v>0</v>
      </c>
      <c r="EM83" s="43" t="n">
        <f aca="false">Tasks[[#This Row],[_Res4Work]]*Tasks[[#This Row],[_LeafProgress]]</f>
        <v>0</v>
      </c>
      <c r="EN83" s="43" t="n">
        <f aca="false">IF(ISNUMBER(Tasks[[#This Row],[% Complete]]),Tasks[[#This Row],[% Complete]],IF(Tasks[[#This Row],[Stage]]="",0,IFERROR(INDEX(stg_Pct,MATCH(Tasks[[#This Row],[Stage]],stg_Name,0)),0)))</f>
        <v>0</v>
      </c>
      <c r="EO83" s="43" t="n">
        <f aca="false">IF(NOT(Tasks[[#This Row],[_IsLeaf]]=1),0,IF(N(Tasks[[#This Row],[Actual Finish]])&gt;0,1,MIN(1,Tasks[[#This Row],[_Pct]])))</f>
        <v>0</v>
      </c>
      <c r="EP83" s="43" t="n">
        <f aca="false">IF(OR(NOT(Tasks[[#This Row],[_IsLeaf]]=1),Tasks[[#This Row],[_Res1Row]]=0),0,N(Tasks[[#This Row],[_Days]])*HoursPerDay*IF(Tasks[[#This Row],[_Units1]]="",DefaultUnits,Tasks[[#This Row],[_Units1]]))</f>
        <v>0</v>
      </c>
      <c r="EQ83" s="43" t="n">
        <f aca="false">Tasks[[#This Row],[_LeafWork]]+Tasks[[#This Row],[_Res2Work]]+Tasks[[#This Row],[_Res3Work]]+Tasks[[#This Row],[_Res4Work]]</f>
        <v>0</v>
      </c>
      <c r="ER8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3" s="43" t="n">
        <f aca="false">IF(NOT(Tasks[[#This Row],[_IsLeaf]]=1),0,MAX(_xlfn.MAXIFS(Tasks[_Row],Tasks[_Pred1UID],Tasks[[#This Row],[UID]]),_xlfn.MAXIFS(Tasks[_Row],Tasks[_Pred2UID],Tasks[[#This Row],[UID]]),_xlfn.MAXIFS(Tasks[_Row],Tasks[_Pred3UID],Tasks[[#This Row],[UID]]),_xlfn.MAXIFS(Tasks[_Row],Tasks[_Pred4UID],Tasks[[#This Row],[UID]])))</f>
        <v>0</v>
      </c>
      <c r="FA8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3" s="91" t="str">
        <f aca="false">IF(NOT(Tasks[[#This Row],[_IsLeaf]]=1),"",IF(N(Tasks[[#This Row],[_Days]])&lt;=0,Tasks[[#This Row],[_LeafLateFinish]],WORKDAY.INTL(Tasks[[#This Row],[_LeafLateFinish]],-(Tasks[[#This Row],[_Days]]-1),WorkWeek,Holidays)))</f>
        <v/>
      </c>
      <c r="FD8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3" s="90" t="b">
        <f aca="false">AND(Tasks[[#This Row],[_IsLeaf]]=1,Tasks[[#This Row],[_LeafProgress]]&lt;1,N(Tasks[[#This Row],[_LeafTotalSlack]])&lt;=CriticalSlackDays)</f>
        <v>0</v>
      </c>
      <c r="FF83" s="43" t="n">
        <f aca="false">IF(AND(Tasks[[#This Row],[_IsLeaf]]=1,Tasks[[#This Row],[_ConstraintCode]]=1,Tasks[[#This Row],[Mode]]&lt;&gt;"Manual",N(Tasks[[#This Row],[Actual Start]])=0),MAX(0,N(Tasks[[#This Row],[Free Slack]])),0)</f>
        <v>0</v>
      </c>
      <c r="FG83" s="91" t="str">
        <f aca="false">IF(NOT(Tasks[[#This Row],[_IsLeaf]]=1),"",IF(Tasks[[#This Row],[_AlapShift]]=0,Tasks[[#This Row],[_LeafCalcStart]],WORKDAY.INTL(Tasks[[#This Row],[_LeafCalcStart]],Tasks[[#This Row],[_AlapShift]],WorkWeek,Holidays)))</f>
        <v/>
      </c>
      <c r="FH83" s="91" t="str">
        <f aca="false">IF(NOT(Tasks[[#This Row],[_IsLeaf]]=1),"",IF(Tasks[[#This Row],[_AlapShift]]=0,Tasks[[#This Row],[_LeafCalcFinish]],WORKDAY.INTL(Tasks[[#This Row],[_LeafCalcFinish]],Tasks[[#This Row],[_AlapShift]],WorkWeek,Holidays)))</f>
        <v/>
      </c>
      <c r="FI83" s="91" t="str">
        <f aca="false">IF(NOT(Tasks[[#This Row],[_IsLeaf]]=1),"",IF(Tasks[[#This Row],[_AlapShift]]=0,Tasks[[#This Row],[_LeafFcstStart]],WORKDAY.INTL(Tasks[[#This Row],[_LeafFcstStart]],Tasks[[#This Row],[_AlapShift]],WorkWeek,Holidays)))</f>
        <v/>
      </c>
      <c r="FJ83" s="91" t="str">
        <f aca="false">IF(NOT(Tasks[[#This Row],[_IsLeaf]]=1),"",IF(Tasks[[#This Row],[_AlapShift]]=0,Tasks[[#This Row],[_LeafFcstFinish]],WORKDAY.INTL(Tasks[[#This Row],[_LeafFcstFinish]],Tasks[[#This Row],[_AlapShift]],WorkWeek,Holidays)))</f>
        <v/>
      </c>
      <c r="FK83" s="91" t="str">
        <f aca="false">IF(Tasks[[#This Row],[Task Name]]="","",IF(Tasks[[#This Row],[_IsSummary]],MIN(INDEX(Tasks[_ShownCalcStart],Tasks[[#This Row],[_Row]]+1):INDEX(Tasks[_ShownCalcStart],Tasks[[#This Row],[_Row]]+Tasks[[#This Row],[_Descendants]])),Tasks[[#This Row],[_ShownCalcStart]]))</f>
        <v/>
      </c>
      <c r="FL83" s="91" t="str">
        <f aca="false">IF(Tasks[[#This Row],[Task Name]]="","",IF(Tasks[[#This Row],[_IsSummary]],MAX(INDEX(Tasks[_ShownCalcFinish],Tasks[[#This Row],[_Row]]+1):INDEX(Tasks[_ShownCalcFinish],Tasks[[#This Row],[_Row]]+Tasks[[#This Row],[_Descendants]])),Tasks[[#This Row],[_ShownCalcFinish]]))</f>
        <v/>
      </c>
      <c r="FM8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3" s="43" t="n">
        <f aca="false">IF(AND(Tasks[[#This Row],[_IsLeaf]]=1,Tasks[[#This Row],[_LeafTotalWork]]&gt;0),NETWORKDAYS.INTL(ProjectStart,Tasks[[#This Row],[_ShownFcstStart]],WorkWeek,Holidays),0)</f>
        <v>0</v>
      </c>
      <c r="FZ83" s="43" t="n">
        <f aca="false">IF(AND(Tasks[[#This Row],[_IsLeaf]]=1,Tasks[[#This Row],[_LeafTotalWork]]&gt;0),MAX(Tasks[[#This Row],[_StartWorkday]],NETWORKDAYS.INTL(ProjectStart,Tasks[[#This Row],[_ShownFcstFinish]],WorkWeek,Holidays)),0)</f>
        <v>0</v>
      </c>
      <c r="GA83" s="43" t="n">
        <f aca="false">IF(AND(Tasks[[#This Row],[_IsLeaf]]=1,Tasks[[#This Row],[_LeafTotalWork]]&gt;0),Tasks[[#This Row],[_LeafWork]]/(Tasks[[#This Row],[_FinishWorkday]]-Tasks[[#This Row],[_StartWorkday]]+1),0)</f>
        <v>0</v>
      </c>
      <c r="GB83" s="43" t="n">
        <f aca="false">Tasks[[#This Row],[_WorkPerWorkday]]*(Tasks[[#This Row],[_StartWorkday]]-1)</f>
        <v>-0</v>
      </c>
      <c r="GC83" s="43" t="n">
        <f aca="false">IF(Tasks[[#This Row],[_IsLeaf]]=1,MAX(N(Tasks[[#This Row],[_Days]]),0.1),0)</f>
        <v>0</v>
      </c>
      <c r="GD83" s="43" t="n">
        <f aca="false">Tasks[[#This Row],[_WeightDur]]*Tasks[[#This Row],[_LeafProgress]]</f>
        <v>0</v>
      </c>
      <c r="GE83" s="43" t="n">
        <f aca="false">Tasks[[#This Row],[_WeightDur]]*Tasks[[#This Row],[_PlannedPct]]</f>
        <v>0</v>
      </c>
      <c r="GF8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3" s="43" t="str">
        <f aca="false">IF(AND(Tasks[[#This Row],[_IsLeaf]]=1,N(Tasks[[#This Row],[_Days]])=0,Tasks[[#This Row],[_LeafProgress]]&lt;1),Tasks[[#This Row],[_ShownFcstFinish]]+Tasks[[#This Row],[_Row]]/100000,"")</f>
        <v/>
      </c>
      <c r="GH8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3" s="43" t="str">
        <f aca="false">IF(Tasks[[#This Row],[Task Name]]="","",LEFT(Tasks[[#This Row],[WBS]],FIND(".",Tasks[[#This Row],[WBS]]&amp;".")-1))</f>
        <v/>
      </c>
      <c r="GJ83" s="43" t="str">
        <f aca="false">IF(AND(Tasks[[#This Row],[Task Name]]&lt;&gt;"",Tasks[[#This Row],[_Level]]=1),Tasks[[#This Row],[_Row]],"")</f>
        <v/>
      </c>
      <c r="GK83" s="43" t="str">
        <f aca="false">IF(AND(Tasks[[#This Row],[_IsLeaf]]=1,N(Tasks[[#This Row],[_Days]])=0),Tasks[[#This Row],[Planned Finish]]+Tasks[[#This Row],[_Row]]/100000,"")</f>
        <v/>
      </c>
      <c r="GL83" s="43" t="str">
        <f aca="false">IF(AND(Tasks[[#This Row],[_IsLeaf]]=1,Tasks[[#This Row],[_LeafProgress]]&lt;1,OR(N(Tasks[[#This Row],[Finish Var]])&gt;0,Tasks[[#This Row],[Status]]="Late Start")),MAX(0,Tasks[[#This Row],[Finish Var]])+1-Tasks[[#This Row],[_Row]]/1000000,"")</f>
        <v/>
      </c>
      <c r="GM83" s="43" t="str">
        <f aca="false">IF(AND(Tasks[[#This Row],[_IsLeaf]]=1,N(Tasks[[#This Row],[Actual Start]])=0,Tasks[[#This Row],[_ShownFcstStart]]&gt;=StatusDate,Tasks[[#This Row],[_ShownFcstStart]]&lt;=LookaheadEnd),Tasks[[#This Row],[_ShownFcstStart]]+Tasks[[#This Row],[_Row]]/100000,"")</f>
        <v/>
      </c>
      <c r="GN83" s="43" t="str">
        <f aca="false">IF(AND(Tasks[[#This Row],[_IsLeaf]]=1,Tasks[[#This Row],[_LeafProgress]]&lt;1,Tasks[[#This Row],[_ShownFcstFinish]]&gt;=StatusDate,Tasks[[#This Row],[_ShownFcstFinish]]&lt;=LookaheadEnd),Tasks[[#This Row],[_ShownFcstFinish]]+Tasks[[#This Row],[_Row]]/100000,"")</f>
        <v/>
      </c>
      <c r="GO83" s="43" t="str">
        <f aca="false">IF(Tasks[[#This Row],[_LeafCritical]],Tasks[[#This Row],[_ShownFcstStart]]+Tasks[[#This Row],[_Row]]/100000,"")</f>
        <v/>
      </c>
      <c r="GP83" s="43" t="n">
        <f aca="false">Tasks[[#This Row],[_LeafWork]]*Tasks[[#This Row],[_LeafProgress]]</f>
        <v>0</v>
      </c>
      <c r="GQ83" s="91" t="str">
        <f aca="false">IF(AND(Tasks[[#This Row],[_IsLeaf]]=1,Tasks[[#This Row],[_LeafProgress]]&gt;=1),IF(N(Tasks[[#This Row],[Actual Finish]])&gt;0,Tasks[[#This Row],[Actual Finish]],Tasks[[#This Row],[_ShownFcstFinish]]),"")</f>
        <v/>
      </c>
      <c r="GR83" s="43" t="n">
        <f aca="false">IF(Tasks[[#This Row],[_IsLeaf]]=1,N(Tasks[[#This Row],[Story Points]]),0)</f>
        <v>0</v>
      </c>
      <c r="GS83" s="43" t="str">
        <f aca="false">""</f>
        <v/>
      </c>
      <c r="GT83" s="90" t="b">
        <f aca="false">IF(Tasks[[#This Row],[Task Name]]="",FALSE(),AND(Tasks[[#This Row],[_IsLeaf]]=1,N(Tasks[[#This Row],[_Days]])=0))</f>
        <v>0</v>
      </c>
      <c r="GU83" s="91" t="n">
        <f aca="false">IF(Tasks[[#This Row],[Task Name]]="",0,IF(AND(Tasks[[#This Row],[_IsLeaf]]=1,NOT(Tasks[[#This Row],[_IsMilestone]]),N(Tasks[[#This Row],[Progress]])&gt;0),Tasks[[#This Row],[Start]],0))</f>
        <v>0</v>
      </c>
      <c r="GV83" s="91" t="n">
        <f aca="false">IF(Tasks[[#This Row],[_DoneFrom]]=0,0,IF(Tasks[[#This Row],[Progress]]&gt;=1,Tasks[[#This Row],[Finish]],MAX(Tasks[[#This Row],[_DoneFrom]],Tasks[[#This Row],[Start]]+ROUND((Tasks[[#This Row],[Finish]]-Tasks[[#This Row],[Start]]+1)*Tasks[[#This Row],[Progress]],0)-1)))</f>
        <v>0</v>
      </c>
      <c r="GW83" s="91" t="n">
        <f aca="false">IF(Tasks[[#This Row],[Task Name]]="",0,IF(OR(NOT(Tasks[[#This Row],[_IsLeaf]]=1),Tasks[[#This Row],[_IsMilestone]],N(Tasks[[#This Row],[Progress]])&gt;=1),0,IF(Tasks[[#This Row],[_DoneTo]]&gt;0,Tasks[[#This Row],[_DoneTo]]+1,Tasks[[#This Row],[Start]])))</f>
        <v>0</v>
      </c>
      <c r="GX83" s="91" t="n">
        <f aca="false">IF(Tasks[[#This Row],[_RemFrom]]=0,0,Tasks[[#This Row],[Finish]])</f>
        <v>0</v>
      </c>
      <c r="GY83" s="90" t="b">
        <f aca="false">IF(Tasks[[#This Row],[Task Name]]="",FALSE(),OR(NOT(BaselineSet),N(Tasks[[#This Row],[Baseline Start]])&gt;0))</f>
        <v>0</v>
      </c>
      <c r="GZ8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3" s="92" t="str">
        <f aca="false">IF(Tasks[[#This Row],[_IsLeaf]]=1,Tasks[[#This Row],[_Row]],"")</f>
        <v/>
      </c>
      <c r="HD83" s="92" t="str">
        <f aca="false">IFERROR(INDEX(Tasks[UID],SMALL(Tasks[_PickKey],Tasks[[#This Row],[_Row]]))&amp;" "&amp;INDEX(Tasks[Task Name],SMALL(Tasks[_PickKey],Tasks[[#This Row],[_Row]])),"")</f>
        <v/>
      </c>
      <c r="HE83" s="43" t="str">
        <f aca="false">IF(Tasks[[#This Row],[Task Name]]="","",IF(Tasks[[#This Row],[_IsSummary]],NETWORKDAYS.INTL(Tasks[[#This Row],[Start]],Tasks[[#This Row],[Finish]],WorkWeek,Holidays),N(Tasks[[#This Row],[_Days]])))</f>
        <v/>
      </c>
      <c r="HF83" s="43" t="n">
        <f aca="false">IF(Tasks[[#This Row],[Expected]]="",0,((Tasks[[#This Row],[Pessimistic]]-Tasks[[#This Row],[Optimistic]])/6)^2)</f>
        <v>0</v>
      </c>
      <c r="HG83" s="43" t="n">
        <f aca="false">IF(Tasks[[#This Row],[Expected]]="",0,Tasks[[#This Row],[Expected]]-N(Tasks[[#This Row],[_Days]]))</f>
        <v>0</v>
      </c>
    </row>
    <row r="84" customFormat="false" ht="15" hidden="false" customHeight="false" outlineLevel="0" collapsed="false">
      <c r="A84" s="21" t="str">
        <f aca="false">IF(Tasks[[#This Row],[Task Name]]="","",COUNTA(Tasks[[#Headers],[Task Name]]:Tasks[[#This Row],[Task Name]])-1)</f>
        <v/>
      </c>
      <c r="B84" s="22" t="n">
        <v>92</v>
      </c>
      <c r="C84" s="22"/>
      <c r="D84" s="23"/>
      <c r="E84" s="22"/>
      <c r="F84" s="23"/>
      <c r="G84" s="22"/>
      <c r="H84" s="22"/>
      <c r="I84" s="23"/>
      <c r="J84" s="22"/>
      <c r="K84" s="22"/>
      <c r="L84" s="23"/>
      <c r="M84" s="22"/>
      <c r="N84" s="22"/>
      <c r="O84" s="23"/>
      <c r="P84" s="22"/>
      <c r="Q84" s="22"/>
      <c r="R84" s="23"/>
      <c r="S84" s="23"/>
      <c r="T84" s="84"/>
      <c r="U84" s="23"/>
      <c r="V84" s="84"/>
      <c r="W84" s="23"/>
      <c r="X84" s="84"/>
      <c r="Y84" s="23"/>
      <c r="Z84" s="84"/>
      <c r="AA84" s="23"/>
      <c r="AB84" s="23"/>
      <c r="AC84" s="7"/>
      <c r="AD84" s="7"/>
      <c r="AE84" s="63" t="str">
        <f aca="false">IF(Tasks[[#This Row],[Task Name]]="","",IF(Tasks[[#This Row],[_IsSummary]],MIN(INDEX(Tasks[_ShownFcstStart],Tasks[[#This Row],[_Row]]+1):INDEX(Tasks[_ShownFcstStart],Tasks[[#This Row],[_Row]]+Tasks[[#This Row],[_Descendants]])),Tasks[[#This Row],[_ShownFcstStart]]))</f>
        <v/>
      </c>
      <c r="AF84" s="63" t="str">
        <f aca="false">IF(Tasks[[#This Row],[Task Name]]="","",IF(Tasks[[#This Row],[_IsSummary]],MAX(INDEX(Tasks[_ShownFcstFinish],Tasks[[#This Row],[_Row]]+1):INDEX(Tasks[_ShownFcstFinish],Tasks[[#This Row],[_Row]]+Tasks[[#This Row],[_Descendants]])),Tasks[[#This Row],[_ShownFcstFinish]]))</f>
        <v/>
      </c>
      <c r="AG84" s="21" t="str">
        <f aca="false">""</f>
        <v/>
      </c>
      <c r="AH84" s="23"/>
      <c r="AI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4" s="7"/>
      <c r="AK84" s="22"/>
      <c r="AL84" s="23"/>
      <c r="AM84" s="7"/>
      <c r="AN84" s="47" t="str">
        <f aca="false">IF(Tasks[[#This Row],[Task Name]]="","",IF(Tasks[[#This Row],[Finish]]&gt;=Tasks[[#This Row],[Planned Finish]],NETWORKDAYS.INTL(Tasks[[#This Row],[Planned Finish]],Tasks[[#This Row],[Finish]],WorkWeek,Holidays)-1,1-NETWORKDAYS.INTL(Tasks[[#This Row],[Finish]],Tasks[[#This Row],[Planned Finish]],WorkWeek,Holidays)))</f>
        <v/>
      </c>
      <c r="AO84" s="21" t="str">
        <f aca="false">IF(Tasks[[#This Row],[Task Name]]="","",IF(Tasks[[#This Row],[Progress]]&gt;=1,"Complete",IF(OR(N(Tasks[[#This Row],[Actual Start]])&gt;0,Tasks[[#This Row],[Progress]]&gt;0),IF(Tasks[[#This Row],[Finish Var]]&gt;0,"Behind","In Progress"),IF(Tasks[[#This Row],[Planned Start]]&lt;StatusDate,"Late Start","Not Started"))))</f>
        <v/>
      </c>
      <c r="AP84" s="21" t="str">
        <f aca="false">IF(Tasks[[#This Row],[Task Name]]="","",IF(IF(Tasks[[#This Row],[_IsSummary]],COUNTIF(INDEX(Tasks[_LeafCritical],Tasks[[#This Row],[_Row]]+1):INDEX(Tasks[_LeafCritical],Tasks[[#This Row],[_Row]]+Tasks[[#This Row],[_Descendants]]),TRUE())&gt;0,Tasks[[#This Row],[_LeafCritical]]),"Yes",""))</f>
        <v/>
      </c>
      <c r="AQ84" s="63" t="str">
        <f aca="false">IF(Tasks[[#This Row],[Task Name]]="","",IF(N(Tasks[[#This Row],[Baseline Start]])&gt;0,Tasks[[#This Row],[Baseline Start]],Tasks[[#This Row],[_CalcStart]]))</f>
        <v/>
      </c>
      <c r="AR84" s="63" t="str">
        <f aca="false">IF(Tasks[[#This Row],[Task Name]]="","",IF(N(Tasks[[#This Row],[Baseline Finish]])&gt;0,Tasks[[#This Row],[Baseline Finish]],Tasks[[#This Row],[_CalcFinish]]))</f>
        <v/>
      </c>
      <c r="AS84" s="47" t="str">
        <f aca="false">IF(Tasks[[#This Row],[Task Name]]="","",IF(Tasks[[#This Row],[Start]]&gt;=Tasks[[#This Row],[Planned Start]],NETWORKDAYS.INTL(Tasks[[#This Row],[Planned Start]],Tasks[[#This Row],[Start]],WorkWeek,Holidays)-1,1-NETWORKDAYS.INTL(Tasks[[#This Row],[Start]],Tasks[[#This Row],[Planned Start]],WorkWeek,Holidays)))</f>
        <v/>
      </c>
      <c r="AT84" s="63" t="str">
        <f aca="false">IF(Tasks[[#This Row],[Task Name]]="","",IF(Tasks[[#This Row],[_IsSummary]],MIN(INDEX(Tasks[_LeafLateStart],Tasks[[#This Row],[_Row]]+1):INDEX(Tasks[_LeafLateStart],Tasks[[#This Row],[_Row]]+Tasks[[#This Row],[_Descendants]])),Tasks[[#This Row],[_LeafLateStart]]))</f>
        <v/>
      </c>
      <c r="AU84" s="63" t="str">
        <f aca="false">IF(Tasks[[#This Row],[Task Name]]="","",IF(Tasks[[#This Row],[_IsSummary]],MAX(INDEX(Tasks[_LeafLateFinish],Tasks[[#This Row],[_Row]]+1):INDEX(Tasks[_LeafLateFinish],Tasks[[#This Row],[_Row]]+Tasks[[#This Row],[_Descendants]])),Tasks[[#This Row],[_LeafLateFinish]]))</f>
        <v/>
      </c>
      <c r="AV84" s="47" t="str">
        <f aca="false">IF(Tasks[[#This Row],[Task Name]]="","",IF(Tasks[[#This Row],[_IsSummary]],MIN(INDEX(Tasks[_LeafTotalSlack],Tasks[[#This Row],[_Row]]+1):INDEX(Tasks[_LeafTotalSlack],Tasks[[#This Row],[_Row]]+Tasks[[#This Row],[_Descendants]])),Tasks[[#This Row],[_LeafTotalSlack]]))</f>
        <v/>
      </c>
      <c r="AW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5"/>
      <c r="BA8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1" t="str">
        <f aca="false">IF(Tasks[[#This Row],[Task Name]]="","",IF(Tasks[[#This Row],[_Level]]&lt;=OutlineShowLevel,"Yes","No"))</f>
        <v/>
      </c>
      <c r="BE84" s="86" t="str">
        <f aca="false">IF(Tasks[[#This Row],[Task Name]]="","",IF(Tasks[[#This Row],[_IsSummary]],SUM(INDEX(Tasks[_LeafTotalWork],Tasks[[#This Row],[_Row]]+1):INDEX(Tasks[_LeafTotalWork],Tasks[[#This Row],[_Row]]+Tasks[[#This Row],[_Descendants]])),Tasks[[#This Row],[_LeafTotalWork]]))</f>
        <v/>
      </c>
      <c r="BF84" s="23"/>
      <c r="BG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4" s="21" t="str">
        <f aca="false">""</f>
        <v/>
      </c>
      <c r="BI84" s="87"/>
      <c r="BJ84" s="22"/>
      <c r="BK84" s="47" t="str">
        <f aca="false">IF(OR(Tasks[[#This Row],[Task Name]]="",Tasks[[#This Row],[Baseline Duration]]=""),"",Tasks[[#This Row],[_SpanDays]]-N(Tasks[[#This Row],[Baseline Duration]]))</f>
        <v/>
      </c>
      <c r="BL84" s="86" t="str">
        <f aca="false">IF(OR(Tasks[[#This Row],[Task Name]]="",Tasks[[#This Row],[Baseline Work]]=""),"",Tasks[[#This Row],[Work]]-N(Tasks[[#This Row],[Baseline Work]]))</f>
        <v/>
      </c>
      <c r="BM84" s="63" t="str">
        <f aca="false">IF(Tasks[[#This Row],[Task Name]]="","",IF(OR(TakeBaseline="Yes",N(Tasks[[#This Row],[Baseline Start]])=0),Tasks[[#This Row],[Start]],Tasks[[#This Row],[Baseline Start]]))</f>
        <v/>
      </c>
      <c r="BN84" s="63" t="str">
        <f aca="false">IF(Tasks[[#This Row],[Task Name]]="","",IF(OR(TakeBaseline="Yes",N(Tasks[[#This Row],[Baseline Finish]])=0),Tasks[[#This Row],[Finish]],Tasks[[#This Row],[Baseline Finish]]))</f>
        <v/>
      </c>
      <c r="BO84" s="21" t="str">
        <f aca="false">IF(Tasks[[#This Row],[Task Name]]="","",IF(OR(TakeBaseline="Yes",N(Tasks[[#This Row],[Baseline Duration]])=0),Tasks[[#This Row],[_SpanDays]],Tasks[[#This Row],[Baseline Duration]]))</f>
        <v/>
      </c>
      <c r="BP84" s="86" t="str">
        <f aca="false">IF(Tasks[[#This Row],[Task Name]]="","",IF(OR(TakeBaseline="Yes",N(Tasks[[#This Row],[Baseline Work]])=0),Tasks[[#This Row],[Work]],Tasks[[#This Row],[Baseline Work]]))</f>
        <v/>
      </c>
      <c r="BQ84" s="7"/>
      <c r="BR84" s="7"/>
      <c r="BS84" s="22"/>
      <c r="BT84" s="88"/>
      <c r="BU84" s="23"/>
      <c r="BV84" s="23"/>
      <c r="BW84" s="23"/>
      <c r="BX84" s="89" t="str">
        <f aca="false">IF(AND(Tasks[[#This Row],[_IsLeaf]]=1,ISNUMBER(Tasks[[#This Row],[Optimistic]]),ISNUMBER(Tasks[[#This Row],[Pessimistic]])),ROUND((Tasks[[#This Row],[Optimistic]]+4*N(Tasks[[#This Row],[_Days]])+Tasks[[#This Row],[Pessimistic]])/6,1),"")</f>
        <v/>
      </c>
      <c r="BY84" s="87"/>
      <c r="BZ84" s="87"/>
      <c r="CA84" s="22"/>
      <c r="CB84" s="43" t="str">
        <f aca="false">IF(Tasks[[#This Row],[Task Name]]="","",MAX(1,N(Tasks[[#This Row],[Level]])))</f>
        <v/>
      </c>
      <c r="CC84" s="43" t="n">
        <f aca="false">ROW()-ROW(Tasks[[#Headers],[ID]])</f>
        <v>79</v>
      </c>
      <c r="CD84" s="43" t="n">
        <f aca="false">IF(OR(Tasks[[#This Row],[Task Name]]="",Tasks[[#This Row],[_Level]]&lt;=1),0,IFERROR(LOOKUP(2,1/(Tasks[[#Headers],[_Level]]:Tasks[[#This Row],[_Level]]=Tasks[[#This Row],[_Level]]-1),ROW(Tasks[[#Headers],[_Level]]:Tasks[[#This Row],[_Level]])),0))</f>
        <v>0</v>
      </c>
      <c r="CE84" s="43" t="n">
        <f aca="false">IFERROR(N(INDEX(Tasks[_Level],Tasks[[#This Row],[_Row]]+1)),0)</f>
        <v>0</v>
      </c>
      <c r="CF84" s="90" t="b">
        <f aca="false">AND(Tasks[[#This Row],[Task Name]]&lt;&gt;"",Tasks[[#This Row],[_NextLevel]]&gt;Tasks[[#This Row],[_Level]])</f>
        <v>0</v>
      </c>
      <c r="CG84" s="43" t="n">
        <f aca="false">IF(Tasks[[#This Row],[_IsSummary]],COUNTIF(Tasks[WBS],Tasks[[#This Row],[WBS]]&amp;".*"),0)</f>
        <v>0</v>
      </c>
      <c r="CH84" s="43" t="n">
        <f aca="false">IF(AND(Tasks[[#This Row],[Task Name]]&lt;&gt;"",NOT(Tasks[[#This Row],[_IsSummary]])),1,0)</f>
        <v>0</v>
      </c>
      <c r="CI84" s="43" t="n">
        <f aca="false">IF(N(Tasks[[#This Row],[_Pred1UID]])=0,0,IFERROR(MATCH(Tasks[[#This Row],[_Pred1UID]],Tasks[UID],0),-1))</f>
        <v>0</v>
      </c>
      <c r="CJ84" s="43" t="n">
        <f aca="false">IF(N(Tasks[[#This Row],[_Pred2UID]])=0,0,IFERROR(MATCH(Tasks[[#This Row],[_Pred2UID]],Tasks[UID],0),-1))</f>
        <v>0</v>
      </c>
      <c r="CK84" s="43" t="n">
        <f aca="false">IF(N(Tasks[[#This Row],[_Pred3UID]])=0,0,IFERROR(MATCH(Tasks[[#This Row],[_Pred3UID]],Tasks[UID],0),-1))</f>
        <v>0</v>
      </c>
      <c r="CL84" s="43" t="n">
        <f aca="false">IF(N(Tasks[[#This Row],[_Pred4UID]])=0,0,IFERROR(MATCH(Tasks[[#This Row],[_Pred4UID]],Tasks[UID],0),-1))</f>
        <v>0</v>
      </c>
      <c r="CM8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4" s="91" t="n">
        <f aca="false">IF(OR(Tasks[[#This Row],[_ConstraintCode]]=2,Tasks[[#This Row],[_ConstraintCode]]=3,Tasks[[#This Row],[_ConstraintCode]]=4,Tasks[[#This Row],[_ConstraintCode]]=6),Tasks[[#This Row],[_ConstraintStart]],0)</f>
        <v>0</v>
      </c>
      <c r="CP84" s="91" t="n">
        <f aca="false">IF(OR(Tasks[[#This Row],[_ConstraintCode]]=2,Tasks[[#This Row],[_ConstraintCode]]=3,Tasks[[#This Row],[_ConstraintCode]]=5,Tasks[[#This Row],[_ConstraintCode]]=7),Tasks[[#This Row],[_ConstraintStart]],2958465)</f>
        <v>2958465</v>
      </c>
      <c r="CQ8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4" s="91" t="str">
        <f aca="false">IF(NOT(Tasks[[#This Row],[_IsLeaf]]=1),"",IF(N(Tasks[[#This Row],[_Days]])&lt;=0,Tasks[[#This Row],[_LeafCalcStart]],WORKDAY.INTL(Tasks[[#This Row],[_LeafCalcStart]],Tasks[[#This Row],[_Days]]-1,WorkWeek,Holidays)))</f>
        <v/>
      </c>
      <c r="CS8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4" s="43" t="str">
        <f aca="false">IF(Tasks[[#This Row],[_Predecessors]]="","",TRIM(MID(SUBSTITUTE(SUBSTITUTE(SUBSTITUTE(UPPER(Tasks[[#This Row],[_Predecessors]]),";",",")," ",""),",",REPT(" ",99)),1,99)))</f>
        <v/>
      </c>
      <c r="CV84" s="43" t="str">
        <f aca="false">IF(Tasks[[#This Row],[_Pred1Text]]="","",IFERROR(VALUE(LEFT(Tasks[[#This Row],[_Pred1Text]],MIN(FIND("F",Tasks[[#This Row],[_Pred1Text]]&amp;"F"),FIND("S",Tasks[[#This Row],[_Pred1Text]]&amp;"S"),FIND("+",Tasks[[#This Row],[_Pred1Text]]&amp;"+"),FIND("-",Tasks[[#This Row],[_Pred1Text]]&amp;"-"))-1)),""))</f>
        <v/>
      </c>
      <c r="CW8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4" s="43" t="str">
        <f aca="false">IF(Tasks[[#This Row],[_Pred1Text]]="","",TRIM(MID(SUBSTITUTE(SUBSTITUTE(SUBSTITUTE(UPPER(Tasks[[#This Row],[_Predecessors]]),";",",")," ",""),",",REPT(" ",99)),100,99)))</f>
        <v/>
      </c>
      <c r="CZ84" s="43" t="str">
        <f aca="false">IF(Tasks[[#This Row],[_Pred2Text]]="","",IFERROR(VALUE(LEFT(Tasks[[#This Row],[_Pred2Text]],MIN(FIND("F",Tasks[[#This Row],[_Pred2Text]]&amp;"F"),FIND("S",Tasks[[#This Row],[_Pred2Text]]&amp;"S"),FIND("+",Tasks[[#This Row],[_Pred2Text]]&amp;"+"),FIND("-",Tasks[[#This Row],[_Pred2Text]]&amp;"-"))-1)),""))</f>
        <v/>
      </c>
      <c r="DA8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4" s="43" t="str">
        <f aca="false">IF(Tasks[[#This Row],[_Pred2Text]]="","",TRIM(MID(SUBSTITUTE(SUBSTITUTE(SUBSTITUTE(UPPER(Tasks[[#This Row],[_Predecessors]]),";",",")," ",""),",",REPT(" ",99)),199,99)))</f>
        <v/>
      </c>
      <c r="DD84" s="43" t="str">
        <f aca="false">IF(Tasks[[#This Row],[_Pred3Text]]="","",IFERROR(VALUE(LEFT(Tasks[[#This Row],[_Pred3Text]],MIN(FIND("F",Tasks[[#This Row],[_Pred3Text]]&amp;"F"),FIND("S",Tasks[[#This Row],[_Pred3Text]]&amp;"S"),FIND("+",Tasks[[#This Row],[_Pred3Text]]&amp;"+"),FIND("-",Tasks[[#This Row],[_Pred3Text]]&amp;"-"))-1)),""))</f>
        <v/>
      </c>
      <c r="DE8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4" s="43" t="str">
        <f aca="false">IF(Tasks[[#This Row],[_Pred3Text]]="","",TRIM(MID(SUBSTITUTE(SUBSTITUTE(SUBSTITUTE(UPPER(Tasks[[#This Row],[_Predecessors]]),";",",")," ",""),",",REPT(" ",99)),298,99)))</f>
        <v/>
      </c>
      <c r="DH84" s="43" t="str">
        <f aca="false">IF(Tasks[[#This Row],[_Pred4Text]]="","",IFERROR(VALUE(LEFT(Tasks[[#This Row],[_Pred4Text]],MIN(FIND("F",Tasks[[#This Row],[_Pred4Text]]&amp;"F"),FIND("S",Tasks[[#This Row],[_Pred4Text]]&amp;"S"),FIND("+",Tasks[[#This Row],[_Pred4Text]]&amp;"+"),FIND("-",Tasks[[#This Row],[_Pred4Text]]&amp;"-"))-1)),""))</f>
        <v/>
      </c>
      <c r="DI8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4" s="43" t="str">
        <f aca="false">IF(OR(Tasks[[#This Row],[Task Name]]="",Tasks[[#This Row],[_Resources]]=""),"",TRIM(MID(SUBSTITUTE(Tasks[[#This Row],[_Resources]],",",REPT(" ",99)),1,99)))</f>
        <v/>
      </c>
      <c r="DL84" s="43" t="str">
        <f aca="false">IF(Tasks[[#This Row],[_Res1Text]]="","",TRIM(MID(SUBSTITUTE(Tasks[[#This Row],[_Resources]],",",REPT(" ",99)),100,99)))</f>
        <v/>
      </c>
      <c r="DM84" s="43" t="str">
        <f aca="false">IF(Tasks[[#This Row],[_Res2Text]]="","",TRIM(MID(SUBSTITUTE(Tasks[[#This Row],[_Resources]],",",REPT(" ",99)),199,99)))</f>
        <v/>
      </c>
      <c r="DN84" s="43" t="str">
        <f aca="false">IF(Tasks[[#This Row],[_Res3Text]]="","",TRIM(MID(SUBSTITUTE(Tasks[[#This Row],[_Resources]],",",REPT(" ",99)),298,99)))</f>
        <v/>
      </c>
      <c r="DO84" s="43" t="n">
        <f aca="false">IF(Tasks[[#This Row],[_Res1Text]]="",0,IFERROR(MATCH(TRIM(LEFT(Tasks[[#This Row],[_Res1Text]],FIND("[",Tasks[[#This Row],[_Res1Text]]&amp;"[")-1)),res_Name,0),IFERROR(MATCH(TRIM(LEFT(Tasks[[#This Row],[_Res1Text]],FIND("[",Tasks[[#This Row],[_Res1Text]]&amp;"[")-1)),res_Initials,0),0)))</f>
        <v>0</v>
      </c>
      <c r="DP84" s="43" t="n">
        <f aca="false">IF(Tasks[[#This Row],[_Res2Text]]="",0,IFERROR(MATCH(TRIM(LEFT(Tasks[[#This Row],[_Res2Text]],FIND("[",Tasks[[#This Row],[_Res2Text]]&amp;"[")-1)),res_Name,0),IFERROR(MATCH(TRIM(LEFT(Tasks[[#This Row],[_Res2Text]],FIND("[",Tasks[[#This Row],[_Res2Text]]&amp;"[")-1)),res_Initials,0),0)))</f>
        <v>0</v>
      </c>
      <c r="DQ84" s="43" t="n">
        <f aca="false">IF(Tasks[[#This Row],[_Res3Text]]="",0,IFERROR(MATCH(TRIM(LEFT(Tasks[[#This Row],[_Res3Text]],FIND("[",Tasks[[#This Row],[_Res3Text]]&amp;"[")-1)),res_Name,0),IFERROR(MATCH(TRIM(LEFT(Tasks[[#This Row],[_Res3Text]],FIND("[",Tasks[[#This Row],[_Res3Text]]&amp;"[")-1)),res_Initials,0),0)))</f>
        <v>0</v>
      </c>
      <c r="DR84" s="43" t="n">
        <f aca="false">IF(Tasks[[#This Row],[_Res4Text]]="",0,IFERROR(MATCH(TRIM(LEFT(Tasks[[#This Row],[_Res4Text]],FIND("[",Tasks[[#This Row],[_Res4Text]]&amp;"[")-1)),res_Name,0),IFERROR(MATCH(TRIM(LEFT(Tasks[[#This Row],[_Res4Text]],FIND("[",Tasks[[#This Row],[_Res4Text]]&amp;"[")-1)),res_Initials,0),0)))</f>
        <v>0</v>
      </c>
      <c r="DS84" s="43" t="str">
        <f aca="false">IF(Tasks[[#This Row],[_Res1Text]]="","",IF(Tasks[[#This Row],[_Res1Row]]&gt;0,INDEX(res_Name,Tasks[[#This Row],[_Res1Row]]),TRIM(LEFT(Tasks[[#This Row],[_Res1Text]],FIND("[",Tasks[[#This Row],[_Res1Text]]&amp;"[")-1))))</f>
        <v/>
      </c>
      <c r="DT8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4" s="43" t="n">
        <f aca="false">IF(NOT(Tasks[[#This Row],[_IsLeaf]]=1),0,(Tasks[[#This Row],[_Resource1]]&lt;&gt;"")+(Tasks[[#This Row],[_Res2]]&lt;&gt;"")+(Tasks[[#This Row],[_Res3]]&lt;&gt;"")+(Tasks[[#This Row],[_Res4]]&lt;&gt;""))</f>
        <v>0</v>
      </c>
      <c r="DV84" s="43" t="str">
        <f aca="false">IF(Tasks[[#This Row],[_Res2Text]]="","",IF(Tasks[[#This Row],[_Res2Row]]&gt;0,INDEX(res_Name,Tasks[[#This Row],[_Res2Row]]),TRIM(LEFT(Tasks[[#This Row],[_Res2Text]],FIND("[",Tasks[[#This Row],[_Res2Text]]&amp;"[")-1))))</f>
        <v/>
      </c>
      <c r="DW8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4" s="43" t="n">
        <f aca="false">IF(OR(NOT(Tasks[[#This Row],[_IsLeaf]]=1),Tasks[[#This Row],[_Res2Row]]=0),0,N(Tasks[[#This Row],[_Days]])*HoursPerDay*IF(Tasks[[#This Row],[_Res2Units]]="",DefaultUnits,Tasks[[#This Row],[_Res2Units]]))</f>
        <v>0</v>
      </c>
      <c r="DY84" s="43" t="n">
        <f aca="false">IF(AND(AND(Tasks[[#This Row],[_IsLeaf]]=1,Tasks[[#This Row],[_LeafTotalWork]]&gt;0),Tasks[[#This Row],[_Res2Work]]&gt;0),Tasks[[#This Row],[_Res2Work]]/(Tasks[[#This Row],[_FinishWorkday]]-Tasks[[#This Row],[_StartWorkday]]+1),0)</f>
        <v>0</v>
      </c>
      <c r="DZ84" s="43" t="n">
        <f aca="false">Tasks[[#This Row],[_Res2WorkPerWD]]*MAX(0,Tasks[[#This Row],[_StartWorkday]]-1)</f>
        <v>0</v>
      </c>
      <c r="EA84" s="43" t="n">
        <f aca="false">Tasks[[#This Row],[_Res2Work]]*Tasks[[#This Row],[_LeafProgress]]</f>
        <v>0</v>
      </c>
      <c r="EB84" s="43" t="str">
        <f aca="false">IF(Tasks[[#This Row],[_Res3Text]]="","",IF(Tasks[[#This Row],[_Res3Row]]&gt;0,INDEX(res_Name,Tasks[[#This Row],[_Res3Row]]),TRIM(LEFT(Tasks[[#This Row],[_Res3Text]],FIND("[",Tasks[[#This Row],[_Res3Text]]&amp;"[")-1))))</f>
        <v/>
      </c>
      <c r="EC8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4" s="43" t="n">
        <f aca="false">IF(OR(NOT(Tasks[[#This Row],[_IsLeaf]]=1),Tasks[[#This Row],[_Res3Row]]=0),0,N(Tasks[[#This Row],[_Days]])*HoursPerDay*IF(Tasks[[#This Row],[_Res3Units]]="",DefaultUnits,Tasks[[#This Row],[_Res3Units]]))</f>
        <v>0</v>
      </c>
      <c r="EE84" s="43" t="n">
        <f aca="false">IF(AND(AND(Tasks[[#This Row],[_IsLeaf]]=1,Tasks[[#This Row],[_LeafTotalWork]]&gt;0),Tasks[[#This Row],[_Res3Work]]&gt;0),Tasks[[#This Row],[_Res3Work]]/(Tasks[[#This Row],[_FinishWorkday]]-Tasks[[#This Row],[_StartWorkday]]+1),0)</f>
        <v>0</v>
      </c>
      <c r="EF84" s="43" t="n">
        <f aca="false">Tasks[[#This Row],[_Res3WorkPerWD]]*MAX(0,Tasks[[#This Row],[_StartWorkday]]-1)</f>
        <v>0</v>
      </c>
      <c r="EG84" s="43" t="n">
        <f aca="false">Tasks[[#This Row],[_Res3Work]]*Tasks[[#This Row],[_LeafProgress]]</f>
        <v>0</v>
      </c>
      <c r="EH84" s="43" t="str">
        <f aca="false">IF(Tasks[[#This Row],[_Res4Text]]="","",IF(Tasks[[#This Row],[_Res4Row]]&gt;0,INDEX(res_Name,Tasks[[#This Row],[_Res4Row]]),TRIM(LEFT(Tasks[[#This Row],[_Res4Text]],FIND("[",Tasks[[#This Row],[_Res4Text]]&amp;"[")-1))))</f>
        <v/>
      </c>
      <c r="EI8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4" s="43" t="n">
        <f aca="false">IF(OR(NOT(Tasks[[#This Row],[_IsLeaf]]=1),Tasks[[#This Row],[_Res4Row]]=0),0,N(Tasks[[#This Row],[_Days]])*HoursPerDay*IF(Tasks[[#This Row],[_Res4Units]]="",DefaultUnits,Tasks[[#This Row],[_Res4Units]]))</f>
        <v>0</v>
      </c>
      <c r="EK84" s="43" t="n">
        <f aca="false">IF(AND(AND(Tasks[[#This Row],[_IsLeaf]]=1,Tasks[[#This Row],[_LeafTotalWork]]&gt;0),Tasks[[#This Row],[_Res4Work]]&gt;0),Tasks[[#This Row],[_Res4Work]]/(Tasks[[#This Row],[_FinishWorkday]]-Tasks[[#This Row],[_StartWorkday]]+1),0)</f>
        <v>0</v>
      </c>
      <c r="EL84" s="43" t="n">
        <f aca="false">Tasks[[#This Row],[_Res4WorkPerWD]]*MAX(0,Tasks[[#This Row],[_StartWorkday]]-1)</f>
        <v>0</v>
      </c>
      <c r="EM84" s="43" t="n">
        <f aca="false">Tasks[[#This Row],[_Res4Work]]*Tasks[[#This Row],[_LeafProgress]]</f>
        <v>0</v>
      </c>
      <c r="EN84" s="43" t="n">
        <f aca="false">IF(ISNUMBER(Tasks[[#This Row],[% Complete]]),Tasks[[#This Row],[% Complete]],IF(Tasks[[#This Row],[Stage]]="",0,IFERROR(INDEX(stg_Pct,MATCH(Tasks[[#This Row],[Stage]],stg_Name,0)),0)))</f>
        <v>0</v>
      </c>
      <c r="EO84" s="43" t="n">
        <f aca="false">IF(NOT(Tasks[[#This Row],[_IsLeaf]]=1),0,IF(N(Tasks[[#This Row],[Actual Finish]])&gt;0,1,MIN(1,Tasks[[#This Row],[_Pct]])))</f>
        <v>0</v>
      </c>
      <c r="EP84" s="43" t="n">
        <f aca="false">IF(OR(NOT(Tasks[[#This Row],[_IsLeaf]]=1),Tasks[[#This Row],[_Res1Row]]=0),0,N(Tasks[[#This Row],[_Days]])*HoursPerDay*IF(Tasks[[#This Row],[_Units1]]="",DefaultUnits,Tasks[[#This Row],[_Units1]]))</f>
        <v>0</v>
      </c>
      <c r="EQ84" s="43" t="n">
        <f aca="false">Tasks[[#This Row],[_LeafWork]]+Tasks[[#This Row],[_Res2Work]]+Tasks[[#This Row],[_Res3Work]]+Tasks[[#This Row],[_Res4Work]]</f>
        <v>0</v>
      </c>
      <c r="ER8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4" s="43" t="n">
        <f aca="false">IF(NOT(Tasks[[#This Row],[_IsLeaf]]=1),0,MAX(_xlfn.MAXIFS(Tasks[_Row],Tasks[_Pred1UID],Tasks[[#This Row],[UID]]),_xlfn.MAXIFS(Tasks[_Row],Tasks[_Pred2UID],Tasks[[#This Row],[UID]]),_xlfn.MAXIFS(Tasks[_Row],Tasks[_Pred3UID],Tasks[[#This Row],[UID]]),_xlfn.MAXIFS(Tasks[_Row],Tasks[_Pred4UID],Tasks[[#This Row],[UID]])))</f>
        <v>0</v>
      </c>
      <c r="FA8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4" s="91" t="str">
        <f aca="false">IF(NOT(Tasks[[#This Row],[_IsLeaf]]=1),"",IF(N(Tasks[[#This Row],[_Days]])&lt;=0,Tasks[[#This Row],[_LeafLateFinish]],WORKDAY.INTL(Tasks[[#This Row],[_LeafLateFinish]],-(Tasks[[#This Row],[_Days]]-1),WorkWeek,Holidays)))</f>
        <v/>
      </c>
      <c r="FD8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4" s="90" t="b">
        <f aca="false">AND(Tasks[[#This Row],[_IsLeaf]]=1,Tasks[[#This Row],[_LeafProgress]]&lt;1,N(Tasks[[#This Row],[_LeafTotalSlack]])&lt;=CriticalSlackDays)</f>
        <v>0</v>
      </c>
      <c r="FF84" s="43" t="n">
        <f aca="false">IF(AND(Tasks[[#This Row],[_IsLeaf]]=1,Tasks[[#This Row],[_ConstraintCode]]=1,Tasks[[#This Row],[Mode]]&lt;&gt;"Manual",N(Tasks[[#This Row],[Actual Start]])=0),MAX(0,N(Tasks[[#This Row],[Free Slack]])),0)</f>
        <v>0</v>
      </c>
      <c r="FG84" s="91" t="str">
        <f aca="false">IF(NOT(Tasks[[#This Row],[_IsLeaf]]=1),"",IF(Tasks[[#This Row],[_AlapShift]]=0,Tasks[[#This Row],[_LeafCalcStart]],WORKDAY.INTL(Tasks[[#This Row],[_LeafCalcStart]],Tasks[[#This Row],[_AlapShift]],WorkWeek,Holidays)))</f>
        <v/>
      </c>
      <c r="FH84" s="91" t="str">
        <f aca="false">IF(NOT(Tasks[[#This Row],[_IsLeaf]]=1),"",IF(Tasks[[#This Row],[_AlapShift]]=0,Tasks[[#This Row],[_LeafCalcFinish]],WORKDAY.INTL(Tasks[[#This Row],[_LeafCalcFinish]],Tasks[[#This Row],[_AlapShift]],WorkWeek,Holidays)))</f>
        <v/>
      </c>
      <c r="FI84" s="91" t="str">
        <f aca="false">IF(NOT(Tasks[[#This Row],[_IsLeaf]]=1),"",IF(Tasks[[#This Row],[_AlapShift]]=0,Tasks[[#This Row],[_LeafFcstStart]],WORKDAY.INTL(Tasks[[#This Row],[_LeafFcstStart]],Tasks[[#This Row],[_AlapShift]],WorkWeek,Holidays)))</f>
        <v/>
      </c>
      <c r="FJ84" s="91" t="str">
        <f aca="false">IF(NOT(Tasks[[#This Row],[_IsLeaf]]=1),"",IF(Tasks[[#This Row],[_AlapShift]]=0,Tasks[[#This Row],[_LeafFcstFinish]],WORKDAY.INTL(Tasks[[#This Row],[_LeafFcstFinish]],Tasks[[#This Row],[_AlapShift]],WorkWeek,Holidays)))</f>
        <v/>
      </c>
      <c r="FK84" s="91" t="str">
        <f aca="false">IF(Tasks[[#This Row],[Task Name]]="","",IF(Tasks[[#This Row],[_IsSummary]],MIN(INDEX(Tasks[_ShownCalcStart],Tasks[[#This Row],[_Row]]+1):INDEX(Tasks[_ShownCalcStart],Tasks[[#This Row],[_Row]]+Tasks[[#This Row],[_Descendants]])),Tasks[[#This Row],[_ShownCalcStart]]))</f>
        <v/>
      </c>
      <c r="FL84" s="91" t="str">
        <f aca="false">IF(Tasks[[#This Row],[Task Name]]="","",IF(Tasks[[#This Row],[_IsSummary]],MAX(INDEX(Tasks[_ShownCalcFinish],Tasks[[#This Row],[_Row]]+1):INDEX(Tasks[_ShownCalcFinish],Tasks[[#This Row],[_Row]]+Tasks[[#This Row],[_Descendants]])),Tasks[[#This Row],[_ShownCalcFinish]]))</f>
        <v/>
      </c>
      <c r="FM8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4" s="43" t="n">
        <f aca="false">IF(AND(Tasks[[#This Row],[_IsLeaf]]=1,Tasks[[#This Row],[_LeafTotalWork]]&gt;0),NETWORKDAYS.INTL(ProjectStart,Tasks[[#This Row],[_ShownFcstStart]],WorkWeek,Holidays),0)</f>
        <v>0</v>
      </c>
      <c r="FZ84" s="43" t="n">
        <f aca="false">IF(AND(Tasks[[#This Row],[_IsLeaf]]=1,Tasks[[#This Row],[_LeafTotalWork]]&gt;0),MAX(Tasks[[#This Row],[_StartWorkday]],NETWORKDAYS.INTL(ProjectStart,Tasks[[#This Row],[_ShownFcstFinish]],WorkWeek,Holidays)),0)</f>
        <v>0</v>
      </c>
      <c r="GA84" s="43" t="n">
        <f aca="false">IF(AND(Tasks[[#This Row],[_IsLeaf]]=1,Tasks[[#This Row],[_LeafTotalWork]]&gt;0),Tasks[[#This Row],[_LeafWork]]/(Tasks[[#This Row],[_FinishWorkday]]-Tasks[[#This Row],[_StartWorkday]]+1),0)</f>
        <v>0</v>
      </c>
      <c r="GB84" s="43" t="n">
        <f aca="false">Tasks[[#This Row],[_WorkPerWorkday]]*(Tasks[[#This Row],[_StartWorkday]]-1)</f>
        <v>-0</v>
      </c>
      <c r="GC84" s="43" t="n">
        <f aca="false">IF(Tasks[[#This Row],[_IsLeaf]]=1,MAX(N(Tasks[[#This Row],[_Days]]),0.1),0)</f>
        <v>0</v>
      </c>
      <c r="GD84" s="43" t="n">
        <f aca="false">Tasks[[#This Row],[_WeightDur]]*Tasks[[#This Row],[_LeafProgress]]</f>
        <v>0</v>
      </c>
      <c r="GE84" s="43" t="n">
        <f aca="false">Tasks[[#This Row],[_WeightDur]]*Tasks[[#This Row],[_PlannedPct]]</f>
        <v>0</v>
      </c>
      <c r="GF8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4" s="43" t="str">
        <f aca="false">IF(AND(Tasks[[#This Row],[_IsLeaf]]=1,N(Tasks[[#This Row],[_Days]])=0,Tasks[[#This Row],[_LeafProgress]]&lt;1),Tasks[[#This Row],[_ShownFcstFinish]]+Tasks[[#This Row],[_Row]]/100000,"")</f>
        <v/>
      </c>
      <c r="GH8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4" s="43" t="str">
        <f aca="false">IF(Tasks[[#This Row],[Task Name]]="","",LEFT(Tasks[[#This Row],[WBS]],FIND(".",Tasks[[#This Row],[WBS]]&amp;".")-1))</f>
        <v/>
      </c>
      <c r="GJ84" s="43" t="str">
        <f aca="false">IF(AND(Tasks[[#This Row],[Task Name]]&lt;&gt;"",Tasks[[#This Row],[_Level]]=1),Tasks[[#This Row],[_Row]],"")</f>
        <v/>
      </c>
      <c r="GK84" s="43" t="str">
        <f aca="false">IF(AND(Tasks[[#This Row],[_IsLeaf]]=1,N(Tasks[[#This Row],[_Days]])=0),Tasks[[#This Row],[Planned Finish]]+Tasks[[#This Row],[_Row]]/100000,"")</f>
        <v/>
      </c>
      <c r="GL84" s="43" t="str">
        <f aca="false">IF(AND(Tasks[[#This Row],[_IsLeaf]]=1,Tasks[[#This Row],[_LeafProgress]]&lt;1,OR(N(Tasks[[#This Row],[Finish Var]])&gt;0,Tasks[[#This Row],[Status]]="Late Start")),MAX(0,Tasks[[#This Row],[Finish Var]])+1-Tasks[[#This Row],[_Row]]/1000000,"")</f>
        <v/>
      </c>
      <c r="GM84" s="43" t="str">
        <f aca="false">IF(AND(Tasks[[#This Row],[_IsLeaf]]=1,N(Tasks[[#This Row],[Actual Start]])=0,Tasks[[#This Row],[_ShownFcstStart]]&gt;=StatusDate,Tasks[[#This Row],[_ShownFcstStart]]&lt;=LookaheadEnd),Tasks[[#This Row],[_ShownFcstStart]]+Tasks[[#This Row],[_Row]]/100000,"")</f>
        <v/>
      </c>
      <c r="GN84" s="43" t="str">
        <f aca="false">IF(AND(Tasks[[#This Row],[_IsLeaf]]=1,Tasks[[#This Row],[_LeafProgress]]&lt;1,Tasks[[#This Row],[_ShownFcstFinish]]&gt;=StatusDate,Tasks[[#This Row],[_ShownFcstFinish]]&lt;=LookaheadEnd),Tasks[[#This Row],[_ShownFcstFinish]]+Tasks[[#This Row],[_Row]]/100000,"")</f>
        <v/>
      </c>
      <c r="GO84" s="43" t="str">
        <f aca="false">IF(Tasks[[#This Row],[_LeafCritical]],Tasks[[#This Row],[_ShownFcstStart]]+Tasks[[#This Row],[_Row]]/100000,"")</f>
        <v/>
      </c>
      <c r="GP84" s="43" t="n">
        <f aca="false">Tasks[[#This Row],[_LeafWork]]*Tasks[[#This Row],[_LeafProgress]]</f>
        <v>0</v>
      </c>
      <c r="GQ84" s="91" t="str">
        <f aca="false">IF(AND(Tasks[[#This Row],[_IsLeaf]]=1,Tasks[[#This Row],[_LeafProgress]]&gt;=1),IF(N(Tasks[[#This Row],[Actual Finish]])&gt;0,Tasks[[#This Row],[Actual Finish]],Tasks[[#This Row],[_ShownFcstFinish]]),"")</f>
        <v/>
      </c>
      <c r="GR84" s="43" t="n">
        <f aca="false">IF(Tasks[[#This Row],[_IsLeaf]]=1,N(Tasks[[#This Row],[Story Points]]),0)</f>
        <v>0</v>
      </c>
      <c r="GS84" s="43" t="str">
        <f aca="false">""</f>
        <v/>
      </c>
      <c r="GT84" s="90" t="b">
        <f aca="false">IF(Tasks[[#This Row],[Task Name]]="",FALSE(),AND(Tasks[[#This Row],[_IsLeaf]]=1,N(Tasks[[#This Row],[_Days]])=0))</f>
        <v>0</v>
      </c>
      <c r="GU84" s="91" t="n">
        <f aca="false">IF(Tasks[[#This Row],[Task Name]]="",0,IF(AND(Tasks[[#This Row],[_IsLeaf]]=1,NOT(Tasks[[#This Row],[_IsMilestone]]),N(Tasks[[#This Row],[Progress]])&gt;0),Tasks[[#This Row],[Start]],0))</f>
        <v>0</v>
      </c>
      <c r="GV84" s="91" t="n">
        <f aca="false">IF(Tasks[[#This Row],[_DoneFrom]]=0,0,IF(Tasks[[#This Row],[Progress]]&gt;=1,Tasks[[#This Row],[Finish]],MAX(Tasks[[#This Row],[_DoneFrom]],Tasks[[#This Row],[Start]]+ROUND((Tasks[[#This Row],[Finish]]-Tasks[[#This Row],[Start]]+1)*Tasks[[#This Row],[Progress]],0)-1)))</f>
        <v>0</v>
      </c>
      <c r="GW84" s="91" t="n">
        <f aca="false">IF(Tasks[[#This Row],[Task Name]]="",0,IF(OR(NOT(Tasks[[#This Row],[_IsLeaf]]=1),Tasks[[#This Row],[_IsMilestone]],N(Tasks[[#This Row],[Progress]])&gt;=1),0,IF(Tasks[[#This Row],[_DoneTo]]&gt;0,Tasks[[#This Row],[_DoneTo]]+1,Tasks[[#This Row],[Start]])))</f>
        <v>0</v>
      </c>
      <c r="GX84" s="91" t="n">
        <f aca="false">IF(Tasks[[#This Row],[_RemFrom]]=0,0,Tasks[[#This Row],[Finish]])</f>
        <v>0</v>
      </c>
      <c r="GY84" s="90" t="b">
        <f aca="false">IF(Tasks[[#This Row],[Task Name]]="",FALSE(),OR(NOT(BaselineSet),N(Tasks[[#This Row],[Baseline Start]])&gt;0))</f>
        <v>0</v>
      </c>
      <c r="GZ8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4" s="92" t="str">
        <f aca="false">IF(Tasks[[#This Row],[_IsLeaf]]=1,Tasks[[#This Row],[_Row]],"")</f>
        <v/>
      </c>
      <c r="HD84" s="92" t="str">
        <f aca="false">IFERROR(INDEX(Tasks[UID],SMALL(Tasks[_PickKey],Tasks[[#This Row],[_Row]]))&amp;" "&amp;INDEX(Tasks[Task Name],SMALL(Tasks[_PickKey],Tasks[[#This Row],[_Row]])),"")</f>
        <v/>
      </c>
      <c r="HE84" s="43" t="str">
        <f aca="false">IF(Tasks[[#This Row],[Task Name]]="","",IF(Tasks[[#This Row],[_IsSummary]],NETWORKDAYS.INTL(Tasks[[#This Row],[Start]],Tasks[[#This Row],[Finish]],WorkWeek,Holidays),N(Tasks[[#This Row],[_Days]])))</f>
        <v/>
      </c>
      <c r="HF84" s="43" t="n">
        <f aca="false">IF(Tasks[[#This Row],[Expected]]="",0,((Tasks[[#This Row],[Pessimistic]]-Tasks[[#This Row],[Optimistic]])/6)^2)</f>
        <v>0</v>
      </c>
      <c r="HG84" s="43" t="n">
        <f aca="false">IF(Tasks[[#This Row],[Expected]]="",0,Tasks[[#This Row],[Expected]]-N(Tasks[[#This Row],[_Days]]))</f>
        <v>0</v>
      </c>
    </row>
    <row r="85" customFormat="false" ht="15" hidden="false" customHeight="false" outlineLevel="0" collapsed="false">
      <c r="A85" s="21" t="str">
        <f aca="false">IF(Tasks[[#This Row],[Task Name]]="","",COUNTA(Tasks[[#Headers],[Task Name]]:Tasks[[#This Row],[Task Name]])-1)</f>
        <v/>
      </c>
      <c r="B85" s="22" t="n">
        <v>93</v>
      </c>
      <c r="C85" s="22"/>
      <c r="D85" s="23"/>
      <c r="E85" s="22"/>
      <c r="F85" s="23"/>
      <c r="G85" s="22"/>
      <c r="H85" s="22"/>
      <c r="I85" s="23"/>
      <c r="J85" s="22"/>
      <c r="K85" s="22"/>
      <c r="L85" s="23"/>
      <c r="M85" s="22"/>
      <c r="N85" s="22"/>
      <c r="O85" s="23"/>
      <c r="P85" s="22"/>
      <c r="Q85" s="22"/>
      <c r="R85" s="23"/>
      <c r="S85" s="23"/>
      <c r="T85" s="84"/>
      <c r="U85" s="23"/>
      <c r="V85" s="84"/>
      <c r="W85" s="23"/>
      <c r="X85" s="84"/>
      <c r="Y85" s="23"/>
      <c r="Z85" s="84"/>
      <c r="AA85" s="23"/>
      <c r="AB85" s="23"/>
      <c r="AC85" s="7"/>
      <c r="AD85" s="7"/>
      <c r="AE85" s="63" t="str">
        <f aca="false">IF(Tasks[[#This Row],[Task Name]]="","",IF(Tasks[[#This Row],[_IsSummary]],MIN(INDEX(Tasks[_ShownFcstStart],Tasks[[#This Row],[_Row]]+1):INDEX(Tasks[_ShownFcstStart],Tasks[[#This Row],[_Row]]+Tasks[[#This Row],[_Descendants]])),Tasks[[#This Row],[_ShownFcstStart]]))</f>
        <v/>
      </c>
      <c r="AF85" s="63" t="str">
        <f aca="false">IF(Tasks[[#This Row],[Task Name]]="","",IF(Tasks[[#This Row],[_IsSummary]],MAX(INDEX(Tasks[_ShownFcstFinish],Tasks[[#This Row],[_Row]]+1):INDEX(Tasks[_ShownFcstFinish],Tasks[[#This Row],[_Row]]+Tasks[[#This Row],[_Descendants]])),Tasks[[#This Row],[_ShownFcstFinish]]))</f>
        <v/>
      </c>
      <c r="AG85" s="21" t="str">
        <f aca="false">""</f>
        <v/>
      </c>
      <c r="AH85" s="23"/>
      <c r="AI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5" s="7"/>
      <c r="AK85" s="22"/>
      <c r="AL85" s="23"/>
      <c r="AM85" s="7"/>
      <c r="AN85" s="47" t="str">
        <f aca="false">IF(Tasks[[#This Row],[Task Name]]="","",IF(Tasks[[#This Row],[Finish]]&gt;=Tasks[[#This Row],[Planned Finish]],NETWORKDAYS.INTL(Tasks[[#This Row],[Planned Finish]],Tasks[[#This Row],[Finish]],WorkWeek,Holidays)-1,1-NETWORKDAYS.INTL(Tasks[[#This Row],[Finish]],Tasks[[#This Row],[Planned Finish]],WorkWeek,Holidays)))</f>
        <v/>
      </c>
      <c r="AO85" s="21" t="str">
        <f aca="false">IF(Tasks[[#This Row],[Task Name]]="","",IF(Tasks[[#This Row],[Progress]]&gt;=1,"Complete",IF(OR(N(Tasks[[#This Row],[Actual Start]])&gt;0,Tasks[[#This Row],[Progress]]&gt;0),IF(Tasks[[#This Row],[Finish Var]]&gt;0,"Behind","In Progress"),IF(Tasks[[#This Row],[Planned Start]]&lt;StatusDate,"Late Start","Not Started"))))</f>
        <v/>
      </c>
      <c r="AP85" s="21" t="str">
        <f aca="false">IF(Tasks[[#This Row],[Task Name]]="","",IF(IF(Tasks[[#This Row],[_IsSummary]],COUNTIF(INDEX(Tasks[_LeafCritical],Tasks[[#This Row],[_Row]]+1):INDEX(Tasks[_LeafCritical],Tasks[[#This Row],[_Row]]+Tasks[[#This Row],[_Descendants]]),TRUE())&gt;0,Tasks[[#This Row],[_LeafCritical]]),"Yes",""))</f>
        <v/>
      </c>
      <c r="AQ85" s="63" t="str">
        <f aca="false">IF(Tasks[[#This Row],[Task Name]]="","",IF(N(Tasks[[#This Row],[Baseline Start]])&gt;0,Tasks[[#This Row],[Baseline Start]],Tasks[[#This Row],[_CalcStart]]))</f>
        <v/>
      </c>
      <c r="AR85" s="63" t="str">
        <f aca="false">IF(Tasks[[#This Row],[Task Name]]="","",IF(N(Tasks[[#This Row],[Baseline Finish]])&gt;0,Tasks[[#This Row],[Baseline Finish]],Tasks[[#This Row],[_CalcFinish]]))</f>
        <v/>
      </c>
      <c r="AS85" s="47" t="str">
        <f aca="false">IF(Tasks[[#This Row],[Task Name]]="","",IF(Tasks[[#This Row],[Start]]&gt;=Tasks[[#This Row],[Planned Start]],NETWORKDAYS.INTL(Tasks[[#This Row],[Planned Start]],Tasks[[#This Row],[Start]],WorkWeek,Holidays)-1,1-NETWORKDAYS.INTL(Tasks[[#This Row],[Start]],Tasks[[#This Row],[Planned Start]],WorkWeek,Holidays)))</f>
        <v/>
      </c>
      <c r="AT85" s="63" t="str">
        <f aca="false">IF(Tasks[[#This Row],[Task Name]]="","",IF(Tasks[[#This Row],[_IsSummary]],MIN(INDEX(Tasks[_LeafLateStart],Tasks[[#This Row],[_Row]]+1):INDEX(Tasks[_LeafLateStart],Tasks[[#This Row],[_Row]]+Tasks[[#This Row],[_Descendants]])),Tasks[[#This Row],[_LeafLateStart]]))</f>
        <v/>
      </c>
      <c r="AU85" s="63" t="str">
        <f aca="false">IF(Tasks[[#This Row],[Task Name]]="","",IF(Tasks[[#This Row],[_IsSummary]],MAX(INDEX(Tasks[_LeafLateFinish],Tasks[[#This Row],[_Row]]+1):INDEX(Tasks[_LeafLateFinish],Tasks[[#This Row],[_Row]]+Tasks[[#This Row],[_Descendants]])),Tasks[[#This Row],[_LeafLateFinish]]))</f>
        <v/>
      </c>
      <c r="AV85" s="47" t="str">
        <f aca="false">IF(Tasks[[#This Row],[Task Name]]="","",IF(Tasks[[#This Row],[_IsSummary]],MIN(INDEX(Tasks[_LeafTotalSlack],Tasks[[#This Row],[_Row]]+1):INDEX(Tasks[_LeafTotalSlack],Tasks[[#This Row],[_Row]]+Tasks[[#This Row],[_Descendants]])),Tasks[[#This Row],[_LeafTotalSlack]]))</f>
        <v/>
      </c>
      <c r="AW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5"/>
      <c r="BA8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1" t="str">
        <f aca="false">IF(Tasks[[#This Row],[Task Name]]="","",IF(Tasks[[#This Row],[_Level]]&lt;=OutlineShowLevel,"Yes","No"))</f>
        <v/>
      </c>
      <c r="BE85" s="86" t="str">
        <f aca="false">IF(Tasks[[#This Row],[Task Name]]="","",IF(Tasks[[#This Row],[_IsSummary]],SUM(INDEX(Tasks[_LeafTotalWork],Tasks[[#This Row],[_Row]]+1):INDEX(Tasks[_LeafTotalWork],Tasks[[#This Row],[_Row]]+Tasks[[#This Row],[_Descendants]])),Tasks[[#This Row],[_LeafTotalWork]]))</f>
        <v/>
      </c>
      <c r="BF85" s="23"/>
      <c r="BG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5" s="21" t="str">
        <f aca="false">""</f>
        <v/>
      </c>
      <c r="BI85" s="87"/>
      <c r="BJ85" s="22"/>
      <c r="BK85" s="47" t="str">
        <f aca="false">IF(OR(Tasks[[#This Row],[Task Name]]="",Tasks[[#This Row],[Baseline Duration]]=""),"",Tasks[[#This Row],[_SpanDays]]-N(Tasks[[#This Row],[Baseline Duration]]))</f>
        <v/>
      </c>
      <c r="BL85" s="86" t="str">
        <f aca="false">IF(OR(Tasks[[#This Row],[Task Name]]="",Tasks[[#This Row],[Baseline Work]]=""),"",Tasks[[#This Row],[Work]]-N(Tasks[[#This Row],[Baseline Work]]))</f>
        <v/>
      </c>
      <c r="BM85" s="63" t="str">
        <f aca="false">IF(Tasks[[#This Row],[Task Name]]="","",IF(OR(TakeBaseline="Yes",N(Tasks[[#This Row],[Baseline Start]])=0),Tasks[[#This Row],[Start]],Tasks[[#This Row],[Baseline Start]]))</f>
        <v/>
      </c>
      <c r="BN85" s="63" t="str">
        <f aca="false">IF(Tasks[[#This Row],[Task Name]]="","",IF(OR(TakeBaseline="Yes",N(Tasks[[#This Row],[Baseline Finish]])=0),Tasks[[#This Row],[Finish]],Tasks[[#This Row],[Baseline Finish]]))</f>
        <v/>
      </c>
      <c r="BO85" s="21" t="str">
        <f aca="false">IF(Tasks[[#This Row],[Task Name]]="","",IF(OR(TakeBaseline="Yes",N(Tasks[[#This Row],[Baseline Duration]])=0),Tasks[[#This Row],[_SpanDays]],Tasks[[#This Row],[Baseline Duration]]))</f>
        <v/>
      </c>
      <c r="BP85" s="86" t="str">
        <f aca="false">IF(Tasks[[#This Row],[Task Name]]="","",IF(OR(TakeBaseline="Yes",N(Tasks[[#This Row],[Baseline Work]])=0),Tasks[[#This Row],[Work]],Tasks[[#This Row],[Baseline Work]]))</f>
        <v/>
      </c>
      <c r="BQ85" s="7"/>
      <c r="BR85" s="7"/>
      <c r="BS85" s="22"/>
      <c r="BT85" s="88"/>
      <c r="BU85" s="23"/>
      <c r="BV85" s="23"/>
      <c r="BW85" s="23"/>
      <c r="BX85" s="89" t="str">
        <f aca="false">IF(AND(Tasks[[#This Row],[_IsLeaf]]=1,ISNUMBER(Tasks[[#This Row],[Optimistic]]),ISNUMBER(Tasks[[#This Row],[Pessimistic]])),ROUND((Tasks[[#This Row],[Optimistic]]+4*N(Tasks[[#This Row],[_Days]])+Tasks[[#This Row],[Pessimistic]])/6,1),"")</f>
        <v/>
      </c>
      <c r="BY85" s="87"/>
      <c r="BZ85" s="87"/>
      <c r="CA85" s="22"/>
      <c r="CB85" s="43" t="str">
        <f aca="false">IF(Tasks[[#This Row],[Task Name]]="","",MAX(1,N(Tasks[[#This Row],[Level]])))</f>
        <v/>
      </c>
      <c r="CC85" s="43" t="n">
        <f aca="false">ROW()-ROW(Tasks[[#Headers],[ID]])</f>
        <v>80</v>
      </c>
      <c r="CD85" s="43" t="n">
        <f aca="false">IF(OR(Tasks[[#This Row],[Task Name]]="",Tasks[[#This Row],[_Level]]&lt;=1),0,IFERROR(LOOKUP(2,1/(Tasks[[#Headers],[_Level]]:Tasks[[#This Row],[_Level]]=Tasks[[#This Row],[_Level]]-1),ROW(Tasks[[#Headers],[_Level]]:Tasks[[#This Row],[_Level]])),0))</f>
        <v>0</v>
      </c>
      <c r="CE85" s="43" t="n">
        <f aca="false">IFERROR(N(INDEX(Tasks[_Level],Tasks[[#This Row],[_Row]]+1)),0)</f>
        <v>0</v>
      </c>
      <c r="CF85" s="90" t="b">
        <f aca="false">AND(Tasks[[#This Row],[Task Name]]&lt;&gt;"",Tasks[[#This Row],[_NextLevel]]&gt;Tasks[[#This Row],[_Level]])</f>
        <v>0</v>
      </c>
      <c r="CG85" s="43" t="n">
        <f aca="false">IF(Tasks[[#This Row],[_IsSummary]],COUNTIF(Tasks[WBS],Tasks[[#This Row],[WBS]]&amp;".*"),0)</f>
        <v>0</v>
      </c>
      <c r="CH85" s="43" t="n">
        <f aca="false">IF(AND(Tasks[[#This Row],[Task Name]]&lt;&gt;"",NOT(Tasks[[#This Row],[_IsSummary]])),1,0)</f>
        <v>0</v>
      </c>
      <c r="CI85" s="43" t="n">
        <f aca="false">IF(N(Tasks[[#This Row],[_Pred1UID]])=0,0,IFERROR(MATCH(Tasks[[#This Row],[_Pred1UID]],Tasks[UID],0),-1))</f>
        <v>0</v>
      </c>
      <c r="CJ85" s="43" t="n">
        <f aca="false">IF(N(Tasks[[#This Row],[_Pred2UID]])=0,0,IFERROR(MATCH(Tasks[[#This Row],[_Pred2UID]],Tasks[UID],0),-1))</f>
        <v>0</v>
      </c>
      <c r="CK85" s="43" t="n">
        <f aca="false">IF(N(Tasks[[#This Row],[_Pred3UID]])=0,0,IFERROR(MATCH(Tasks[[#This Row],[_Pred3UID]],Tasks[UID],0),-1))</f>
        <v>0</v>
      </c>
      <c r="CL85" s="43" t="n">
        <f aca="false">IF(N(Tasks[[#This Row],[_Pred4UID]])=0,0,IFERROR(MATCH(Tasks[[#This Row],[_Pred4UID]],Tasks[UID],0),-1))</f>
        <v>0</v>
      </c>
      <c r="CM8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5" s="91" t="n">
        <f aca="false">IF(OR(Tasks[[#This Row],[_ConstraintCode]]=2,Tasks[[#This Row],[_ConstraintCode]]=3,Tasks[[#This Row],[_ConstraintCode]]=4,Tasks[[#This Row],[_ConstraintCode]]=6),Tasks[[#This Row],[_ConstraintStart]],0)</f>
        <v>0</v>
      </c>
      <c r="CP85" s="91" t="n">
        <f aca="false">IF(OR(Tasks[[#This Row],[_ConstraintCode]]=2,Tasks[[#This Row],[_ConstraintCode]]=3,Tasks[[#This Row],[_ConstraintCode]]=5,Tasks[[#This Row],[_ConstraintCode]]=7),Tasks[[#This Row],[_ConstraintStart]],2958465)</f>
        <v>2958465</v>
      </c>
      <c r="CQ8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5" s="91" t="str">
        <f aca="false">IF(NOT(Tasks[[#This Row],[_IsLeaf]]=1),"",IF(N(Tasks[[#This Row],[_Days]])&lt;=0,Tasks[[#This Row],[_LeafCalcStart]],WORKDAY.INTL(Tasks[[#This Row],[_LeafCalcStart]],Tasks[[#This Row],[_Days]]-1,WorkWeek,Holidays)))</f>
        <v/>
      </c>
      <c r="CS8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5" s="43" t="str">
        <f aca="false">IF(Tasks[[#This Row],[_Predecessors]]="","",TRIM(MID(SUBSTITUTE(SUBSTITUTE(SUBSTITUTE(UPPER(Tasks[[#This Row],[_Predecessors]]),";",",")," ",""),",",REPT(" ",99)),1,99)))</f>
        <v/>
      </c>
      <c r="CV85" s="43" t="str">
        <f aca="false">IF(Tasks[[#This Row],[_Pred1Text]]="","",IFERROR(VALUE(LEFT(Tasks[[#This Row],[_Pred1Text]],MIN(FIND("F",Tasks[[#This Row],[_Pred1Text]]&amp;"F"),FIND("S",Tasks[[#This Row],[_Pred1Text]]&amp;"S"),FIND("+",Tasks[[#This Row],[_Pred1Text]]&amp;"+"),FIND("-",Tasks[[#This Row],[_Pred1Text]]&amp;"-"))-1)),""))</f>
        <v/>
      </c>
      <c r="CW8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5" s="43" t="str">
        <f aca="false">IF(Tasks[[#This Row],[_Pred1Text]]="","",TRIM(MID(SUBSTITUTE(SUBSTITUTE(SUBSTITUTE(UPPER(Tasks[[#This Row],[_Predecessors]]),";",",")," ",""),",",REPT(" ",99)),100,99)))</f>
        <v/>
      </c>
      <c r="CZ85" s="43" t="str">
        <f aca="false">IF(Tasks[[#This Row],[_Pred2Text]]="","",IFERROR(VALUE(LEFT(Tasks[[#This Row],[_Pred2Text]],MIN(FIND("F",Tasks[[#This Row],[_Pred2Text]]&amp;"F"),FIND("S",Tasks[[#This Row],[_Pred2Text]]&amp;"S"),FIND("+",Tasks[[#This Row],[_Pred2Text]]&amp;"+"),FIND("-",Tasks[[#This Row],[_Pred2Text]]&amp;"-"))-1)),""))</f>
        <v/>
      </c>
      <c r="DA8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5" s="43" t="str">
        <f aca="false">IF(Tasks[[#This Row],[_Pred2Text]]="","",TRIM(MID(SUBSTITUTE(SUBSTITUTE(SUBSTITUTE(UPPER(Tasks[[#This Row],[_Predecessors]]),";",",")," ",""),",",REPT(" ",99)),199,99)))</f>
        <v/>
      </c>
      <c r="DD85" s="43" t="str">
        <f aca="false">IF(Tasks[[#This Row],[_Pred3Text]]="","",IFERROR(VALUE(LEFT(Tasks[[#This Row],[_Pred3Text]],MIN(FIND("F",Tasks[[#This Row],[_Pred3Text]]&amp;"F"),FIND("S",Tasks[[#This Row],[_Pred3Text]]&amp;"S"),FIND("+",Tasks[[#This Row],[_Pred3Text]]&amp;"+"),FIND("-",Tasks[[#This Row],[_Pred3Text]]&amp;"-"))-1)),""))</f>
        <v/>
      </c>
      <c r="DE8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5" s="43" t="str">
        <f aca="false">IF(Tasks[[#This Row],[_Pred3Text]]="","",TRIM(MID(SUBSTITUTE(SUBSTITUTE(SUBSTITUTE(UPPER(Tasks[[#This Row],[_Predecessors]]),";",",")," ",""),",",REPT(" ",99)),298,99)))</f>
        <v/>
      </c>
      <c r="DH85" s="43" t="str">
        <f aca="false">IF(Tasks[[#This Row],[_Pred4Text]]="","",IFERROR(VALUE(LEFT(Tasks[[#This Row],[_Pred4Text]],MIN(FIND("F",Tasks[[#This Row],[_Pred4Text]]&amp;"F"),FIND("S",Tasks[[#This Row],[_Pred4Text]]&amp;"S"),FIND("+",Tasks[[#This Row],[_Pred4Text]]&amp;"+"),FIND("-",Tasks[[#This Row],[_Pred4Text]]&amp;"-"))-1)),""))</f>
        <v/>
      </c>
      <c r="DI8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5" s="43" t="str">
        <f aca="false">IF(OR(Tasks[[#This Row],[Task Name]]="",Tasks[[#This Row],[_Resources]]=""),"",TRIM(MID(SUBSTITUTE(Tasks[[#This Row],[_Resources]],",",REPT(" ",99)),1,99)))</f>
        <v/>
      </c>
      <c r="DL85" s="43" t="str">
        <f aca="false">IF(Tasks[[#This Row],[_Res1Text]]="","",TRIM(MID(SUBSTITUTE(Tasks[[#This Row],[_Resources]],",",REPT(" ",99)),100,99)))</f>
        <v/>
      </c>
      <c r="DM85" s="43" t="str">
        <f aca="false">IF(Tasks[[#This Row],[_Res2Text]]="","",TRIM(MID(SUBSTITUTE(Tasks[[#This Row],[_Resources]],",",REPT(" ",99)),199,99)))</f>
        <v/>
      </c>
      <c r="DN85" s="43" t="str">
        <f aca="false">IF(Tasks[[#This Row],[_Res3Text]]="","",TRIM(MID(SUBSTITUTE(Tasks[[#This Row],[_Resources]],",",REPT(" ",99)),298,99)))</f>
        <v/>
      </c>
      <c r="DO85" s="43" t="n">
        <f aca="false">IF(Tasks[[#This Row],[_Res1Text]]="",0,IFERROR(MATCH(TRIM(LEFT(Tasks[[#This Row],[_Res1Text]],FIND("[",Tasks[[#This Row],[_Res1Text]]&amp;"[")-1)),res_Name,0),IFERROR(MATCH(TRIM(LEFT(Tasks[[#This Row],[_Res1Text]],FIND("[",Tasks[[#This Row],[_Res1Text]]&amp;"[")-1)),res_Initials,0),0)))</f>
        <v>0</v>
      </c>
      <c r="DP85" s="43" t="n">
        <f aca="false">IF(Tasks[[#This Row],[_Res2Text]]="",0,IFERROR(MATCH(TRIM(LEFT(Tasks[[#This Row],[_Res2Text]],FIND("[",Tasks[[#This Row],[_Res2Text]]&amp;"[")-1)),res_Name,0),IFERROR(MATCH(TRIM(LEFT(Tasks[[#This Row],[_Res2Text]],FIND("[",Tasks[[#This Row],[_Res2Text]]&amp;"[")-1)),res_Initials,0),0)))</f>
        <v>0</v>
      </c>
      <c r="DQ85" s="43" t="n">
        <f aca="false">IF(Tasks[[#This Row],[_Res3Text]]="",0,IFERROR(MATCH(TRIM(LEFT(Tasks[[#This Row],[_Res3Text]],FIND("[",Tasks[[#This Row],[_Res3Text]]&amp;"[")-1)),res_Name,0),IFERROR(MATCH(TRIM(LEFT(Tasks[[#This Row],[_Res3Text]],FIND("[",Tasks[[#This Row],[_Res3Text]]&amp;"[")-1)),res_Initials,0),0)))</f>
        <v>0</v>
      </c>
      <c r="DR85" s="43" t="n">
        <f aca="false">IF(Tasks[[#This Row],[_Res4Text]]="",0,IFERROR(MATCH(TRIM(LEFT(Tasks[[#This Row],[_Res4Text]],FIND("[",Tasks[[#This Row],[_Res4Text]]&amp;"[")-1)),res_Name,0),IFERROR(MATCH(TRIM(LEFT(Tasks[[#This Row],[_Res4Text]],FIND("[",Tasks[[#This Row],[_Res4Text]]&amp;"[")-1)),res_Initials,0),0)))</f>
        <v>0</v>
      </c>
      <c r="DS85" s="43" t="str">
        <f aca="false">IF(Tasks[[#This Row],[_Res1Text]]="","",IF(Tasks[[#This Row],[_Res1Row]]&gt;0,INDEX(res_Name,Tasks[[#This Row],[_Res1Row]]),TRIM(LEFT(Tasks[[#This Row],[_Res1Text]],FIND("[",Tasks[[#This Row],[_Res1Text]]&amp;"[")-1))))</f>
        <v/>
      </c>
      <c r="DT8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5" s="43" t="n">
        <f aca="false">IF(NOT(Tasks[[#This Row],[_IsLeaf]]=1),0,(Tasks[[#This Row],[_Resource1]]&lt;&gt;"")+(Tasks[[#This Row],[_Res2]]&lt;&gt;"")+(Tasks[[#This Row],[_Res3]]&lt;&gt;"")+(Tasks[[#This Row],[_Res4]]&lt;&gt;""))</f>
        <v>0</v>
      </c>
      <c r="DV85" s="43" t="str">
        <f aca="false">IF(Tasks[[#This Row],[_Res2Text]]="","",IF(Tasks[[#This Row],[_Res2Row]]&gt;0,INDEX(res_Name,Tasks[[#This Row],[_Res2Row]]),TRIM(LEFT(Tasks[[#This Row],[_Res2Text]],FIND("[",Tasks[[#This Row],[_Res2Text]]&amp;"[")-1))))</f>
        <v/>
      </c>
      <c r="DW8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5" s="43" t="n">
        <f aca="false">IF(OR(NOT(Tasks[[#This Row],[_IsLeaf]]=1),Tasks[[#This Row],[_Res2Row]]=0),0,N(Tasks[[#This Row],[_Days]])*HoursPerDay*IF(Tasks[[#This Row],[_Res2Units]]="",DefaultUnits,Tasks[[#This Row],[_Res2Units]]))</f>
        <v>0</v>
      </c>
      <c r="DY85" s="43" t="n">
        <f aca="false">IF(AND(AND(Tasks[[#This Row],[_IsLeaf]]=1,Tasks[[#This Row],[_LeafTotalWork]]&gt;0),Tasks[[#This Row],[_Res2Work]]&gt;0),Tasks[[#This Row],[_Res2Work]]/(Tasks[[#This Row],[_FinishWorkday]]-Tasks[[#This Row],[_StartWorkday]]+1),0)</f>
        <v>0</v>
      </c>
      <c r="DZ85" s="43" t="n">
        <f aca="false">Tasks[[#This Row],[_Res2WorkPerWD]]*MAX(0,Tasks[[#This Row],[_StartWorkday]]-1)</f>
        <v>0</v>
      </c>
      <c r="EA85" s="43" t="n">
        <f aca="false">Tasks[[#This Row],[_Res2Work]]*Tasks[[#This Row],[_LeafProgress]]</f>
        <v>0</v>
      </c>
      <c r="EB85" s="43" t="str">
        <f aca="false">IF(Tasks[[#This Row],[_Res3Text]]="","",IF(Tasks[[#This Row],[_Res3Row]]&gt;0,INDEX(res_Name,Tasks[[#This Row],[_Res3Row]]),TRIM(LEFT(Tasks[[#This Row],[_Res3Text]],FIND("[",Tasks[[#This Row],[_Res3Text]]&amp;"[")-1))))</f>
        <v/>
      </c>
      <c r="EC8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5" s="43" t="n">
        <f aca="false">IF(OR(NOT(Tasks[[#This Row],[_IsLeaf]]=1),Tasks[[#This Row],[_Res3Row]]=0),0,N(Tasks[[#This Row],[_Days]])*HoursPerDay*IF(Tasks[[#This Row],[_Res3Units]]="",DefaultUnits,Tasks[[#This Row],[_Res3Units]]))</f>
        <v>0</v>
      </c>
      <c r="EE85" s="43" t="n">
        <f aca="false">IF(AND(AND(Tasks[[#This Row],[_IsLeaf]]=1,Tasks[[#This Row],[_LeafTotalWork]]&gt;0),Tasks[[#This Row],[_Res3Work]]&gt;0),Tasks[[#This Row],[_Res3Work]]/(Tasks[[#This Row],[_FinishWorkday]]-Tasks[[#This Row],[_StartWorkday]]+1),0)</f>
        <v>0</v>
      </c>
      <c r="EF85" s="43" t="n">
        <f aca="false">Tasks[[#This Row],[_Res3WorkPerWD]]*MAX(0,Tasks[[#This Row],[_StartWorkday]]-1)</f>
        <v>0</v>
      </c>
      <c r="EG85" s="43" t="n">
        <f aca="false">Tasks[[#This Row],[_Res3Work]]*Tasks[[#This Row],[_LeafProgress]]</f>
        <v>0</v>
      </c>
      <c r="EH85" s="43" t="str">
        <f aca="false">IF(Tasks[[#This Row],[_Res4Text]]="","",IF(Tasks[[#This Row],[_Res4Row]]&gt;0,INDEX(res_Name,Tasks[[#This Row],[_Res4Row]]),TRIM(LEFT(Tasks[[#This Row],[_Res4Text]],FIND("[",Tasks[[#This Row],[_Res4Text]]&amp;"[")-1))))</f>
        <v/>
      </c>
      <c r="EI8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5" s="43" t="n">
        <f aca="false">IF(OR(NOT(Tasks[[#This Row],[_IsLeaf]]=1),Tasks[[#This Row],[_Res4Row]]=0),0,N(Tasks[[#This Row],[_Days]])*HoursPerDay*IF(Tasks[[#This Row],[_Res4Units]]="",DefaultUnits,Tasks[[#This Row],[_Res4Units]]))</f>
        <v>0</v>
      </c>
      <c r="EK85" s="43" t="n">
        <f aca="false">IF(AND(AND(Tasks[[#This Row],[_IsLeaf]]=1,Tasks[[#This Row],[_LeafTotalWork]]&gt;0),Tasks[[#This Row],[_Res4Work]]&gt;0),Tasks[[#This Row],[_Res4Work]]/(Tasks[[#This Row],[_FinishWorkday]]-Tasks[[#This Row],[_StartWorkday]]+1),0)</f>
        <v>0</v>
      </c>
      <c r="EL85" s="43" t="n">
        <f aca="false">Tasks[[#This Row],[_Res4WorkPerWD]]*MAX(0,Tasks[[#This Row],[_StartWorkday]]-1)</f>
        <v>0</v>
      </c>
      <c r="EM85" s="43" t="n">
        <f aca="false">Tasks[[#This Row],[_Res4Work]]*Tasks[[#This Row],[_LeafProgress]]</f>
        <v>0</v>
      </c>
      <c r="EN85" s="43" t="n">
        <f aca="false">IF(ISNUMBER(Tasks[[#This Row],[% Complete]]),Tasks[[#This Row],[% Complete]],IF(Tasks[[#This Row],[Stage]]="",0,IFERROR(INDEX(stg_Pct,MATCH(Tasks[[#This Row],[Stage]],stg_Name,0)),0)))</f>
        <v>0</v>
      </c>
      <c r="EO85" s="43" t="n">
        <f aca="false">IF(NOT(Tasks[[#This Row],[_IsLeaf]]=1),0,IF(N(Tasks[[#This Row],[Actual Finish]])&gt;0,1,MIN(1,Tasks[[#This Row],[_Pct]])))</f>
        <v>0</v>
      </c>
      <c r="EP85" s="43" t="n">
        <f aca="false">IF(OR(NOT(Tasks[[#This Row],[_IsLeaf]]=1),Tasks[[#This Row],[_Res1Row]]=0),0,N(Tasks[[#This Row],[_Days]])*HoursPerDay*IF(Tasks[[#This Row],[_Units1]]="",DefaultUnits,Tasks[[#This Row],[_Units1]]))</f>
        <v>0</v>
      </c>
      <c r="EQ85" s="43" t="n">
        <f aca="false">Tasks[[#This Row],[_LeafWork]]+Tasks[[#This Row],[_Res2Work]]+Tasks[[#This Row],[_Res3Work]]+Tasks[[#This Row],[_Res4Work]]</f>
        <v>0</v>
      </c>
      <c r="ER8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5" s="43" t="n">
        <f aca="false">IF(NOT(Tasks[[#This Row],[_IsLeaf]]=1),0,MAX(_xlfn.MAXIFS(Tasks[_Row],Tasks[_Pred1UID],Tasks[[#This Row],[UID]]),_xlfn.MAXIFS(Tasks[_Row],Tasks[_Pred2UID],Tasks[[#This Row],[UID]]),_xlfn.MAXIFS(Tasks[_Row],Tasks[_Pred3UID],Tasks[[#This Row],[UID]]),_xlfn.MAXIFS(Tasks[_Row],Tasks[_Pred4UID],Tasks[[#This Row],[UID]])))</f>
        <v>0</v>
      </c>
      <c r="FA8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5" s="91" t="str">
        <f aca="false">IF(NOT(Tasks[[#This Row],[_IsLeaf]]=1),"",IF(N(Tasks[[#This Row],[_Days]])&lt;=0,Tasks[[#This Row],[_LeafLateFinish]],WORKDAY.INTL(Tasks[[#This Row],[_LeafLateFinish]],-(Tasks[[#This Row],[_Days]]-1),WorkWeek,Holidays)))</f>
        <v/>
      </c>
      <c r="FD8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5" s="90" t="b">
        <f aca="false">AND(Tasks[[#This Row],[_IsLeaf]]=1,Tasks[[#This Row],[_LeafProgress]]&lt;1,N(Tasks[[#This Row],[_LeafTotalSlack]])&lt;=CriticalSlackDays)</f>
        <v>0</v>
      </c>
      <c r="FF85" s="43" t="n">
        <f aca="false">IF(AND(Tasks[[#This Row],[_IsLeaf]]=1,Tasks[[#This Row],[_ConstraintCode]]=1,Tasks[[#This Row],[Mode]]&lt;&gt;"Manual",N(Tasks[[#This Row],[Actual Start]])=0),MAX(0,N(Tasks[[#This Row],[Free Slack]])),0)</f>
        <v>0</v>
      </c>
      <c r="FG85" s="91" t="str">
        <f aca="false">IF(NOT(Tasks[[#This Row],[_IsLeaf]]=1),"",IF(Tasks[[#This Row],[_AlapShift]]=0,Tasks[[#This Row],[_LeafCalcStart]],WORKDAY.INTL(Tasks[[#This Row],[_LeafCalcStart]],Tasks[[#This Row],[_AlapShift]],WorkWeek,Holidays)))</f>
        <v/>
      </c>
      <c r="FH85" s="91" t="str">
        <f aca="false">IF(NOT(Tasks[[#This Row],[_IsLeaf]]=1),"",IF(Tasks[[#This Row],[_AlapShift]]=0,Tasks[[#This Row],[_LeafCalcFinish]],WORKDAY.INTL(Tasks[[#This Row],[_LeafCalcFinish]],Tasks[[#This Row],[_AlapShift]],WorkWeek,Holidays)))</f>
        <v/>
      </c>
      <c r="FI85" s="91" t="str">
        <f aca="false">IF(NOT(Tasks[[#This Row],[_IsLeaf]]=1),"",IF(Tasks[[#This Row],[_AlapShift]]=0,Tasks[[#This Row],[_LeafFcstStart]],WORKDAY.INTL(Tasks[[#This Row],[_LeafFcstStart]],Tasks[[#This Row],[_AlapShift]],WorkWeek,Holidays)))</f>
        <v/>
      </c>
      <c r="FJ85" s="91" t="str">
        <f aca="false">IF(NOT(Tasks[[#This Row],[_IsLeaf]]=1),"",IF(Tasks[[#This Row],[_AlapShift]]=0,Tasks[[#This Row],[_LeafFcstFinish]],WORKDAY.INTL(Tasks[[#This Row],[_LeafFcstFinish]],Tasks[[#This Row],[_AlapShift]],WorkWeek,Holidays)))</f>
        <v/>
      </c>
      <c r="FK85" s="91" t="str">
        <f aca="false">IF(Tasks[[#This Row],[Task Name]]="","",IF(Tasks[[#This Row],[_IsSummary]],MIN(INDEX(Tasks[_ShownCalcStart],Tasks[[#This Row],[_Row]]+1):INDEX(Tasks[_ShownCalcStart],Tasks[[#This Row],[_Row]]+Tasks[[#This Row],[_Descendants]])),Tasks[[#This Row],[_ShownCalcStart]]))</f>
        <v/>
      </c>
      <c r="FL85" s="91" t="str">
        <f aca="false">IF(Tasks[[#This Row],[Task Name]]="","",IF(Tasks[[#This Row],[_IsSummary]],MAX(INDEX(Tasks[_ShownCalcFinish],Tasks[[#This Row],[_Row]]+1):INDEX(Tasks[_ShownCalcFinish],Tasks[[#This Row],[_Row]]+Tasks[[#This Row],[_Descendants]])),Tasks[[#This Row],[_ShownCalcFinish]]))</f>
        <v/>
      </c>
      <c r="FM8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5" s="43" t="n">
        <f aca="false">IF(AND(Tasks[[#This Row],[_IsLeaf]]=1,Tasks[[#This Row],[_LeafTotalWork]]&gt;0),NETWORKDAYS.INTL(ProjectStart,Tasks[[#This Row],[_ShownFcstStart]],WorkWeek,Holidays),0)</f>
        <v>0</v>
      </c>
      <c r="FZ85" s="43" t="n">
        <f aca="false">IF(AND(Tasks[[#This Row],[_IsLeaf]]=1,Tasks[[#This Row],[_LeafTotalWork]]&gt;0),MAX(Tasks[[#This Row],[_StartWorkday]],NETWORKDAYS.INTL(ProjectStart,Tasks[[#This Row],[_ShownFcstFinish]],WorkWeek,Holidays)),0)</f>
        <v>0</v>
      </c>
      <c r="GA85" s="43" t="n">
        <f aca="false">IF(AND(Tasks[[#This Row],[_IsLeaf]]=1,Tasks[[#This Row],[_LeafTotalWork]]&gt;0),Tasks[[#This Row],[_LeafWork]]/(Tasks[[#This Row],[_FinishWorkday]]-Tasks[[#This Row],[_StartWorkday]]+1),0)</f>
        <v>0</v>
      </c>
      <c r="GB85" s="43" t="n">
        <f aca="false">Tasks[[#This Row],[_WorkPerWorkday]]*(Tasks[[#This Row],[_StartWorkday]]-1)</f>
        <v>-0</v>
      </c>
      <c r="GC85" s="43" t="n">
        <f aca="false">IF(Tasks[[#This Row],[_IsLeaf]]=1,MAX(N(Tasks[[#This Row],[_Days]]),0.1),0)</f>
        <v>0</v>
      </c>
      <c r="GD85" s="43" t="n">
        <f aca="false">Tasks[[#This Row],[_WeightDur]]*Tasks[[#This Row],[_LeafProgress]]</f>
        <v>0</v>
      </c>
      <c r="GE85" s="43" t="n">
        <f aca="false">Tasks[[#This Row],[_WeightDur]]*Tasks[[#This Row],[_PlannedPct]]</f>
        <v>0</v>
      </c>
      <c r="GF8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5" s="43" t="str">
        <f aca="false">IF(AND(Tasks[[#This Row],[_IsLeaf]]=1,N(Tasks[[#This Row],[_Days]])=0,Tasks[[#This Row],[_LeafProgress]]&lt;1),Tasks[[#This Row],[_ShownFcstFinish]]+Tasks[[#This Row],[_Row]]/100000,"")</f>
        <v/>
      </c>
      <c r="GH8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5" s="43" t="str">
        <f aca="false">IF(Tasks[[#This Row],[Task Name]]="","",LEFT(Tasks[[#This Row],[WBS]],FIND(".",Tasks[[#This Row],[WBS]]&amp;".")-1))</f>
        <v/>
      </c>
      <c r="GJ85" s="43" t="str">
        <f aca="false">IF(AND(Tasks[[#This Row],[Task Name]]&lt;&gt;"",Tasks[[#This Row],[_Level]]=1),Tasks[[#This Row],[_Row]],"")</f>
        <v/>
      </c>
      <c r="GK85" s="43" t="str">
        <f aca="false">IF(AND(Tasks[[#This Row],[_IsLeaf]]=1,N(Tasks[[#This Row],[_Days]])=0),Tasks[[#This Row],[Planned Finish]]+Tasks[[#This Row],[_Row]]/100000,"")</f>
        <v/>
      </c>
      <c r="GL85" s="43" t="str">
        <f aca="false">IF(AND(Tasks[[#This Row],[_IsLeaf]]=1,Tasks[[#This Row],[_LeafProgress]]&lt;1,OR(N(Tasks[[#This Row],[Finish Var]])&gt;0,Tasks[[#This Row],[Status]]="Late Start")),MAX(0,Tasks[[#This Row],[Finish Var]])+1-Tasks[[#This Row],[_Row]]/1000000,"")</f>
        <v/>
      </c>
      <c r="GM85" s="43" t="str">
        <f aca="false">IF(AND(Tasks[[#This Row],[_IsLeaf]]=1,N(Tasks[[#This Row],[Actual Start]])=0,Tasks[[#This Row],[_ShownFcstStart]]&gt;=StatusDate,Tasks[[#This Row],[_ShownFcstStart]]&lt;=LookaheadEnd),Tasks[[#This Row],[_ShownFcstStart]]+Tasks[[#This Row],[_Row]]/100000,"")</f>
        <v/>
      </c>
      <c r="GN85" s="43" t="str">
        <f aca="false">IF(AND(Tasks[[#This Row],[_IsLeaf]]=1,Tasks[[#This Row],[_LeafProgress]]&lt;1,Tasks[[#This Row],[_ShownFcstFinish]]&gt;=StatusDate,Tasks[[#This Row],[_ShownFcstFinish]]&lt;=LookaheadEnd),Tasks[[#This Row],[_ShownFcstFinish]]+Tasks[[#This Row],[_Row]]/100000,"")</f>
        <v/>
      </c>
      <c r="GO85" s="43" t="str">
        <f aca="false">IF(Tasks[[#This Row],[_LeafCritical]],Tasks[[#This Row],[_ShownFcstStart]]+Tasks[[#This Row],[_Row]]/100000,"")</f>
        <v/>
      </c>
      <c r="GP85" s="43" t="n">
        <f aca="false">Tasks[[#This Row],[_LeafWork]]*Tasks[[#This Row],[_LeafProgress]]</f>
        <v>0</v>
      </c>
      <c r="GQ85" s="91" t="str">
        <f aca="false">IF(AND(Tasks[[#This Row],[_IsLeaf]]=1,Tasks[[#This Row],[_LeafProgress]]&gt;=1),IF(N(Tasks[[#This Row],[Actual Finish]])&gt;0,Tasks[[#This Row],[Actual Finish]],Tasks[[#This Row],[_ShownFcstFinish]]),"")</f>
        <v/>
      </c>
      <c r="GR85" s="43" t="n">
        <f aca="false">IF(Tasks[[#This Row],[_IsLeaf]]=1,N(Tasks[[#This Row],[Story Points]]),0)</f>
        <v>0</v>
      </c>
      <c r="GS85" s="43" t="str">
        <f aca="false">""</f>
        <v/>
      </c>
      <c r="GT85" s="90" t="b">
        <f aca="false">IF(Tasks[[#This Row],[Task Name]]="",FALSE(),AND(Tasks[[#This Row],[_IsLeaf]]=1,N(Tasks[[#This Row],[_Days]])=0))</f>
        <v>0</v>
      </c>
      <c r="GU85" s="91" t="n">
        <f aca="false">IF(Tasks[[#This Row],[Task Name]]="",0,IF(AND(Tasks[[#This Row],[_IsLeaf]]=1,NOT(Tasks[[#This Row],[_IsMilestone]]),N(Tasks[[#This Row],[Progress]])&gt;0),Tasks[[#This Row],[Start]],0))</f>
        <v>0</v>
      </c>
      <c r="GV85" s="91" t="n">
        <f aca="false">IF(Tasks[[#This Row],[_DoneFrom]]=0,0,IF(Tasks[[#This Row],[Progress]]&gt;=1,Tasks[[#This Row],[Finish]],MAX(Tasks[[#This Row],[_DoneFrom]],Tasks[[#This Row],[Start]]+ROUND((Tasks[[#This Row],[Finish]]-Tasks[[#This Row],[Start]]+1)*Tasks[[#This Row],[Progress]],0)-1)))</f>
        <v>0</v>
      </c>
      <c r="GW85" s="91" t="n">
        <f aca="false">IF(Tasks[[#This Row],[Task Name]]="",0,IF(OR(NOT(Tasks[[#This Row],[_IsLeaf]]=1),Tasks[[#This Row],[_IsMilestone]],N(Tasks[[#This Row],[Progress]])&gt;=1),0,IF(Tasks[[#This Row],[_DoneTo]]&gt;0,Tasks[[#This Row],[_DoneTo]]+1,Tasks[[#This Row],[Start]])))</f>
        <v>0</v>
      </c>
      <c r="GX85" s="91" t="n">
        <f aca="false">IF(Tasks[[#This Row],[_RemFrom]]=0,0,Tasks[[#This Row],[Finish]])</f>
        <v>0</v>
      </c>
      <c r="GY85" s="90" t="b">
        <f aca="false">IF(Tasks[[#This Row],[Task Name]]="",FALSE(),OR(NOT(BaselineSet),N(Tasks[[#This Row],[Baseline Start]])&gt;0))</f>
        <v>0</v>
      </c>
      <c r="GZ8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5" s="92" t="str">
        <f aca="false">IF(Tasks[[#This Row],[_IsLeaf]]=1,Tasks[[#This Row],[_Row]],"")</f>
        <v/>
      </c>
      <c r="HD85" s="92" t="str">
        <f aca="false">IFERROR(INDEX(Tasks[UID],SMALL(Tasks[_PickKey],Tasks[[#This Row],[_Row]]))&amp;" "&amp;INDEX(Tasks[Task Name],SMALL(Tasks[_PickKey],Tasks[[#This Row],[_Row]])),"")</f>
        <v/>
      </c>
      <c r="HE85" s="43" t="str">
        <f aca="false">IF(Tasks[[#This Row],[Task Name]]="","",IF(Tasks[[#This Row],[_IsSummary]],NETWORKDAYS.INTL(Tasks[[#This Row],[Start]],Tasks[[#This Row],[Finish]],WorkWeek,Holidays),N(Tasks[[#This Row],[_Days]])))</f>
        <v/>
      </c>
      <c r="HF85" s="43" t="n">
        <f aca="false">IF(Tasks[[#This Row],[Expected]]="",0,((Tasks[[#This Row],[Pessimistic]]-Tasks[[#This Row],[Optimistic]])/6)^2)</f>
        <v>0</v>
      </c>
      <c r="HG85" s="43" t="n">
        <f aca="false">IF(Tasks[[#This Row],[Expected]]="",0,Tasks[[#This Row],[Expected]]-N(Tasks[[#This Row],[_Days]]))</f>
        <v>0</v>
      </c>
    </row>
    <row r="86" customFormat="false" ht="15" hidden="false" customHeight="false" outlineLevel="0" collapsed="false">
      <c r="A86" s="21" t="str">
        <f aca="false">IF(Tasks[[#This Row],[Task Name]]="","",COUNTA(Tasks[[#Headers],[Task Name]]:Tasks[[#This Row],[Task Name]])-1)</f>
        <v/>
      </c>
      <c r="B86" s="22" t="n">
        <v>94</v>
      </c>
      <c r="C86" s="22"/>
      <c r="D86" s="23"/>
      <c r="E86" s="22"/>
      <c r="F86" s="23"/>
      <c r="G86" s="22"/>
      <c r="H86" s="22"/>
      <c r="I86" s="23"/>
      <c r="J86" s="22"/>
      <c r="K86" s="22"/>
      <c r="L86" s="23"/>
      <c r="M86" s="22"/>
      <c r="N86" s="22"/>
      <c r="O86" s="23"/>
      <c r="P86" s="22"/>
      <c r="Q86" s="22"/>
      <c r="R86" s="23"/>
      <c r="S86" s="23"/>
      <c r="T86" s="84"/>
      <c r="U86" s="23"/>
      <c r="V86" s="84"/>
      <c r="W86" s="23"/>
      <c r="X86" s="84"/>
      <c r="Y86" s="23"/>
      <c r="Z86" s="84"/>
      <c r="AA86" s="23"/>
      <c r="AB86" s="23"/>
      <c r="AC86" s="7"/>
      <c r="AD86" s="7"/>
      <c r="AE86" s="63" t="str">
        <f aca="false">IF(Tasks[[#This Row],[Task Name]]="","",IF(Tasks[[#This Row],[_IsSummary]],MIN(INDEX(Tasks[_ShownFcstStart],Tasks[[#This Row],[_Row]]+1):INDEX(Tasks[_ShownFcstStart],Tasks[[#This Row],[_Row]]+Tasks[[#This Row],[_Descendants]])),Tasks[[#This Row],[_ShownFcstStart]]))</f>
        <v/>
      </c>
      <c r="AF86" s="63" t="str">
        <f aca="false">IF(Tasks[[#This Row],[Task Name]]="","",IF(Tasks[[#This Row],[_IsSummary]],MAX(INDEX(Tasks[_ShownFcstFinish],Tasks[[#This Row],[_Row]]+1):INDEX(Tasks[_ShownFcstFinish],Tasks[[#This Row],[_Row]]+Tasks[[#This Row],[_Descendants]])),Tasks[[#This Row],[_ShownFcstFinish]]))</f>
        <v/>
      </c>
      <c r="AG86" s="21" t="str">
        <f aca="false">""</f>
        <v/>
      </c>
      <c r="AH86" s="23"/>
      <c r="AI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6" s="7"/>
      <c r="AK86" s="22"/>
      <c r="AL86" s="23"/>
      <c r="AM86" s="7"/>
      <c r="AN86" s="47" t="str">
        <f aca="false">IF(Tasks[[#This Row],[Task Name]]="","",IF(Tasks[[#This Row],[Finish]]&gt;=Tasks[[#This Row],[Planned Finish]],NETWORKDAYS.INTL(Tasks[[#This Row],[Planned Finish]],Tasks[[#This Row],[Finish]],WorkWeek,Holidays)-1,1-NETWORKDAYS.INTL(Tasks[[#This Row],[Finish]],Tasks[[#This Row],[Planned Finish]],WorkWeek,Holidays)))</f>
        <v/>
      </c>
      <c r="AO86" s="21" t="str">
        <f aca="false">IF(Tasks[[#This Row],[Task Name]]="","",IF(Tasks[[#This Row],[Progress]]&gt;=1,"Complete",IF(OR(N(Tasks[[#This Row],[Actual Start]])&gt;0,Tasks[[#This Row],[Progress]]&gt;0),IF(Tasks[[#This Row],[Finish Var]]&gt;0,"Behind","In Progress"),IF(Tasks[[#This Row],[Planned Start]]&lt;StatusDate,"Late Start","Not Started"))))</f>
        <v/>
      </c>
      <c r="AP86" s="21" t="str">
        <f aca="false">IF(Tasks[[#This Row],[Task Name]]="","",IF(IF(Tasks[[#This Row],[_IsSummary]],COUNTIF(INDEX(Tasks[_LeafCritical],Tasks[[#This Row],[_Row]]+1):INDEX(Tasks[_LeafCritical],Tasks[[#This Row],[_Row]]+Tasks[[#This Row],[_Descendants]]),TRUE())&gt;0,Tasks[[#This Row],[_LeafCritical]]),"Yes",""))</f>
        <v/>
      </c>
      <c r="AQ86" s="63" t="str">
        <f aca="false">IF(Tasks[[#This Row],[Task Name]]="","",IF(N(Tasks[[#This Row],[Baseline Start]])&gt;0,Tasks[[#This Row],[Baseline Start]],Tasks[[#This Row],[_CalcStart]]))</f>
        <v/>
      </c>
      <c r="AR86" s="63" t="str">
        <f aca="false">IF(Tasks[[#This Row],[Task Name]]="","",IF(N(Tasks[[#This Row],[Baseline Finish]])&gt;0,Tasks[[#This Row],[Baseline Finish]],Tasks[[#This Row],[_CalcFinish]]))</f>
        <v/>
      </c>
      <c r="AS86" s="47" t="str">
        <f aca="false">IF(Tasks[[#This Row],[Task Name]]="","",IF(Tasks[[#This Row],[Start]]&gt;=Tasks[[#This Row],[Planned Start]],NETWORKDAYS.INTL(Tasks[[#This Row],[Planned Start]],Tasks[[#This Row],[Start]],WorkWeek,Holidays)-1,1-NETWORKDAYS.INTL(Tasks[[#This Row],[Start]],Tasks[[#This Row],[Planned Start]],WorkWeek,Holidays)))</f>
        <v/>
      </c>
      <c r="AT86" s="63" t="str">
        <f aca="false">IF(Tasks[[#This Row],[Task Name]]="","",IF(Tasks[[#This Row],[_IsSummary]],MIN(INDEX(Tasks[_LeafLateStart],Tasks[[#This Row],[_Row]]+1):INDEX(Tasks[_LeafLateStart],Tasks[[#This Row],[_Row]]+Tasks[[#This Row],[_Descendants]])),Tasks[[#This Row],[_LeafLateStart]]))</f>
        <v/>
      </c>
      <c r="AU86" s="63" t="str">
        <f aca="false">IF(Tasks[[#This Row],[Task Name]]="","",IF(Tasks[[#This Row],[_IsSummary]],MAX(INDEX(Tasks[_LeafLateFinish],Tasks[[#This Row],[_Row]]+1):INDEX(Tasks[_LeafLateFinish],Tasks[[#This Row],[_Row]]+Tasks[[#This Row],[_Descendants]])),Tasks[[#This Row],[_LeafLateFinish]]))</f>
        <v/>
      </c>
      <c r="AV86" s="47" t="str">
        <f aca="false">IF(Tasks[[#This Row],[Task Name]]="","",IF(Tasks[[#This Row],[_IsSummary]],MIN(INDEX(Tasks[_LeafTotalSlack],Tasks[[#This Row],[_Row]]+1):INDEX(Tasks[_LeafTotalSlack],Tasks[[#This Row],[_Row]]+Tasks[[#This Row],[_Descendants]])),Tasks[[#This Row],[_LeafTotalSlack]]))</f>
        <v/>
      </c>
      <c r="AW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5"/>
      <c r="BA8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1" t="str">
        <f aca="false">IF(Tasks[[#This Row],[Task Name]]="","",IF(Tasks[[#This Row],[_Level]]&lt;=OutlineShowLevel,"Yes","No"))</f>
        <v/>
      </c>
      <c r="BE86" s="86" t="str">
        <f aca="false">IF(Tasks[[#This Row],[Task Name]]="","",IF(Tasks[[#This Row],[_IsSummary]],SUM(INDEX(Tasks[_LeafTotalWork],Tasks[[#This Row],[_Row]]+1):INDEX(Tasks[_LeafTotalWork],Tasks[[#This Row],[_Row]]+Tasks[[#This Row],[_Descendants]])),Tasks[[#This Row],[_LeafTotalWork]]))</f>
        <v/>
      </c>
      <c r="BF86" s="23"/>
      <c r="BG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6" s="21" t="str">
        <f aca="false">""</f>
        <v/>
      </c>
      <c r="BI86" s="87"/>
      <c r="BJ86" s="22"/>
      <c r="BK86" s="47" t="str">
        <f aca="false">IF(OR(Tasks[[#This Row],[Task Name]]="",Tasks[[#This Row],[Baseline Duration]]=""),"",Tasks[[#This Row],[_SpanDays]]-N(Tasks[[#This Row],[Baseline Duration]]))</f>
        <v/>
      </c>
      <c r="BL86" s="86" t="str">
        <f aca="false">IF(OR(Tasks[[#This Row],[Task Name]]="",Tasks[[#This Row],[Baseline Work]]=""),"",Tasks[[#This Row],[Work]]-N(Tasks[[#This Row],[Baseline Work]]))</f>
        <v/>
      </c>
      <c r="BM86" s="63" t="str">
        <f aca="false">IF(Tasks[[#This Row],[Task Name]]="","",IF(OR(TakeBaseline="Yes",N(Tasks[[#This Row],[Baseline Start]])=0),Tasks[[#This Row],[Start]],Tasks[[#This Row],[Baseline Start]]))</f>
        <v/>
      </c>
      <c r="BN86" s="63" t="str">
        <f aca="false">IF(Tasks[[#This Row],[Task Name]]="","",IF(OR(TakeBaseline="Yes",N(Tasks[[#This Row],[Baseline Finish]])=0),Tasks[[#This Row],[Finish]],Tasks[[#This Row],[Baseline Finish]]))</f>
        <v/>
      </c>
      <c r="BO86" s="21" t="str">
        <f aca="false">IF(Tasks[[#This Row],[Task Name]]="","",IF(OR(TakeBaseline="Yes",N(Tasks[[#This Row],[Baseline Duration]])=0),Tasks[[#This Row],[_SpanDays]],Tasks[[#This Row],[Baseline Duration]]))</f>
        <v/>
      </c>
      <c r="BP86" s="86" t="str">
        <f aca="false">IF(Tasks[[#This Row],[Task Name]]="","",IF(OR(TakeBaseline="Yes",N(Tasks[[#This Row],[Baseline Work]])=0),Tasks[[#This Row],[Work]],Tasks[[#This Row],[Baseline Work]]))</f>
        <v/>
      </c>
      <c r="BQ86" s="7"/>
      <c r="BR86" s="7"/>
      <c r="BS86" s="22"/>
      <c r="BT86" s="88"/>
      <c r="BU86" s="23"/>
      <c r="BV86" s="23"/>
      <c r="BW86" s="23"/>
      <c r="BX86" s="89" t="str">
        <f aca="false">IF(AND(Tasks[[#This Row],[_IsLeaf]]=1,ISNUMBER(Tasks[[#This Row],[Optimistic]]),ISNUMBER(Tasks[[#This Row],[Pessimistic]])),ROUND((Tasks[[#This Row],[Optimistic]]+4*N(Tasks[[#This Row],[_Days]])+Tasks[[#This Row],[Pessimistic]])/6,1),"")</f>
        <v/>
      </c>
      <c r="BY86" s="87"/>
      <c r="BZ86" s="87"/>
      <c r="CA86" s="22"/>
      <c r="CB86" s="43" t="str">
        <f aca="false">IF(Tasks[[#This Row],[Task Name]]="","",MAX(1,N(Tasks[[#This Row],[Level]])))</f>
        <v/>
      </c>
      <c r="CC86" s="43" t="n">
        <f aca="false">ROW()-ROW(Tasks[[#Headers],[ID]])</f>
        <v>81</v>
      </c>
      <c r="CD86" s="43" t="n">
        <f aca="false">IF(OR(Tasks[[#This Row],[Task Name]]="",Tasks[[#This Row],[_Level]]&lt;=1),0,IFERROR(LOOKUP(2,1/(Tasks[[#Headers],[_Level]]:Tasks[[#This Row],[_Level]]=Tasks[[#This Row],[_Level]]-1),ROW(Tasks[[#Headers],[_Level]]:Tasks[[#This Row],[_Level]])),0))</f>
        <v>0</v>
      </c>
      <c r="CE86" s="43" t="n">
        <f aca="false">IFERROR(N(INDEX(Tasks[_Level],Tasks[[#This Row],[_Row]]+1)),0)</f>
        <v>0</v>
      </c>
      <c r="CF86" s="90" t="b">
        <f aca="false">AND(Tasks[[#This Row],[Task Name]]&lt;&gt;"",Tasks[[#This Row],[_NextLevel]]&gt;Tasks[[#This Row],[_Level]])</f>
        <v>0</v>
      </c>
      <c r="CG86" s="43" t="n">
        <f aca="false">IF(Tasks[[#This Row],[_IsSummary]],COUNTIF(Tasks[WBS],Tasks[[#This Row],[WBS]]&amp;".*"),0)</f>
        <v>0</v>
      </c>
      <c r="CH86" s="43" t="n">
        <f aca="false">IF(AND(Tasks[[#This Row],[Task Name]]&lt;&gt;"",NOT(Tasks[[#This Row],[_IsSummary]])),1,0)</f>
        <v>0</v>
      </c>
      <c r="CI86" s="43" t="n">
        <f aca="false">IF(N(Tasks[[#This Row],[_Pred1UID]])=0,0,IFERROR(MATCH(Tasks[[#This Row],[_Pred1UID]],Tasks[UID],0),-1))</f>
        <v>0</v>
      </c>
      <c r="CJ86" s="43" t="n">
        <f aca="false">IF(N(Tasks[[#This Row],[_Pred2UID]])=0,0,IFERROR(MATCH(Tasks[[#This Row],[_Pred2UID]],Tasks[UID],0),-1))</f>
        <v>0</v>
      </c>
      <c r="CK86" s="43" t="n">
        <f aca="false">IF(N(Tasks[[#This Row],[_Pred3UID]])=0,0,IFERROR(MATCH(Tasks[[#This Row],[_Pred3UID]],Tasks[UID],0),-1))</f>
        <v>0</v>
      </c>
      <c r="CL86" s="43" t="n">
        <f aca="false">IF(N(Tasks[[#This Row],[_Pred4UID]])=0,0,IFERROR(MATCH(Tasks[[#This Row],[_Pred4UID]],Tasks[UID],0),-1))</f>
        <v>0</v>
      </c>
      <c r="CM8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6" s="91" t="n">
        <f aca="false">IF(OR(Tasks[[#This Row],[_ConstraintCode]]=2,Tasks[[#This Row],[_ConstraintCode]]=3,Tasks[[#This Row],[_ConstraintCode]]=4,Tasks[[#This Row],[_ConstraintCode]]=6),Tasks[[#This Row],[_ConstraintStart]],0)</f>
        <v>0</v>
      </c>
      <c r="CP86" s="91" t="n">
        <f aca="false">IF(OR(Tasks[[#This Row],[_ConstraintCode]]=2,Tasks[[#This Row],[_ConstraintCode]]=3,Tasks[[#This Row],[_ConstraintCode]]=5,Tasks[[#This Row],[_ConstraintCode]]=7),Tasks[[#This Row],[_ConstraintStart]],2958465)</f>
        <v>2958465</v>
      </c>
      <c r="CQ8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6" s="91" t="str">
        <f aca="false">IF(NOT(Tasks[[#This Row],[_IsLeaf]]=1),"",IF(N(Tasks[[#This Row],[_Days]])&lt;=0,Tasks[[#This Row],[_LeafCalcStart]],WORKDAY.INTL(Tasks[[#This Row],[_LeafCalcStart]],Tasks[[#This Row],[_Days]]-1,WorkWeek,Holidays)))</f>
        <v/>
      </c>
      <c r="CS8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6" s="43" t="str">
        <f aca="false">IF(Tasks[[#This Row],[_Predecessors]]="","",TRIM(MID(SUBSTITUTE(SUBSTITUTE(SUBSTITUTE(UPPER(Tasks[[#This Row],[_Predecessors]]),";",",")," ",""),",",REPT(" ",99)),1,99)))</f>
        <v/>
      </c>
      <c r="CV86" s="43" t="str">
        <f aca="false">IF(Tasks[[#This Row],[_Pred1Text]]="","",IFERROR(VALUE(LEFT(Tasks[[#This Row],[_Pred1Text]],MIN(FIND("F",Tasks[[#This Row],[_Pred1Text]]&amp;"F"),FIND("S",Tasks[[#This Row],[_Pred1Text]]&amp;"S"),FIND("+",Tasks[[#This Row],[_Pred1Text]]&amp;"+"),FIND("-",Tasks[[#This Row],[_Pred1Text]]&amp;"-"))-1)),""))</f>
        <v/>
      </c>
      <c r="CW8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6" s="43" t="str">
        <f aca="false">IF(Tasks[[#This Row],[_Pred1Text]]="","",TRIM(MID(SUBSTITUTE(SUBSTITUTE(SUBSTITUTE(UPPER(Tasks[[#This Row],[_Predecessors]]),";",",")," ",""),",",REPT(" ",99)),100,99)))</f>
        <v/>
      </c>
      <c r="CZ86" s="43" t="str">
        <f aca="false">IF(Tasks[[#This Row],[_Pred2Text]]="","",IFERROR(VALUE(LEFT(Tasks[[#This Row],[_Pred2Text]],MIN(FIND("F",Tasks[[#This Row],[_Pred2Text]]&amp;"F"),FIND("S",Tasks[[#This Row],[_Pred2Text]]&amp;"S"),FIND("+",Tasks[[#This Row],[_Pred2Text]]&amp;"+"),FIND("-",Tasks[[#This Row],[_Pred2Text]]&amp;"-"))-1)),""))</f>
        <v/>
      </c>
      <c r="DA8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6" s="43" t="str">
        <f aca="false">IF(Tasks[[#This Row],[_Pred2Text]]="","",TRIM(MID(SUBSTITUTE(SUBSTITUTE(SUBSTITUTE(UPPER(Tasks[[#This Row],[_Predecessors]]),";",",")," ",""),",",REPT(" ",99)),199,99)))</f>
        <v/>
      </c>
      <c r="DD86" s="43" t="str">
        <f aca="false">IF(Tasks[[#This Row],[_Pred3Text]]="","",IFERROR(VALUE(LEFT(Tasks[[#This Row],[_Pred3Text]],MIN(FIND("F",Tasks[[#This Row],[_Pred3Text]]&amp;"F"),FIND("S",Tasks[[#This Row],[_Pred3Text]]&amp;"S"),FIND("+",Tasks[[#This Row],[_Pred3Text]]&amp;"+"),FIND("-",Tasks[[#This Row],[_Pred3Text]]&amp;"-"))-1)),""))</f>
        <v/>
      </c>
      <c r="DE8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6" s="43" t="str">
        <f aca="false">IF(Tasks[[#This Row],[_Pred3Text]]="","",TRIM(MID(SUBSTITUTE(SUBSTITUTE(SUBSTITUTE(UPPER(Tasks[[#This Row],[_Predecessors]]),";",",")," ",""),",",REPT(" ",99)),298,99)))</f>
        <v/>
      </c>
      <c r="DH86" s="43" t="str">
        <f aca="false">IF(Tasks[[#This Row],[_Pred4Text]]="","",IFERROR(VALUE(LEFT(Tasks[[#This Row],[_Pred4Text]],MIN(FIND("F",Tasks[[#This Row],[_Pred4Text]]&amp;"F"),FIND("S",Tasks[[#This Row],[_Pred4Text]]&amp;"S"),FIND("+",Tasks[[#This Row],[_Pred4Text]]&amp;"+"),FIND("-",Tasks[[#This Row],[_Pred4Text]]&amp;"-"))-1)),""))</f>
        <v/>
      </c>
      <c r="DI8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6" s="43" t="str">
        <f aca="false">IF(OR(Tasks[[#This Row],[Task Name]]="",Tasks[[#This Row],[_Resources]]=""),"",TRIM(MID(SUBSTITUTE(Tasks[[#This Row],[_Resources]],",",REPT(" ",99)),1,99)))</f>
        <v/>
      </c>
      <c r="DL86" s="43" t="str">
        <f aca="false">IF(Tasks[[#This Row],[_Res1Text]]="","",TRIM(MID(SUBSTITUTE(Tasks[[#This Row],[_Resources]],",",REPT(" ",99)),100,99)))</f>
        <v/>
      </c>
      <c r="DM86" s="43" t="str">
        <f aca="false">IF(Tasks[[#This Row],[_Res2Text]]="","",TRIM(MID(SUBSTITUTE(Tasks[[#This Row],[_Resources]],",",REPT(" ",99)),199,99)))</f>
        <v/>
      </c>
      <c r="DN86" s="43" t="str">
        <f aca="false">IF(Tasks[[#This Row],[_Res3Text]]="","",TRIM(MID(SUBSTITUTE(Tasks[[#This Row],[_Resources]],",",REPT(" ",99)),298,99)))</f>
        <v/>
      </c>
      <c r="DO86" s="43" t="n">
        <f aca="false">IF(Tasks[[#This Row],[_Res1Text]]="",0,IFERROR(MATCH(TRIM(LEFT(Tasks[[#This Row],[_Res1Text]],FIND("[",Tasks[[#This Row],[_Res1Text]]&amp;"[")-1)),res_Name,0),IFERROR(MATCH(TRIM(LEFT(Tasks[[#This Row],[_Res1Text]],FIND("[",Tasks[[#This Row],[_Res1Text]]&amp;"[")-1)),res_Initials,0),0)))</f>
        <v>0</v>
      </c>
      <c r="DP86" s="43" t="n">
        <f aca="false">IF(Tasks[[#This Row],[_Res2Text]]="",0,IFERROR(MATCH(TRIM(LEFT(Tasks[[#This Row],[_Res2Text]],FIND("[",Tasks[[#This Row],[_Res2Text]]&amp;"[")-1)),res_Name,0),IFERROR(MATCH(TRIM(LEFT(Tasks[[#This Row],[_Res2Text]],FIND("[",Tasks[[#This Row],[_Res2Text]]&amp;"[")-1)),res_Initials,0),0)))</f>
        <v>0</v>
      </c>
      <c r="DQ86" s="43" t="n">
        <f aca="false">IF(Tasks[[#This Row],[_Res3Text]]="",0,IFERROR(MATCH(TRIM(LEFT(Tasks[[#This Row],[_Res3Text]],FIND("[",Tasks[[#This Row],[_Res3Text]]&amp;"[")-1)),res_Name,0),IFERROR(MATCH(TRIM(LEFT(Tasks[[#This Row],[_Res3Text]],FIND("[",Tasks[[#This Row],[_Res3Text]]&amp;"[")-1)),res_Initials,0),0)))</f>
        <v>0</v>
      </c>
      <c r="DR86" s="43" t="n">
        <f aca="false">IF(Tasks[[#This Row],[_Res4Text]]="",0,IFERROR(MATCH(TRIM(LEFT(Tasks[[#This Row],[_Res4Text]],FIND("[",Tasks[[#This Row],[_Res4Text]]&amp;"[")-1)),res_Name,0),IFERROR(MATCH(TRIM(LEFT(Tasks[[#This Row],[_Res4Text]],FIND("[",Tasks[[#This Row],[_Res4Text]]&amp;"[")-1)),res_Initials,0),0)))</f>
        <v>0</v>
      </c>
      <c r="DS86" s="43" t="str">
        <f aca="false">IF(Tasks[[#This Row],[_Res1Text]]="","",IF(Tasks[[#This Row],[_Res1Row]]&gt;0,INDEX(res_Name,Tasks[[#This Row],[_Res1Row]]),TRIM(LEFT(Tasks[[#This Row],[_Res1Text]],FIND("[",Tasks[[#This Row],[_Res1Text]]&amp;"[")-1))))</f>
        <v/>
      </c>
      <c r="DT8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6" s="43" t="n">
        <f aca="false">IF(NOT(Tasks[[#This Row],[_IsLeaf]]=1),0,(Tasks[[#This Row],[_Resource1]]&lt;&gt;"")+(Tasks[[#This Row],[_Res2]]&lt;&gt;"")+(Tasks[[#This Row],[_Res3]]&lt;&gt;"")+(Tasks[[#This Row],[_Res4]]&lt;&gt;""))</f>
        <v>0</v>
      </c>
      <c r="DV86" s="43" t="str">
        <f aca="false">IF(Tasks[[#This Row],[_Res2Text]]="","",IF(Tasks[[#This Row],[_Res2Row]]&gt;0,INDEX(res_Name,Tasks[[#This Row],[_Res2Row]]),TRIM(LEFT(Tasks[[#This Row],[_Res2Text]],FIND("[",Tasks[[#This Row],[_Res2Text]]&amp;"[")-1))))</f>
        <v/>
      </c>
      <c r="DW8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6" s="43" t="n">
        <f aca="false">IF(OR(NOT(Tasks[[#This Row],[_IsLeaf]]=1),Tasks[[#This Row],[_Res2Row]]=0),0,N(Tasks[[#This Row],[_Days]])*HoursPerDay*IF(Tasks[[#This Row],[_Res2Units]]="",DefaultUnits,Tasks[[#This Row],[_Res2Units]]))</f>
        <v>0</v>
      </c>
      <c r="DY86" s="43" t="n">
        <f aca="false">IF(AND(AND(Tasks[[#This Row],[_IsLeaf]]=1,Tasks[[#This Row],[_LeafTotalWork]]&gt;0),Tasks[[#This Row],[_Res2Work]]&gt;0),Tasks[[#This Row],[_Res2Work]]/(Tasks[[#This Row],[_FinishWorkday]]-Tasks[[#This Row],[_StartWorkday]]+1),0)</f>
        <v>0</v>
      </c>
      <c r="DZ86" s="43" t="n">
        <f aca="false">Tasks[[#This Row],[_Res2WorkPerWD]]*MAX(0,Tasks[[#This Row],[_StartWorkday]]-1)</f>
        <v>0</v>
      </c>
      <c r="EA86" s="43" t="n">
        <f aca="false">Tasks[[#This Row],[_Res2Work]]*Tasks[[#This Row],[_LeafProgress]]</f>
        <v>0</v>
      </c>
      <c r="EB86" s="43" t="str">
        <f aca="false">IF(Tasks[[#This Row],[_Res3Text]]="","",IF(Tasks[[#This Row],[_Res3Row]]&gt;0,INDEX(res_Name,Tasks[[#This Row],[_Res3Row]]),TRIM(LEFT(Tasks[[#This Row],[_Res3Text]],FIND("[",Tasks[[#This Row],[_Res3Text]]&amp;"[")-1))))</f>
        <v/>
      </c>
      <c r="EC8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6" s="43" t="n">
        <f aca="false">IF(OR(NOT(Tasks[[#This Row],[_IsLeaf]]=1),Tasks[[#This Row],[_Res3Row]]=0),0,N(Tasks[[#This Row],[_Days]])*HoursPerDay*IF(Tasks[[#This Row],[_Res3Units]]="",DefaultUnits,Tasks[[#This Row],[_Res3Units]]))</f>
        <v>0</v>
      </c>
      <c r="EE86" s="43" t="n">
        <f aca="false">IF(AND(AND(Tasks[[#This Row],[_IsLeaf]]=1,Tasks[[#This Row],[_LeafTotalWork]]&gt;0),Tasks[[#This Row],[_Res3Work]]&gt;0),Tasks[[#This Row],[_Res3Work]]/(Tasks[[#This Row],[_FinishWorkday]]-Tasks[[#This Row],[_StartWorkday]]+1),0)</f>
        <v>0</v>
      </c>
      <c r="EF86" s="43" t="n">
        <f aca="false">Tasks[[#This Row],[_Res3WorkPerWD]]*MAX(0,Tasks[[#This Row],[_StartWorkday]]-1)</f>
        <v>0</v>
      </c>
      <c r="EG86" s="43" t="n">
        <f aca="false">Tasks[[#This Row],[_Res3Work]]*Tasks[[#This Row],[_LeafProgress]]</f>
        <v>0</v>
      </c>
      <c r="EH86" s="43" t="str">
        <f aca="false">IF(Tasks[[#This Row],[_Res4Text]]="","",IF(Tasks[[#This Row],[_Res4Row]]&gt;0,INDEX(res_Name,Tasks[[#This Row],[_Res4Row]]),TRIM(LEFT(Tasks[[#This Row],[_Res4Text]],FIND("[",Tasks[[#This Row],[_Res4Text]]&amp;"[")-1))))</f>
        <v/>
      </c>
      <c r="EI8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6" s="43" t="n">
        <f aca="false">IF(OR(NOT(Tasks[[#This Row],[_IsLeaf]]=1),Tasks[[#This Row],[_Res4Row]]=0),0,N(Tasks[[#This Row],[_Days]])*HoursPerDay*IF(Tasks[[#This Row],[_Res4Units]]="",DefaultUnits,Tasks[[#This Row],[_Res4Units]]))</f>
        <v>0</v>
      </c>
      <c r="EK86" s="43" t="n">
        <f aca="false">IF(AND(AND(Tasks[[#This Row],[_IsLeaf]]=1,Tasks[[#This Row],[_LeafTotalWork]]&gt;0),Tasks[[#This Row],[_Res4Work]]&gt;0),Tasks[[#This Row],[_Res4Work]]/(Tasks[[#This Row],[_FinishWorkday]]-Tasks[[#This Row],[_StartWorkday]]+1),0)</f>
        <v>0</v>
      </c>
      <c r="EL86" s="43" t="n">
        <f aca="false">Tasks[[#This Row],[_Res4WorkPerWD]]*MAX(0,Tasks[[#This Row],[_StartWorkday]]-1)</f>
        <v>0</v>
      </c>
      <c r="EM86" s="43" t="n">
        <f aca="false">Tasks[[#This Row],[_Res4Work]]*Tasks[[#This Row],[_LeafProgress]]</f>
        <v>0</v>
      </c>
      <c r="EN86" s="43" t="n">
        <f aca="false">IF(ISNUMBER(Tasks[[#This Row],[% Complete]]),Tasks[[#This Row],[% Complete]],IF(Tasks[[#This Row],[Stage]]="",0,IFERROR(INDEX(stg_Pct,MATCH(Tasks[[#This Row],[Stage]],stg_Name,0)),0)))</f>
        <v>0</v>
      </c>
      <c r="EO86" s="43" t="n">
        <f aca="false">IF(NOT(Tasks[[#This Row],[_IsLeaf]]=1),0,IF(N(Tasks[[#This Row],[Actual Finish]])&gt;0,1,MIN(1,Tasks[[#This Row],[_Pct]])))</f>
        <v>0</v>
      </c>
      <c r="EP86" s="43" t="n">
        <f aca="false">IF(OR(NOT(Tasks[[#This Row],[_IsLeaf]]=1),Tasks[[#This Row],[_Res1Row]]=0),0,N(Tasks[[#This Row],[_Days]])*HoursPerDay*IF(Tasks[[#This Row],[_Units1]]="",DefaultUnits,Tasks[[#This Row],[_Units1]]))</f>
        <v>0</v>
      </c>
      <c r="EQ86" s="43" t="n">
        <f aca="false">Tasks[[#This Row],[_LeafWork]]+Tasks[[#This Row],[_Res2Work]]+Tasks[[#This Row],[_Res3Work]]+Tasks[[#This Row],[_Res4Work]]</f>
        <v>0</v>
      </c>
      <c r="ER8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6" s="43" t="n">
        <f aca="false">IF(NOT(Tasks[[#This Row],[_IsLeaf]]=1),0,MAX(_xlfn.MAXIFS(Tasks[_Row],Tasks[_Pred1UID],Tasks[[#This Row],[UID]]),_xlfn.MAXIFS(Tasks[_Row],Tasks[_Pred2UID],Tasks[[#This Row],[UID]]),_xlfn.MAXIFS(Tasks[_Row],Tasks[_Pred3UID],Tasks[[#This Row],[UID]]),_xlfn.MAXIFS(Tasks[_Row],Tasks[_Pred4UID],Tasks[[#This Row],[UID]])))</f>
        <v>0</v>
      </c>
      <c r="FA8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6" s="91" t="str">
        <f aca="false">IF(NOT(Tasks[[#This Row],[_IsLeaf]]=1),"",IF(N(Tasks[[#This Row],[_Days]])&lt;=0,Tasks[[#This Row],[_LeafLateFinish]],WORKDAY.INTL(Tasks[[#This Row],[_LeafLateFinish]],-(Tasks[[#This Row],[_Days]]-1),WorkWeek,Holidays)))</f>
        <v/>
      </c>
      <c r="FD8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6" s="90" t="b">
        <f aca="false">AND(Tasks[[#This Row],[_IsLeaf]]=1,Tasks[[#This Row],[_LeafProgress]]&lt;1,N(Tasks[[#This Row],[_LeafTotalSlack]])&lt;=CriticalSlackDays)</f>
        <v>0</v>
      </c>
      <c r="FF86" s="43" t="n">
        <f aca="false">IF(AND(Tasks[[#This Row],[_IsLeaf]]=1,Tasks[[#This Row],[_ConstraintCode]]=1,Tasks[[#This Row],[Mode]]&lt;&gt;"Manual",N(Tasks[[#This Row],[Actual Start]])=0),MAX(0,N(Tasks[[#This Row],[Free Slack]])),0)</f>
        <v>0</v>
      </c>
      <c r="FG86" s="91" t="str">
        <f aca="false">IF(NOT(Tasks[[#This Row],[_IsLeaf]]=1),"",IF(Tasks[[#This Row],[_AlapShift]]=0,Tasks[[#This Row],[_LeafCalcStart]],WORKDAY.INTL(Tasks[[#This Row],[_LeafCalcStart]],Tasks[[#This Row],[_AlapShift]],WorkWeek,Holidays)))</f>
        <v/>
      </c>
      <c r="FH86" s="91" t="str">
        <f aca="false">IF(NOT(Tasks[[#This Row],[_IsLeaf]]=1),"",IF(Tasks[[#This Row],[_AlapShift]]=0,Tasks[[#This Row],[_LeafCalcFinish]],WORKDAY.INTL(Tasks[[#This Row],[_LeafCalcFinish]],Tasks[[#This Row],[_AlapShift]],WorkWeek,Holidays)))</f>
        <v/>
      </c>
      <c r="FI86" s="91" t="str">
        <f aca="false">IF(NOT(Tasks[[#This Row],[_IsLeaf]]=1),"",IF(Tasks[[#This Row],[_AlapShift]]=0,Tasks[[#This Row],[_LeafFcstStart]],WORKDAY.INTL(Tasks[[#This Row],[_LeafFcstStart]],Tasks[[#This Row],[_AlapShift]],WorkWeek,Holidays)))</f>
        <v/>
      </c>
      <c r="FJ86" s="91" t="str">
        <f aca="false">IF(NOT(Tasks[[#This Row],[_IsLeaf]]=1),"",IF(Tasks[[#This Row],[_AlapShift]]=0,Tasks[[#This Row],[_LeafFcstFinish]],WORKDAY.INTL(Tasks[[#This Row],[_LeafFcstFinish]],Tasks[[#This Row],[_AlapShift]],WorkWeek,Holidays)))</f>
        <v/>
      </c>
      <c r="FK86" s="91" t="str">
        <f aca="false">IF(Tasks[[#This Row],[Task Name]]="","",IF(Tasks[[#This Row],[_IsSummary]],MIN(INDEX(Tasks[_ShownCalcStart],Tasks[[#This Row],[_Row]]+1):INDEX(Tasks[_ShownCalcStart],Tasks[[#This Row],[_Row]]+Tasks[[#This Row],[_Descendants]])),Tasks[[#This Row],[_ShownCalcStart]]))</f>
        <v/>
      </c>
      <c r="FL86" s="91" t="str">
        <f aca="false">IF(Tasks[[#This Row],[Task Name]]="","",IF(Tasks[[#This Row],[_IsSummary]],MAX(INDEX(Tasks[_ShownCalcFinish],Tasks[[#This Row],[_Row]]+1):INDEX(Tasks[_ShownCalcFinish],Tasks[[#This Row],[_Row]]+Tasks[[#This Row],[_Descendants]])),Tasks[[#This Row],[_ShownCalcFinish]]))</f>
        <v/>
      </c>
      <c r="FM8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6" s="43" t="n">
        <f aca="false">IF(AND(Tasks[[#This Row],[_IsLeaf]]=1,Tasks[[#This Row],[_LeafTotalWork]]&gt;0),NETWORKDAYS.INTL(ProjectStart,Tasks[[#This Row],[_ShownFcstStart]],WorkWeek,Holidays),0)</f>
        <v>0</v>
      </c>
      <c r="FZ86" s="43" t="n">
        <f aca="false">IF(AND(Tasks[[#This Row],[_IsLeaf]]=1,Tasks[[#This Row],[_LeafTotalWork]]&gt;0),MAX(Tasks[[#This Row],[_StartWorkday]],NETWORKDAYS.INTL(ProjectStart,Tasks[[#This Row],[_ShownFcstFinish]],WorkWeek,Holidays)),0)</f>
        <v>0</v>
      </c>
      <c r="GA86" s="43" t="n">
        <f aca="false">IF(AND(Tasks[[#This Row],[_IsLeaf]]=1,Tasks[[#This Row],[_LeafTotalWork]]&gt;0),Tasks[[#This Row],[_LeafWork]]/(Tasks[[#This Row],[_FinishWorkday]]-Tasks[[#This Row],[_StartWorkday]]+1),0)</f>
        <v>0</v>
      </c>
      <c r="GB86" s="43" t="n">
        <f aca="false">Tasks[[#This Row],[_WorkPerWorkday]]*(Tasks[[#This Row],[_StartWorkday]]-1)</f>
        <v>-0</v>
      </c>
      <c r="GC86" s="43" t="n">
        <f aca="false">IF(Tasks[[#This Row],[_IsLeaf]]=1,MAX(N(Tasks[[#This Row],[_Days]]),0.1),0)</f>
        <v>0</v>
      </c>
      <c r="GD86" s="43" t="n">
        <f aca="false">Tasks[[#This Row],[_WeightDur]]*Tasks[[#This Row],[_LeafProgress]]</f>
        <v>0</v>
      </c>
      <c r="GE86" s="43" t="n">
        <f aca="false">Tasks[[#This Row],[_WeightDur]]*Tasks[[#This Row],[_PlannedPct]]</f>
        <v>0</v>
      </c>
      <c r="GF8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6" s="43" t="str">
        <f aca="false">IF(AND(Tasks[[#This Row],[_IsLeaf]]=1,N(Tasks[[#This Row],[_Days]])=0,Tasks[[#This Row],[_LeafProgress]]&lt;1),Tasks[[#This Row],[_ShownFcstFinish]]+Tasks[[#This Row],[_Row]]/100000,"")</f>
        <v/>
      </c>
      <c r="GH8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6" s="43" t="str">
        <f aca="false">IF(Tasks[[#This Row],[Task Name]]="","",LEFT(Tasks[[#This Row],[WBS]],FIND(".",Tasks[[#This Row],[WBS]]&amp;".")-1))</f>
        <v/>
      </c>
      <c r="GJ86" s="43" t="str">
        <f aca="false">IF(AND(Tasks[[#This Row],[Task Name]]&lt;&gt;"",Tasks[[#This Row],[_Level]]=1),Tasks[[#This Row],[_Row]],"")</f>
        <v/>
      </c>
      <c r="GK86" s="43" t="str">
        <f aca="false">IF(AND(Tasks[[#This Row],[_IsLeaf]]=1,N(Tasks[[#This Row],[_Days]])=0),Tasks[[#This Row],[Planned Finish]]+Tasks[[#This Row],[_Row]]/100000,"")</f>
        <v/>
      </c>
      <c r="GL86" s="43" t="str">
        <f aca="false">IF(AND(Tasks[[#This Row],[_IsLeaf]]=1,Tasks[[#This Row],[_LeafProgress]]&lt;1,OR(N(Tasks[[#This Row],[Finish Var]])&gt;0,Tasks[[#This Row],[Status]]="Late Start")),MAX(0,Tasks[[#This Row],[Finish Var]])+1-Tasks[[#This Row],[_Row]]/1000000,"")</f>
        <v/>
      </c>
      <c r="GM86" s="43" t="str">
        <f aca="false">IF(AND(Tasks[[#This Row],[_IsLeaf]]=1,N(Tasks[[#This Row],[Actual Start]])=0,Tasks[[#This Row],[_ShownFcstStart]]&gt;=StatusDate,Tasks[[#This Row],[_ShownFcstStart]]&lt;=LookaheadEnd),Tasks[[#This Row],[_ShownFcstStart]]+Tasks[[#This Row],[_Row]]/100000,"")</f>
        <v/>
      </c>
      <c r="GN86" s="43" t="str">
        <f aca="false">IF(AND(Tasks[[#This Row],[_IsLeaf]]=1,Tasks[[#This Row],[_LeafProgress]]&lt;1,Tasks[[#This Row],[_ShownFcstFinish]]&gt;=StatusDate,Tasks[[#This Row],[_ShownFcstFinish]]&lt;=LookaheadEnd),Tasks[[#This Row],[_ShownFcstFinish]]+Tasks[[#This Row],[_Row]]/100000,"")</f>
        <v/>
      </c>
      <c r="GO86" s="43" t="str">
        <f aca="false">IF(Tasks[[#This Row],[_LeafCritical]],Tasks[[#This Row],[_ShownFcstStart]]+Tasks[[#This Row],[_Row]]/100000,"")</f>
        <v/>
      </c>
      <c r="GP86" s="43" t="n">
        <f aca="false">Tasks[[#This Row],[_LeafWork]]*Tasks[[#This Row],[_LeafProgress]]</f>
        <v>0</v>
      </c>
      <c r="GQ86" s="91" t="str">
        <f aca="false">IF(AND(Tasks[[#This Row],[_IsLeaf]]=1,Tasks[[#This Row],[_LeafProgress]]&gt;=1),IF(N(Tasks[[#This Row],[Actual Finish]])&gt;0,Tasks[[#This Row],[Actual Finish]],Tasks[[#This Row],[_ShownFcstFinish]]),"")</f>
        <v/>
      </c>
      <c r="GR86" s="43" t="n">
        <f aca="false">IF(Tasks[[#This Row],[_IsLeaf]]=1,N(Tasks[[#This Row],[Story Points]]),0)</f>
        <v>0</v>
      </c>
      <c r="GS86" s="43" t="str">
        <f aca="false">""</f>
        <v/>
      </c>
      <c r="GT86" s="90" t="b">
        <f aca="false">IF(Tasks[[#This Row],[Task Name]]="",FALSE(),AND(Tasks[[#This Row],[_IsLeaf]]=1,N(Tasks[[#This Row],[_Days]])=0))</f>
        <v>0</v>
      </c>
      <c r="GU86" s="91" t="n">
        <f aca="false">IF(Tasks[[#This Row],[Task Name]]="",0,IF(AND(Tasks[[#This Row],[_IsLeaf]]=1,NOT(Tasks[[#This Row],[_IsMilestone]]),N(Tasks[[#This Row],[Progress]])&gt;0),Tasks[[#This Row],[Start]],0))</f>
        <v>0</v>
      </c>
      <c r="GV86" s="91" t="n">
        <f aca="false">IF(Tasks[[#This Row],[_DoneFrom]]=0,0,IF(Tasks[[#This Row],[Progress]]&gt;=1,Tasks[[#This Row],[Finish]],MAX(Tasks[[#This Row],[_DoneFrom]],Tasks[[#This Row],[Start]]+ROUND((Tasks[[#This Row],[Finish]]-Tasks[[#This Row],[Start]]+1)*Tasks[[#This Row],[Progress]],0)-1)))</f>
        <v>0</v>
      </c>
      <c r="GW86" s="91" t="n">
        <f aca="false">IF(Tasks[[#This Row],[Task Name]]="",0,IF(OR(NOT(Tasks[[#This Row],[_IsLeaf]]=1),Tasks[[#This Row],[_IsMilestone]],N(Tasks[[#This Row],[Progress]])&gt;=1),0,IF(Tasks[[#This Row],[_DoneTo]]&gt;0,Tasks[[#This Row],[_DoneTo]]+1,Tasks[[#This Row],[Start]])))</f>
        <v>0</v>
      </c>
      <c r="GX86" s="91" t="n">
        <f aca="false">IF(Tasks[[#This Row],[_RemFrom]]=0,0,Tasks[[#This Row],[Finish]])</f>
        <v>0</v>
      </c>
      <c r="GY86" s="90" t="b">
        <f aca="false">IF(Tasks[[#This Row],[Task Name]]="",FALSE(),OR(NOT(BaselineSet),N(Tasks[[#This Row],[Baseline Start]])&gt;0))</f>
        <v>0</v>
      </c>
      <c r="GZ8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6" s="92" t="str">
        <f aca="false">IF(Tasks[[#This Row],[_IsLeaf]]=1,Tasks[[#This Row],[_Row]],"")</f>
        <v/>
      </c>
      <c r="HD86" s="92" t="str">
        <f aca="false">IFERROR(INDEX(Tasks[UID],SMALL(Tasks[_PickKey],Tasks[[#This Row],[_Row]]))&amp;" "&amp;INDEX(Tasks[Task Name],SMALL(Tasks[_PickKey],Tasks[[#This Row],[_Row]])),"")</f>
        <v/>
      </c>
      <c r="HE86" s="43" t="str">
        <f aca="false">IF(Tasks[[#This Row],[Task Name]]="","",IF(Tasks[[#This Row],[_IsSummary]],NETWORKDAYS.INTL(Tasks[[#This Row],[Start]],Tasks[[#This Row],[Finish]],WorkWeek,Holidays),N(Tasks[[#This Row],[_Days]])))</f>
        <v/>
      </c>
      <c r="HF86" s="43" t="n">
        <f aca="false">IF(Tasks[[#This Row],[Expected]]="",0,((Tasks[[#This Row],[Pessimistic]]-Tasks[[#This Row],[Optimistic]])/6)^2)</f>
        <v>0</v>
      </c>
      <c r="HG86" s="43" t="n">
        <f aca="false">IF(Tasks[[#This Row],[Expected]]="",0,Tasks[[#This Row],[Expected]]-N(Tasks[[#This Row],[_Days]]))</f>
        <v>0</v>
      </c>
    </row>
    <row r="87" customFormat="false" ht="15" hidden="false" customHeight="false" outlineLevel="0" collapsed="false">
      <c r="A87" s="21" t="str">
        <f aca="false">IF(Tasks[[#This Row],[Task Name]]="","",COUNTA(Tasks[[#Headers],[Task Name]]:Tasks[[#This Row],[Task Name]])-1)</f>
        <v/>
      </c>
      <c r="B87" s="22" t="n">
        <v>95</v>
      </c>
      <c r="C87" s="22"/>
      <c r="D87" s="23"/>
      <c r="E87" s="22"/>
      <c r="F87" s="23"/>
      <c r="G87" s="22"/>
      <c r="H87" s="22"/>
      <c r="I87" s="23"/>
      <c r="J87" s="22"/>
      <c r="K87" s="22"/>
      <c r="L87" s="23"/>
      <c r="M87" s="22"/>
      <c r="N87" s="22"/>
      <c r="O87" s="23"/>
      <c r="P87" s="22"/>
      <c r="Q87" s="22"/>
      <c r="R87" s="23"/>
      <c r="S87" s="23"/>
      <c r="T87" s="84"/>
      <c r="U87" s="23"/>
      <c r="V87" s="84"/>
      <c r="W87" s="23"/>
      <c r="X87" s="84"/>
      <c r="Y87" s="23"/>
      <c r="Z87" s="84"/>
      <c r="AA87" s="23"/>
      <c r="AB87" s="23"/>
      <c r="AC87" s="7"/>
      <c r="AD87" s="7"/>
      <c r="AE87" s="63" t="str">
        <f aca="false">IF(Tasks[[#This Row],[Task Name]]="","",IF(Tasks[[#This Row],[_IsSummary]],MIN(INDEX(Tasks[_ShownFcstStart],Tasks[[#This Row],[_Row]]+1):INDEX(Tasks[_ShownFcstStart],Tasks[[#This Row],[_Row]]+Tasks[[#This Row],[_Descendants]])),Tasks[[#This Row],[_ShownFcstStart]]))</f>
        <v/>
      </c>
      <c r="AF87" s="63" t="str">
        <f aca="false">IF(Tasks[[#This Row],[Task Name]]="","",IF(Tasks[[#This Row],[_IsSummary]],MAX(INDEX(Tasks[_ShownFcstFinish],Tasks[[#This Row],[_Row]]+1):INDEX(Tasks[_ShownFcstFinish],Tasks[[#This Row],[_Row]]+Tasks[[#This Row],[_Descendants]])),Tasks[[#This Row],[_ShownFcstFinish]]))</f>
        <v/>
      </c>
      <c r="AG87" s="21" t="str">
        <f aca="false">""</f>
        <v/>
      </c>
      <c r="AH87" s="23"/>
      <c r="AI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7" s="7"/>
      <c r="AK87" s="22"/>
      <c r="AL87" s="23"/>
      <c r="AM87" s="7"/>
      <c r="AN87" s="47" t="str">
        <f aca="false">IF(Tasks[[#This Row],[Task Name]]="","",IF(Tasks[[#This Row],[Finish]]&gt;=Tasks[[#This Row],[Planned Finish]],NETWORKDAYS.INTL(Tasks[[#This Row],[Planned Finish]],Tasks[[#This Row],[Finish]],WorkWeek,Holidays)-1,1-NETWORKDAYS.INTL(Tasks[[#This Row],[Finish]],Tasks[[#This Row],[Planned Finish]],WorkWeek,Holidays)))</f>
        <v/>
      </c>
      <c r="AO87" s="21" t="str">
        <f aca="false">IF(Tasks[[#This Row],[Task Name]]="","",IF(Tasks[[#This Row],[Progress]]&gt;=1,"Complete",IF(OR(N(Tasks[[#This Row],[Actual Start]])&gt;0,Tasks[[#This Row],[Progress]]&gt;0),IF(Tasks[[#This Row],[Finish Var]]&gt;0,"Behind","In Progress"),IF(Tasks[[#This Row],[Planned Start]]&lt;StatusDate,"Late Start","Not Started"))))</f>
        <v/>
      </c>
      <c r="AP87" s="21" t="str">
        <f aca="false">IF(Tasks[[#This Row],[Task Name]]="","",IF(IF(Tasks[[#This Row],[_IsSummary]],COUNTIF(INDEX(Tasks[_LeafCritical],Tasks[[#This Row],[_Row]]+1):INDEX(Tasks[_LeafCritical],Tasks[[#This Row],[_Row]]+Tasks[[#This Row],[_Descendants]]),TRUE())&gt;0,Tasks[[#This Row],[_LeafCritical]]),"Yes",""))</f>
        <v/>
      </c>
      <c r="AQ87" s="63" t="str">
        <f aca="false">IF(Tasks[[#This Row],[Task Name]]="","",IF(N(Tasks[[#This Row],[Baseline Start]])&gt;0,Tasks[[#This Row],[Baseline Start]],Tasks[[#This Row],[_CalcStart]]))</f>
        <v/>
      </c>
      <c r="AR87" s="63" t="str">
        <f aca="false">IF(Tasks[[#This Row],[Task Name]]="","",IF(N(Tasks[[#This Row],[Baseline Finish]])&gt;0,Tasks[[#This Row],[Baseline Finish]],Tasks[[#This Row],[_CalcFinish]]))</f>
        <v/>
      </c>
      <c r="AS87" s="47" t="str">
        <f aca="false">IF(Tasks[[#This Row],[Task Name]]="","",IF(Tasks[[#This Row],[Start]]&gt;=Tasks[[#This Row],[Planned Start]],NETWORKDAYS.INTL(Tasks[[#This Row],[Planned Start]],Tasks[[#This Row],[Start]],WorkWeek,Holidays)-1,1-NETWORKDAYS.INTL(Tasks[[#This Row],[Start]],Tasks[[#This Row],[Planned Start]],WorkWeek,Holidays)))</f>
        <v/>
      </c>
      <c r="AT87" s="63" t="str">
        <f aca="false">IF(Tasks[[#This Row],[Task Name]]="","",IF(Tasks[[#This Row],[_IsSummary]],MIN(INDEX(Tasks[_LeafLateStart],Tasks[[#This Row],[_Row]]+1):INDEX(Tasks[_LeafLateStart],Tasks[[#This Row],[_Row]]+Tasks[[#This Row],[_Descendants]])),Tasks[[#This Row],[_LeafLateStart]]))</f>
        <v/>
      </c>
      <c r="AU87" s="63" t="str">
        <f aca="false">IF(Tasks[[#This Row],[Task Name]]="","",IF(Tasks[[#This Row],[_IsSummary]],MAX(INDEX(Tasks[_LeafLateFinish],Tasks[[#This Row],[_Row]]+1):INDEX(Tasks[_LeafLateFinish],Tasks[[#This Row],[_Row]]+Tasks[[#This Row],[_Descendants]])),Tasks[[#This Row],[_LeafLateFinish]]))</f>
        <v/>
      </c>
      <c r="AV87" s="47" t="str">
        <f aca="false">IF(Tasks[[#This Row],[Task Name]]="","",IF(Tasks[[#This Row],[_IsSummary]],MIN(INDEX(Tasks[_LeafTotalSlack],Tasks[[#This Row],[_Row]]+1):INDEX(Tasks[_LeafTotalSlack],Tasks[[#This Row],[_Row]]+Tasks[[#This Row],[_Descendants]])),Tasks[[#This Row],[_LeafTotalSlack]]))</f>
        <v/>
      </c>
      <c r="AW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5"/>
      <c r="BA8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1" t="str">
        <f aca="false">IF(Tasks[[#This Row],[Task Name]]="","",IF(Tasks[[#This Row],[_Level]]&lt;=OutlineShowLevel,"Yes","No"))</f>
        <v/>
      </c>
      <c r="BE87" s="86" t="str">
        <f aca="false">IF(Tasks[[#This Row],[Task Name]]="","",IF(Tasks[[#This Row],[_IsSummary]],SUM(INDEX(Tasks[_LeafTotalWork],Tasks[[#This Row],[_Row]]+1):INDEX(Tasks[_LeafTotalWork],Tasks[[#This Row],[_Row]]+Tasks[[#This Row],[_Descendants]])),Tasks[[#This Row],[_LeafTotalWork]]))</f>
        <v/>
      </c>
      <c r="BF87" s="23"/>
      <c r="BG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7" s="21" t="str">
        <f aca="false">""</f>
        <v/>
      </c>
      <c r="BI87" s="87"/>
      <c r="BJ87" s="22"/>
      <c r="BK87" s="47" t="str">
        <f aca="false">IF(OR(Tasks[[#This Row],[Task Name]]="",Tasks[[#This Row],[Baseline Duration]]=""),"",Tasks[[#This Row],[_SpanDays]]-N(Tasks[[#This Row],[Baseline Duration]]))</f>
        <v/>
      </c>
      <c r="BL87" s="86" t="str">
        <f aca="false">IF(OR(Tasks[[#This Row],[Task Name]]="",Tasks[[#This Row],[Baseline Work]]=""),"",Tasks[[#This Row],[Work]]-N(Tasks[[#This Row],[Baseline Work]]))</f>
        <v/>
      </c>
      <c r="BM87" s="63" t="str">
        <f aca="false">IF(Tasks[[#This Row],[Task Name]]="","",IF(OR(TakeBaseline="Yes",N(Tasks[[#This Row],[Baseline Start]])=0),Tasks[[#This Row],[Start]],Tasks[[#This Row],[Baseline Start]]))</f>
        <v/>
      </c>
      <c r="BN87" s="63" t="str">
        <f aca="false">IF(Tasks[[#This Row],[Task Name]]="","",IF(OR(TakeBaseline="Yes",N(Tasks[[#This Row],[Baseline Finish]])=0),Tasks[[#This Row],[Finish]],Tasks[[#This Row],[Baseline Finish]]))</f>
        <v/>
      </c>
      <c r="BO87" s="21" t="str">
        <f aca="false">IF(Tasks[[#This Row],[Task Name]]="","",IF(OR(TakeBaseline="Yes",N(Tasks[[#This Row],[Baseline Duration]])=0),Tasks[[#This Row],[_SpanDays]],Tasks[[#This Row],[Baseline Duration]]))</f>
        <v/>
      </c>
      <c r="BP87" s="86" t="str">
        <f aca="false">IF(Tasks[[#This Row],[Task Name]]="","",IF(OR(TakeBaseline="Yes",N(Tasks[[#This Row],[Baseline Work]])=0),Tasks[[#This Row],[Work]],Tasks[[#This Row],[Baseline Work]]))</f>
        <v/>
      </c>
      <c r="BQ87" s="7"/>
      <c r="BR87" s="7"/>
      <c r="BS87" s="22"/>
      <c r="BT87" s="88"/>
      <c r="BU87" s="23"/>
      <c r="BV87" s="23"/>
      <c r="BW87" s="23"/>
      <c r="BX87" s="89" t="str">
        <f aca="false">IF(AND(Tasks[[#This Row],[_IsLeaf]]=1,ISNUMBER(Tasks[[#This Row],[Optimistic]]),ISNUMBER(Tasks[[#This Row],[Pessimistic]])),ROUND((Tasks[[#This Row],[Optimistic]]+4*N(Tasks[[#This Row],[_Days]])+Tasks[[#This Row],[Pessimistic]])/6,1),"")</f>
        <v/>
      </c>
      <c r="BY87" s="87"/>
      <c r="BZ87" s="87"/>
      <c r="CA87" s="22"/>
      <c r="CB87" s="43" t="str">
        <f aca="false">IF(Tasks[[#This Row],[Task Name]]="","",MAX(1,N(Tasks[[#This Row],[Level]])))</f>
        <v/>
      </c>
      <c r="CC87" s="43" t="n">
        <f aca="false">ROW()-ROW(Tasks[[#Headers],[ID]])</f>
        <v>82</v>
      </c>
      <c r="CD87" s="43" t="n">
        <f aca="false">IF(OR(Tasks[[#This Row],[Task Name]]="",Tasks[[#This Row],[_Level]]&lt;=1),0,IFERROR(LOOKUP(2,1/(Tasks[[#Headers],[_Level]]:Tasks[[#This Row],[_Level]]=Tasks[[#This Row],[_Level]]-1),ROW(Tasks[[#Headers],[_Level]]:Tasks[[#This Row],[_Level]])),0))</f>
        <v>0</v>
      </c>
      <c r="CE87" s="43" t="n">
        <f aca="false">IFERROR(N(INDEX(Tasks[_Level],Tasks[[#This Row],[_Row]]+1)),0)</f>
        <v>0</v>
      </c>
      <c r="CF87" s="90" t="b">
        <f aca="false">AND(Tasks[[#This Row],[Task Name]]&lt;&gt;"",Tasks[[#This Row],[_NextLevel]]&gt;Tasks[[#This Row],[_Level]])</f>
        <v>0</v>
      </c>
      <c r="CG87" s="43" t="n">
        <f aca="false">IF(Tasks[[#This Row],[_IsSummary]],COUNTIF(Tasks[WBS],Tasks[[#This Row],[WBS]]&amp;".*"),0)</f>
        <v>0</v>
      </c>
      <c r="CH87" s="43" t="n">
        <f aca="false">IF(AND(Tasks[[#This Row],[Task Name]]&lt;&gt;"",NOT(Tasks[[#This Row],[_IsSummary]])),1,0)</f>
        <v>0</v>
      </c>
      <c r="CI87" s="43" t="n">
        <f aca="false">IF(N(Tasks[[#This Row],[_Pred1UID]])=0,0,IFERROR(MATCH(Tasks[[#This Row],[_Pred1UID]],Tasks[UID],0),-1))</f>
        <v>0</v>
      </c>
      <c r="CJ87" s="43" t="n">
        <f aca="false">IF(N(Tasks[[#This Row],[_Pred2UID]])=0,0,IFERROR(MATCH(Tasks[[#This Row],[_Pred2UID]],Tasks[UID],0),-1))</f>
        <v>0</v>
      </c>
      <c r="CK87" s="43" t="n">
        <f aca="false">IF(N(Tasks[[#This Row],[_Pred3UID]])=0,0,IFERROR(MATCH(Tasks[[#This Row],[_Pred3UID]],Tasks[UID],0),-1))</f>
        <v>0</v>
      </c>
      <c r="CL87" s="43" t="n">
        <f aca="false">IF(N(Tasks[[#This Row],[_Pred4UID]])=0,0,IFERROR(MATCH(Tasks[[#This Row],[_Pred4UID]],Tasks[UID],0),-1))</f>
        <v>0</v>
      </c>
      <c r="CM8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7" s="91" t="n">
        <f aca="false">IF(OR(Tasks[[#This Row],[_ConstraintCode]]=2,Tasks[[#This Row],[_ConstraintCode]]=3,Tasks[[#This Row],[_ConstraintCode]]=4,Tasks[[#This Row],[_ConstraintCode]]=6),Tasks[[#This Row],[_ConstraintStart]],0)</f>
        <v>0</v>
      </c>
      <c r="CP87" s="91" t="n">
        <f aca="false">IF(OR(Tasks[[#This Row],[_ConstraintCode]]=2,Tasks[[#This Row],[_ConstraintCode]]=3,Tasks[[#This Row],[_ConstraintCode]]=5,Tasks[[#This Row],[_ConstraintCode]]=7),Tasks[[#This Row],[_ConstraintStart]],2958465)</f>
        <v>2958465</v>
      </c>
      <c r="CQ8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7" s="91" t="str">
        <f aca="false">IF(NOT(Tasks[[#This Row],[_IsLeaf]]=1),"",IF(N(Tasks[[#This Row],[_Days]])&lt;=0,Tasks[[#This Row],[_LeafCalcStart]],WORKDAY.INTL(Tasks[[#This Row],[_LeafCalcStart]],Tasks[[#This Row],[_Days]]-1,WorkWeek,Holidays)))</f>
        <v/>
      </c>
      <c r="CS8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7" s="43" t="str">
        <f aca="false">IF(Tasks[[#This Row],[_Predecessors]]="","",TRIM(MID(SUBSTITUTE(SUBSTITUTE(SUBSTITUTE(UPPER(Tasks[[#This Row],[_Predecessors]]),";",",")," ",""),",",REPT(" ",99)),1,99)))</f>
        <v/>
      </c>
      <c r="CV87" s="43" t="str">
        <f aca="false">IF(Tasks[[#This Row],[_Pred1Text]]="","",IFERROR(VALUE(LEFT(Tasks[[#This Row],[_Pred1Text]],MIN(FIND("F",Tasks[[#This Row],[_Pred1Text]]&amp;"F"),FIND("S",Tasks[[#This Row],[_Pred1Text]]&amp;"S"),FIND("+",Tasks[[#This Row],[_Pred1Text]]&amp;"+"),FIND("-",Tasks[[#This Row],[_Pred1Text]]&amp;"-"))-1)),""))</f>
        <v/>
      </c>
      <c r="CW8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7" s="43" t="str">
        <f aca="false">IF(Tasks[[#This Row],[_Pred1Text]]="","",TRIM(MID(SUBSTITUTE(SUBSTITUTE(SUBSTITUTE(UPPER(Tasks[[#This Row],[_Predecessors]]),";",",")," ",""),",",REPT(" ",99)),100,99)))</f>
        <v/>
      </c>
      <c r="CZ87" s="43" t="str">
        <f aca="false">IF(Tasks[[#This Row],[_Pred2Text]]="","",IFERROR(VALUE(LEFT(Tasks[[#This Row],[_Pred2Text]],MIN(FIND("F",Tasks[[#This Row],[_Pred2Text]]&amp;"F"),FIND("S",Tasks[[#This Row],[_Pred2Text]]&amp;"S"),FIND("+",Tasks[[#This Row],[_Pred2Text]]&amp;"+"),FIND("-",Tasks[[#This Row],[_Pred2Text]]&amp;"-"))-1)),""))</f>
        <v/>
      </c>
      <c r="DA8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7" s="43" t="str">
        <f aca="false">IF(Tasks[[#This Row],[_Pred2Text]]="","",TRIM(MID(SUBSTITUTE(SUBSTITUTE(SUBSTITUTE(UPPER(Tasks[[#This Row],[_Predecessors]]),";",",")," ",""),",",REPT(" ",99)),199,99)))</f>
        <v/>
      </c>
      <c r="DD87" s="43" t="str">
        <f aca="false">IF(Tasks[[#This Row],[_Pred3Text]]="","",IFERROR(VALUE(LEFT(Tasks[[#This Row],[_Pred3Text]],MIN(FIND("F",Tasks[[#This Row],[_Pred3Text]]&amp;"F"),FIND("S",Tasks[[#This Row],[_Pred3Text]]&amp;"S"),FIND("+",Tasks[[#This Row],[_Pred3Text]]&amp;"+"),FIND("-",Tasks[[#This Row],[_Pred3Text]]&amp;"-"))-1)),""))</f>
        <v/>
      </c>
      <c r="DE8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7" s="43" t="str">
        <f aca="false">IF(Tasks[[#This Row],[_Pred3Text]]="","",TRIM(MID(SUBSTITUTE(SUBSTITUTE(SUBSTITUTE(UPPER(Tasks[[#This Row],[_Predecessors]]),";",",")," ",""),",",REPT(" ",99)),298,99)))</f>
        <v/>
      </c>
      <c r="DH87" s="43" t="str">
        <f aca="false">IF(Tasks[[#This Row],[_Pred4Text]]="","",IFERROR(VALUE(LEFT(Tasks[[#This Row],[_Pred4Text]],MIN(FIND("F",Tasks[[#This Row],[_Pred4Text]]&amp;"F"),FIND("S",Tasks[[#This Row],[_Pred4Text]]&amp;"S"),FIND("+",Tasks[[#This Row],[_Pred4Text]]&amp;"+"),FIND("-",Tasks[[#This Row],[_Pred4Text]]&amp;"-"))-1)),""))</f>
        <v/>
      </c>
      <c r="DI8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7" s="43" t="str">
        <f aca="false">IF(OR(Tasks[[#This Row],[Task Name]]="",Tasks[[#This Row],[_Resources]]=""),"",TRIM(MID(SUBSTITUTE(Tasks[[#This Row],[_Resources]],",",REPT(" ",99)),1,99)))</f>
        <v/>
      </c>
      <c r="DL87" s="43" t="str">
        <f aca="false">IF(Tasks[[#This Row],[_Res1Text]]="","",TRIM(MID(SUBSTITUTE(Tasks[[#This Row],[_Resources]],",",REPT(" ",99)),100,99)))</f>
        <v/>
      </c>
      <c r="DM87" s="43" t="str">
        <f aca="false">IF(Tasks[[#This Row],[_Res2Text]]="","",TRIM(MID(SUBSTITUTE(Tasks[[#This Row],[_Resources]],",",REPT(" ",99)),199,99)))</f>
        <v/>
      </c>
      <c r="DN87" s="43" t="str">
        <f aca="false">IF(Tasks[[#This Row],[_Res3Text]]="","",TRIM(MID(SUBSTITUTE(Tasks[[#This Row],[_Resources]],",",REPT(" ",99)),298,99)))</f>
        <v/>
      </c>
      <c r="DO87" s="43" t="n">
        <f aca="false">IF(Tasks[[#This Row],[_Res1Text]]="",0,IFERROR(MATCH(TRIM(LEFT(Tasks[[#This Row],[_Res1Text]],FIND("[",Tasks[[#This Row],[_Res1Text]]&amp;"[")-1)),res_Name,0),IFERROR(MATCH(TRIM(LEFT(Tasks[[#This Row],[_Res1Text]],FIND("[",Tasks[[#This Row],[_Res1Text]]&amp;"[")-1)),res_Initials,0),0)))</f>
        <v>0</v>
      </c>
      <c r="DP87" s="43" t="n">
        <f aca="false">IF(Tasks[[#This Row],[_Res2Text]]="",0,IFERROR(MATCH(TRIM(LEFT(Tasks[[#This Row],[_Res2Text]],FIND("[",Tasks[[#This Row],[_Res2Text]]&amp;"[")-1)),res_Name,0),IFERROR(MATCH(TRIM(LEFT(Tasks[[#This Row],[_Res2Text]],FIND("[",Tasks[[#This Row],[_Res2Text]]&amp;"[")-1)),res_Initials,0),0)))</f>
        <v>0</v>
      </c>
      <c r="DQ87" s="43" t="n">
        <f aca="false">IF(Tasks[[#This Row],[_Res3Text]]="",0,IFERROR(MATCH(TRIM(LEFT(Tasks[[#This Row],[_Res3Text]],FIND("[",Tasks[[#This Row],[_Res3Text]]&amp;"[")-1)),res_Name,0),IFERROR(MATCH(TRIM(LEFT(Tasks[[#This Row],[_Res3Text]],FIND("[",Tasks[[#This Row],[_Res3Text]]&amp;"[")-1)),res_Initials,0),0)))</f>
        <v>0</v>
      </c>
      <c r="DR87" s="43" t="n">
        <f aca="false">IF(Tasks[[#This Row],[_Res4Text]]="",0,IFERROR(MATCH(TRIM(LEFT(Tasks[[#This Row],[_Res4Text]],FIND("[",Tasks[[#This Row],[_Res4Text]]&amp;"[")-1)),res_Name,0),IFERROR(MATCH(TRIM(LEFT(Tasks[[#This Row],[_Res4Text]],FIND("[",Tasks[[#This Row],[_Res4Text]]&amp;"[")-1)),res_Initials,0),0)))</f>
        <v>0</v>
      </c>
      <c r="DS87" s="43" t="str">
        <f aca="false">IF(Tasks[[#This Row],[_Res1Text]]="","",IF(Tasks[[#This Row],[_Res1Row]]&gt;0,INDEX(res_Name,Tasks[[#This Row],[_Res1Row]]),TRIM(LEFT(Tasks[[#This Row],[_Res1Text]],FIND("[",Tasks[[#This Row],[_Res1Text]]&amp;"[")-1))))</f>
        <v/>
      </c>
      <c r="DT8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7" s="43" t="n">
        <f aca="false">IF(NOT(Tasks[[#This Row],[_IsLeaf]]=1),0,(Tasks[[#This Row],[_Resource1]]&lt;&gt;"")+(Tasks[[#This Row],[_Res2]]&lt;&gt;"")+(Tasks[[#This Row],[_Res3]]&lt;&gt;"")+(Tasks[[#This Row],[_Res4]]&lt;&gt;""))</f>
        <v>0</v>
      </c>
      <c r="DV87" s="43" t="str">
        <f aca="false">IF(Tasks[[#This Row],[_Res2Text]]="","",IF(Tasks[[#This Row],[_Res2Row]]&gt;0,INDEX(res_Name,Tasks[[#This Row],[_Res2Row]]),TRIM(LEFT(Tasks[[#This Row],[_Res2Text]],FIND("[",Tasks[[#This Row],[_Res2Text]]&amp;"[")-1))))</f>
        <v/>
      </c>
      <c r="DW8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7" s="43" t="n">
        <f aca="false">IF(OR(NOT(Tasks[[#This Row],[_IsLeaf]]=1),Tasks[[#This Row],[_Res2Row]]=0),0,N(Tasks[[#This Row],[_Days]])*HoursPerDay*IF(Tasks[[#This Row],[_Res2Units]]="",DefaultUnits,Tasks[[#This Row],[_Res2Units]]))</f>
        <v>0</v>
      </c>
      <c r="DY87" s="43" t="n">
        <f aca="false">IF(AND(AND(Tasks[[#This Row],[_IsLeaf]]=1,Tasks[[#This Row],[_LeafTotalWork]]&gt;0),Tasks[[#This Row],[_Res2Work]]&gt;0),Tasks[[#This Row],[_Res2Work]]/(Tasks[[#This Row],[_FinishWorkday]]-Tasks[[#This Row],[_StartWorkday]]+1),0)</f>
        <v>0</v>
      </c>
      <c r="DZ87" s="43" t="n">
        <f aca="false">Tasks[[#This Row],[_Res2WorkPerWD]]*MAX(0,Tasks[[#This Row],[_StartWorkday]]-1)</f>
        <v>0</v>
      </c>
      <c r="EA87" s="43" t="n">
        <f aca="false">Tasks[[#This Row],[_Res2Work]]*Tasks[[#This Row],[_LeafProgress]]</f>
        <v>0</v>
      </c>
      <c r="EB87" s="43" t="str">
        <f aca="false">IF(Tasks[[#This Row],[_Res3Text]]="","",IF(Tasks[[#This Row],[_Res3Row]]&gt;0,INDEX(res_Name,Tasks[[#This Row],[_Res3Row]]),TRIM(LEFT(Tasks[[#This Row],[_Res3Text]],FIND("[",Tasks[[#This Row],[_Res3Text]]&amp;"[")-1))))</f>
        <v/>
      </c>
      <c r="EC8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7" s="43" t="n">
        <f aca="false">IF(OR(NOT(Tasks[[#This Row],[_IsLeaf]]=1),Tasks[[#This Row],[_Res3Row]]=0),0,N(Tasks[[#This Row],[_Days]])*HoursPerDay*IF(Tasks[[#This Row],[_Res3Units]]="",DefaultUnits,Tasks[[#This Row],[_Res3Units]]))</f>
        <v>0</v>
      </c>
      <c r="EE87" s="43" t="n">
        <f aca="false">IF(AND(AND(Tasks[[#This Row],[_IsLeaf]]=1,Tasks[[#This Row],[_LeafTotalWork]]&gt;0),Tasks[[#This Row],[_Res3Work]]&gt;0),Tasks[[#This Row],[_Res3Work]]/(Tasks[[#This Row],[_FinishWorkday]]-Tasks[[#This Row],[_StartWorkday]]+1),0)</f>
        <v>0</v>
      </c>
      <c r="EF87" s="43" t="n">
        <f aca="false">Tasks[[#This Row],[_Res3WorkPerWD]]*MAX(0,Tasks[[#This Row],[_StartWorkday]]-1)</f>
        <v>0</v>
      </c>
      <c r="EG87" s="43" t="n">
        <f aca="false">Tasks[[#This Row],[_Res3Work]]*Tasks[[#This Row],[_LeafProgress]]</f>
        <v>0</v>
      </c>
      <c r="EH87" s="43" t="str">
        <f aca="false">IF(Tasks[[#This Row],[_Res4Text]]="","",IF(Tasks[[#This Row],[_Res4Row]]&gt;0,INDEX(res_Name,Tasks[[#This Row],[_Res4Row]]),TRIM(LEFT(Tasks[[#This Row],[_Res4Text]],FIND("[",Tasks[[#This Row],[_Res4Text]]&amp;"[")-1))))</f>
        <v/>
      </c>
      <c r="EI8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7" s="43" t="n">
        <f aca="false">IF(OR(NOT(Tasks[[#This Row],[_IsLeaf]]=1),Tasks[[#This Row],[_Res4Row]]=0),0,N(Tasks[[#This Row],[_Days]])*HoursPerDay*IF(Tasks[[#This Row],[_Res4Units]]="",DefaultUnits,Tasks[[#This Row],[_Res4Units]]))</f>
        <v>0</v>
      </c>
      <c r="EK87" s="43" t="n">
        <f aca="false">IF(AND(AND(Tasks[[#This Row],[_IsLeaf]]=1,Tasks[[#This Row],[_LeafTotalWork]]&gt;0),Tasks[[#This Row],[_Res4Work]]&gt;0),Tasks[[#This Row],[_Res4Work]]/(Tasks[[#This Row],[_FinishWorkday]]-Tasks[[#This Row],[_StartWorkday]]+1),0)</f>
        <v>0</v>
      </c>
      <c r="EL87" s="43" t="n">
        <f aca="false">Tasks[[#This Row],[_Res4WorkPerWD]]*MAX(0,Tasks[[#This Row],[_StartWorkday]]-1)</f>
        <v>0</v>
      </c>
      <c r="EM87" s="43" t="n">
        <f aca="false">Tasks[[#This Row],[_Res4Work]]*Tasks[[#This Row],[_LeafProgress]]</f>
        <v>0</v>
      </c>
      <c r="EN87" s="43" t="n">
        <f aca="false">IF(ISNUMBER(Tasks[[#This Row],[% Complete]]),Tasks[[#This Row],[% Complete]],IF(Tasks[[#This Row],[Stage]]="",0,IFERROR(INDEX(stg_Pct,MATCH(Tasks[[#This Row],[Stage]],stg_Name,0)),0)))</f>
        <v>0</v>
      </c>
      <c r="EO87" s="43" t="n">
        <f aca="false">IF(NOT(Tasks[[#This Row],[_IsLeaf]]=1),0,IF(N(Tasks[[#This Row],[Actual Finish]])&gt;0,1,MIN(1,Tasks[[#This Row],[_Pct]])))</f>
        <v>0</v>
      </c>
      <c r="EP87" s="43" t="n">
        <f aca="false">IF(OR(NOT(Tasks[[#This Row],[_IsLeaf]]=1),Tasks[[#This Row],[_Res1Row]]=0),0,N(Tasks[[#This Row],[_Days]])*HoursPerDay*IF(Tasks[[#This Row],[_Units1]]="",DefaultUnits,Tasks[[#This Row],[_Units1]]))</f>
        <v>0</v>
      </c>
      <c r="EQ87" s="43" t="n">
        <f aca="false">Tasks[[#This Row],[_LeafWork]]+Tasks[[#This Row],[_Res2Work]]+Tasks[[#This Row],[_Res3Work]]+Tasks[[#This Row],[_Res4Work]]</f>
        <v>0</v>
      </c>
      <c r="ER8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7" s="43" t="n">
        <f aca="false">IF(NOT(Tasks[[#This Row],[_IsLeaf]]=1),0,MAX(_xlfn.MAXIFS(Tasks[_Row],Tasks[_Pred1UID],Tasks[[#This Row],[UID]]),_xlfn.MAXIFS(Tasks[_Row],Tasks[_Pred2UID],Tasks[[#This Row],[UID]]),_xlfn.MAXIFS(Tasks[_Row],Tasks[_Pred3UID],Tasks[[#This Row],[UID]]),_xlfn.MAXIFS(Tasks[_Row],Tasks[_Pred4UID],Tasks[[#This Row],[UID]])))</f>
        <v>0</v>
      </c>
      <c r="FA8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7" s="91" t="str">
        <f aca="false">IF(NOT(Tasks[[#This Row],[_IsLeaf]]=1),"",IF(N(Tasks[[#This Row],[_Days]])&lt;=0,Tasks[[#This Row],[_LeafLateFinish]],WORKDAY.INTL(Tasks[[#This Row],[_LeafLateFinish]],-(Tasks[[#This Row],[_Days]]-1),WorkWeek,Holidays)))</f>
        <v/>
      </c>
      <c r="FD8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7" s="90" t="b">
        <f aca="false">AND(Tasks[[#This Row],[_IsLeaf]]=1,Tasks[[#This Row],[_LeafProgress]]&lt;1,N(Tasks[[#This Row],[_LeafTotalSlack]])&lt;=CriticalSlackDays)</f>
        <v>0</v>
      </c>
      <c r="FF87" s="43" t="n">
        <f aca="false">IF(AND(Tasks[[#This Row],[_IsLeaf]]=1,Tasks[[#This Row],[_ConstraintCode]]=1,Tasks[[#This Row],[Mode]]&lt;&gt;"Manual",N(Tasks[[#This Row],[Actual Start]])=0),MAX(0,N(Tasks[[#This Row],[Free Slack]])),0)</f>
        <v>0</v>
      </c>
      <c r="FG87" s="91" t="str">
        <f aca="false">IF(NOT(Tasks[[#This Row],[_IsLeaf]]=1),"",IF(Tasks[[#This Row],[_AlapShift]]=0,Tasks[[#This Row],[_LeafCalcStart]],WORKDAY.INTL(Tasks[[#This Row],[_LeafCalcStart]],Tasks[[#This Row],[_AlapShift]],WorkWeek,Holidays)))</f>
        <v/>
      </c>
      <c r="FH87" s="91" t="str">
        <f aca="false">IF(NOT(Tasks[[#This Row],[_IsLeaf]]=1),"",IF(Tasks[[#This Row],[_AlapShift]]=0,Tasks[[#This Row],[_LeafCalcFinish]],WORKDAY.INTL(Tasks[[#This Row],[_LeafCalcFinish]],Tasks[[#This Row],[_AlapShift]],WorkWeek,Holidays)))</f>
        <v/>
      </c>
      <c r="FI87" s="91" t="str">
        <f aca="false">IF(NOT(Tasks[[#This Row],[_IsLeaf]]=1),"",IF(Tasks[[#This Row],[_AlapShift]]=0,Tasks[[#This Row],[_LeafFcstStart]],WORKDAY.INTL(Tasks[[#This Row],[_LeafFcstStart]],Tasks[[#This Row],[_AlapShift]],WorkWeek,Holidays)))</f>
        <v/>
      </c>
      <c r="FJ87" s="91" t="str">
        <f aca="false">IF(NOT(Tasks[[#This Row],[_IsLeaf]]=1),"",IF(Tasks[[#This Row],[_AlapShift]]=0,Tasks[[#This Row],[_LeafFcstFinish]],WORKDAY.INTL(Tasks[[#This Row],[_LeafFcstFinish]],Tasks[[#This Row],[_AlapShift]],WorkWeek,Holidays)))</f>
        <v/>
      </c>
      <c r="FK87" s="91" t="str">
        <f aca="false">IF(Tasks[[#This Row],[Task Name]]="","",IF(Tasks[[#This Row],[_IsSummary]],MIN(INDEX(Tasks[_ShownCalcStart],Tasks[[#This Row],[_Row]]+1):INDEX(Tasks[_ShownCalcStart],Tasks[[#This Row],[_Row]]+Tasks[[#This Row],[_Descendants]])),Tasks[[#This Row],[_ShownCalcStart]]))</f>
        <v/>
      </c>
      <c r="FL87" s="91" t="str">
        <f aca="false">IF(Tasks[[#This Row],[Task Name]]="","",IF(Tasks[[#This Row],[_IsSummary]],MAX(INDEX(Tasks[_ShownCalcFinish],Tasks[[#This Row],[_Row]]+1):INDEX(Tasks[_ShownCalcFinish],Tasks[[#This Row],[_Row]]+Tasks[[#This Row],[_Descendants]])),Tasks[[#This Row],[_ShownCalcFinish]]))</f>
        <v/>
      </c>
      <c r="FM8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7" s="43" t="n">
        <f aca="false">IF(AND(Tasks[[#This Row],[_IsLeaf]]=1,Tasks[[#This Row],[_LeafTotalWork]]&gt;0),NETWORKDAYS.INTL(ProjectStart,Tasks[[#This Row],[_ShownFcstStart]],WorkWeek,Holidays),0)</f>
        <v>0</v>
      </c>
      <c r="FZ87" s="43" t="n">
        <f aca="false">IF(AND(Tasks[[#This Row],[_IsLeaf]]=1,Tasks[[#This Row],[_LeafTotalWork]]&gt;0),MAX(Tasks[[#This Row],[_StartWorkday]],NETWORKDAYS.INTL(ProjectStart,Tasks[[#This Row],[_ShownFcstFinish]],WorkWeek,Holidays)),0)</f>
        <v>0</v>
      </c>
      <c r="GA87" s="43" t="n">
        <f aca="false">IF(AND(Tasks[[#This Row],[_IsLeaf]]=1,Tasks[[#This Row],[_LeafTotalWork]]&gt;0),Tasks[[#This Row],[_LeafWork]]/(Tasks[[#This Row],[_FinishWorkday]]-Tasks[[#This Row],[_StartWorkday]]+1),0)</f>
        <v>0</v>
      </c>
      <c r="GB87" s="43" t="n">
        <f aca="false">Tasks[[#This Row],[_WorkPerWorkday]]*(Tasks[[#This Row],[_StartWorkday]]-1)</f>
        <v>-0</v>
      </c>
      <c r="GC87" s="43" t="n">
        <f aca="false">IF(Tasks[[#This Row],[_IsLeaf]]=1,MAX(N(Tasks[[#This Row],[_Days]]),0.1),0)</f>
        <v>0</v>
      </c>
      <c r="GD87" s="43" t="n">
        <f aca="false">Tasks[[#This Row],[_WeightDur]]*Tasks[[#This Row],[_LeafProgress]]</f>
        <v>0</v>
      </c>
      <c r="GE87" s="43" t="n">
        <f aca="false">Tasks[[#This Row],[_WeightDur]]*Tasks[[#This Row],[_PlannedPct]]</f>
        <v>0</v>
      </c>
      <c r="GF8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7" s="43" t="str">
        <f aca="false">IF(AND(Tasks[[#This Row],[_IsLeaf]]=1,N(Tasks[[#This Row],[_Days]])=0,Tasks[[#This Row],[_LeafProgress]]&lt;1),Tasks[[#This Row],[_ShownFcstFinish]]+Tasks[[#This Row],[_Row]]/100000,"")</f>
        <v/>
      </c>
      <c r="GH8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7" s="43" t="str">
        <f aca="false">IF(Tasks[[#This Row],[Task Name]]="","",LEFT(Tasks[[#This Row],[WBS]],FIND(".",Tasks[[#This Row],[WBS]]&amp;".")-1))</f>
        <v/>
      </c>
      <c r="GJ87" s="43" t="str">
        <f aca="false">IF(AND(Tasks[[#This Row],[Task Name]]&lt;&gt;"",Tasks[[#This Row],[_Level]]=1),Tasks[[#This Row],[_Row]],"")</f>
        <v/>
      </c>
      <c r="GK87" s="43" t="str">
        <f aca="false">IF(AND(Tasks[[#This Row],[_IsLeaf]]=1,N(Tasks[[#This Row],[_Days]])=0),Tasks[[#This Row],[Planned Finish]]+Tasks[[#This Row],[_Row]]/100000,"")</f>
        <v/>
      </c>
      <c r="GL87" s="43" t="str">
        <f aca="false">IF(AND(Tasks[[#This Row],[_IsLeaf]]=1,Tasks[[#This Row],[_LeafProgress]]&lt;1,OR(N(Tasks[[#This Row],[Finish Var]])&gt;0,Tasks[[#This Row],[Status]]="Late Start")),MAX(0,Tasks[[#This Row],[Finish Var]])+1-Tasks[[#This Row],[_Row]]/1000000,"")</f>
        <v/>
      </c>
      <c r="GM87" s="43" t="str">
        <f aca="false">IF(AND(Tasks[[#This Row],[_IsLeaf]]=1,N(Tasks[[#This Row],[Actual Start]])=0,Tasks[[#This Row],[_ShownFcstStart]]&gt;=StatusDate,Tasks[[#This Row],[_ShownFcstStart]]&lt;=LookaheadEnd),Tasks[[#This Row],[_ShownFcstStart]]+Tasks[[#This Row],[_Row]]/100000,"")</f>
        <v/>
      </c>
      <c r="GN87" s="43" t="str">
        <f aca="false">IF(AND(Tasks[[#This Row],[_IsLeaf]]=1,Tasks[[#This Row],[_LeafProgress]]&lt;1,Tasks[[#This Row],[_ShownFcstFinish]]&gt;=StatusDate,Tasks[[#This Row],[_ShownFcstFinish]]&lt;=LookaheadEnd),Tasks[[#This Row],[_ShownFcstFinish]]+Tasks[[#This Row],[_Row]]/100000,"")</f>
        <v/>
      </c>
      <c r="GO87" s="43" t="str">
        <f aca="false">IF(Tasks[[#This Row],[_LeafCritical]],Tasks[[#This Row],[_ShownFcstStart]]+Tasks[[#This Row],[_Row]]/100000,"")</f>
        <v/>
      </c>
      <c r="GP87" s="43" t="n">
        <f aca="false">Tasks[[#This Row],[_LeafWork]]*Tasks[[#This Row],[_LeafProgress]]</f>
        <v>0</v>
      </c>
      <c r="GQ87" s="91" t="str">
        <f aca="false">IF(AND(Tasks[[#This Row],[_IsLeaf]]=1,Tasks[[#This Row],[_LeafProgress]]&gt;=1),IF(N(Tasks[[#This Row],[Actual Finish]])&gt;0,Tasks[[#This Row],[Actual Finish]],Tasks[[#This Row],[_ShownFcstFinish]]),"")</f>
        <v/>
      </c>
      <c r="GR87" s="43" t="n">
        <f aca="false">IF(Tasks[[#This Row],[_IsLeaf]]=1,N(Tasks[[#This Row],[Story Points]]),0)</f>
        <v>0</v>
      </c>
      <c r="GS87" s="43" t="str">
        <f aca="false">""</f>
        <v/>
      </c>
      <c r="GT87" s="90" t="b">
        <f aca="false">IF(Tasks[[#This Row],[Task Name]]="",FALSE(),AND(Tasks[[#This Row],[_IsLeaf]]=1,N(Tasks[[#This Row],[_Days]])=0))</f>
        <v>0</v>
      </c>
      <c r="GU87" s="91" t="n">
        <f aca="false">IF(Tasks[[#This Row],[Task Name]]="",0,IF(AND(Tasks[[#This Row],[_IsLeaf]]=1,NOT(Tasks[[#This Row],[_IsMilestone]]),N(Tasks[[#This Row],[Progress]])&gt;0),Tasks[[#This Row],[Start]],0))</f>
        <v>0</v>
      </c>
      <c r="GV87" s="91" t="n">
        <f aca="false">IF(Tasks[[#This Row],[_DoneFrom]]=0,0,IF(Tasks[[#This Row],[Progress]]&gt;=1,Tasks[[#This Row],[Finish]],MAX(Tasks[[#This Row],[_DoneFrom]],Tasks[[#This Row],[Start]]+ROUND((Tasks[[#This Row],[Finish]]-Tasks[[#This Row],[Start]]+1)*Tasks[[#This Row],[Progress]],0)-1)))</f>
        <v>0</v>
      </c>
      <c r="GW87" s="91" t="n">
        <f aca="false">IF(Tasks[[#This Row],[Task Name]]="",0,IF(OR(NOT(Tasks[[#This Row],[_IsLeaf]]=1),Tasks[[#This Row],[_IsMilestone]],N(Tasks[[#This Row],[Progress]])&gt;=1),0,IF(Tasks[[#This Row],[_DoneTo]]&gt;0,Tasks[[#This Row],[_DoneTo]]+1,Tasks[[#This Row],[Start]])))</f>
        <v>0</v>
      </c>
      <c r="GX87" s="91" t="n">
        <f aca="false">IF(Tasks[[#This Row],[_RemFrom]]=0,0,Tasks[[#This Row],[Finish]])</f>
        <v>0</v>
      </c>
      <c r="GY87" s="90" t="b">
        <f aca="false">IF(Tasks[[#This Row],[Task Name]]="",FALSE(),OR(NOT(BaselineSet),N(Tasks[[#This Row],[Baseline Start]])&gt;0))</f>
        <v>0</v>
      </c>
      <c r="GZ8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7" s="92" t="str">
        <f aca="false">IF(Tasks[[#This Row],[_IsLeaf]]=1,Tasks[[#This Row],[_Row]],"")</f>
        <v/>
      </c>
      <c r="HD87" s="92" t="str">
        <f aca="false">IFERROR(INDEX(Tasks[UID],SMALL(Tasks[_PickKey],Tasks[[#This Row],[_Row]]))&amp;" "&amp;INDEX(Tasks[Task Name],SMALL(Tasks[_PickKey],Tasks[[#This Row],[_Row]])),"")</f>
        <v/>
      </c>
      <c r="HE87" s="43" t="str">
        <f aca="false">IF(Tasks[[#This Row],[Task Name]]="","",IF(Tasks[[#This Row],[_IsSummary]],NETWORKDAYS.INTL(Tasks[[#This Row],[Start]],Tasks[[#This Row],[Finish]],WorkWeek,Holidays),N(Tasks[[#This Row],[_Days]])))</f>
        <v/>
      </c>
      <c r="HF87" s="43" t="n">
        <f aca="false">IF(Tasks[[#This Row],[Expected]]="",0,((Tasks[[#This Row],[Pessimistic]]-Tasks[[#This Row],[Optimistic]])/6)^2)</f>
        <v>0</v>
      </c>
      <c r="HG87" s="43" t="n">
        <f aca="false">IF(Tasks[[#This Row],[Expected]]="",0,Tasks[[#This Row],[Expected]]-N(Tasks[[#This Row],[_Days]]))</f>
        <v>0</v>
      </c>
    </row>
    <row r="88" customFormat="false" ht="15" hidden="false" customHeight="false" outlineLevel="0" collapsed="false">
      <c r="A88" s="21" t="str">
        <f aca="false">IF(Tasks[[#This Row],[Task Name]]="","",COUNTA(Tasks[[#Headers],[Task Name]]:Tasks[[#This Row],[Task Name]])-1)</f>
        <v/>
      </c>
      <c r="B88" s="22" t="n">
        <v>96</v>
      </c>
      <c r="C88" s="22"/>
      <c r="D88" s="23"/>
      <c r="E88" s="22"/>
      <c r="F88" s="23"/>
      <c r="G88" s="22"/>
      <c r="H88" s="22"/>
      <c r="I88" s="23"/>
      <c r="J88" s="22"/>
      <c r="K88" s="22"/>
      <c r="L88" s="23"/>
      <c r="M88" s="22"/>
      <c r="N88" s="22"/>
      <c r="O88" s="23"/>
      <c r="P88" s="22"/>
      <c r="Q88" s="22"/>
      <c r="R88" s="23"/>
      <c r="S88" s="23"/>
      <c r="T88" s="84"/>
      <c r="U88" s="23"/>
      <c r="V88" s="84"/>
      <c r="W88" s="23"/>
      <c r="X88" s="84"/>
      <c r="Y88" s="23"/>
      <c r="Z88" s="84"/>
      <c r="AA88" s="23"/>
      <c r="AB88" s="23"/>
      <c r="AC88" s="7"/>
      <c r="AD88" s="7"/>
      <c r="AE88" s="63" t="str">
        <f aca="false">IF(Tasks[[#This Row],[Task Name]]="","",IF(Tasks[[#This Row],[_IsSummary]],MIN(INDEX(Tasks[_ShownFcstStart],Tasks[[#This Row],[_Row]]+1):INDEX(Tasks[_ShownFcstStart],Tasks[[#This Row],[_Row]]+Tasks[[#This Row],[_Descendants]])),Tasks[[#This Row],[_ShownFcstStart]]))</f>
        <v/>
      </c>
      <c r="AF88" s="63" t="str">
        <f aca="false">IF(Tasks[[#This Row],[Task Name]]="","",IF(Tasks[[#This Row],[_IsSummary]],MAX(INDEX(Tasks[_ShownFcstFinish],Tasks[[#This Row],[_Row]]+1):INDEX(Tasks[_ShownFcstFinish],Tasks[[#This Row],[_Row]]+Tasks[[#This Row],[_Descendants]])),Tasks[[#This Row],[_ShownFcstFinish]]))</f>
        <v/>
      </c>
      <c r="AG88" s="21" t="str">
        <f aca="false">""</f>
        <v/>
      </c>
      <c r="AH88" s="23"/>
      <c r="AI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8" s="7"/>
      <c r="AK88" s="22"/>
      <c r="AL88" s="23"/>
      <c r="AM88" s="7"/>
      <c r="AN88" s="47" t="str">
        <f aca="false">IF(Tasks[[#This Row],[Task Name]]="","",IF(Tasks[[#This Row],[Finish]]&gt;=Tasks[[#This Row],[Planned Finish]],NETWORKDAYS.INTL(Tasks[[#This Row],[Planned Finish]],Tasks[[#This Row],[Finish]],WorkWeek,Holidays)-1,1-NETWORKDAYS.INTL(Tasks[[#This Row],[Finish]],Tasks[[#This Row],[Planned Finish]],WorkWeek,Holidays)))</f>
        <v/>
      </c>
      <c r="AO88" s="21" t="str">
        <f aca="false">IF(Tasks[[#This Row],[Task Name]]="","",IF(Tasks[[#This Row],[Progress]]&gt;=1,"Complete",IF(OR(N(Tasks[[#This Row],[Actual Start]])&gt;0,Tasks[[#This Row],[Progress]]&gt;0),IF(Tasks[[#This Row],[Finish Var]]&gt;0,"Behind","In Progress"),IF(Tasks[[#This Row],[Planned Start]]&lt;StatusDate,"Late Start","Not Started"))))</f>
        <v/>
      </c>
      <c r="AP88" s="21" t="str">
        <f aca="false">IF(Tasks[[#This Row],[Task Name]]="","",IF(IF(Tasks[[#This Row],[_IsSummary]],COUNTIF(INDEX(Tasks[_LeafCritical],Tasks[[#This Row],[_Row]]+1):INDEX(Tasks[_LeafCritical],Tasks[[#This Row],[_Row]]+Tasks[[#This Row],[_Descendants]]),TRUE())&gt;0,Tasks[[#This Row],[_LeafCritical]]),"Yes",""))</f>
        <v/>
      </c>
      <c r="AQ88" s="63" t="str">
        <f aca="false">IF(Tasks[[#This Row],[Task Name]]="","",IF(N(Tasks[[#This Row],[Baseline Start]])&gt;0,Tasks[[#This Row],[Baseline Start]],Tasks[[#This Row],[_CalcStart]]))</f>
        <v/>
      </c>
      <c r="AR88" s="63" t="str">
        <f aca="false">IF(Tasks[[#This Row],[Task Name]]="","",IF(N(Tasks[[#This Row],[Baseline Finish]])&gt;0,Tasks[[#This Row],[Baseline Finish]],Tasks[[#This Row],[_CalcFinish]]))</f>
        <v/>
      </c>
      <c r="AS88" s="47" t="str">
        <f aca="false">IF(Tasks[[#This Row],[Task Name]]="","",IF(Tasks[[#This Row],[Start]]&gt;=Tasks[[#This Row],[Planned Start]],NETWORKDAYS.INTL(Tasks[[#This Row],[Planned Start]],Tasks[[#This Row],[Start]],WorkWeek,Holidays)-1,1-NETWORKDAYS.INTL(Tasks[[#This Row],[Start]],Tasks[[#This Row],[Planned Start]],WorkWeek,Holidays)))</f>
        <v/>
      </c>
      <c r="AT88" s="63" t="str">
        <f aca="false">IF(Tasks[[#This Row],[Task Name]]="","",IF(Tasks[[#This Row],[_IsSummary]],MIN(INDEX(Tasks[_LeafLateStart],Tasks[[#This Row],[_Row]]+1):INDEX(Tasks[_LeafLateStart],Tasks[[#This Row],[_Row]]+Tasks[[#This Row],[_Descendants]])),Tasks[[#This Row],[_LeafLateStart]]))</f>
        <v/>
      </c>
      <c r="AU88" s="63" t="str">
        <f aca="false">IF(Tasks[[#This Row],[Task Name]]="","",IF(Tasks[[#This Row],[_IsSummary]],MAX(INDEX(Tasks[_LeafLateFinish],Tasks[[#This Row],[_Row]]+1):INDEX(Tasks[_LeafLateFinish],Tasks[[#This Row],[_Row]]+Tasks[[#This Row],[_Descendants]])),Tasks[[#This Row],[_LeafLateFinish]]))</f>
        <v/>
      </c>
      <c r="AV88" s="47" t="str">
        <f aca="false">IF(Tasks[[#This Row],[Task Name]]="","",IF(Tasks[[#This Row],[_IsSummary]],MIN(INDEX(Tasks[_LeafTotalSlack],Tasks[[#This Row],[_Row]]+1):INDEX(Tasks[_LeafTotalSlack],Tasks[[#This Row],[_Row]]+Tasks[[#This Row],[_Descendants]])),Tasks[[#This Row],[_LeafTotalSlack]]))</f>
        <v/>
      </c>
      <c r="AW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5"/>
      <c r="BA8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1" t="str">
        <f aca="false">IF(Tasks[[#This Row],[Task Name]]="","",IF(Tasks[[#This Row],[_Level]]&lt;=OutlineShowLevel,"Yes","No"))</f>
        <v/>
      </c>
      <c r="BE88" s="86" t="str">
        <f aca="false">IF(Tasks[[#This Row],[Task Name]]="","",IF(Tasks[[#This Row],[_IsSummary]],SUM(INDEX(Tasks[_LeafTotalWork],Tasks[[#This Row],[_Row]]+1):INDEX(Tasks[_LeafTotalWork],Tasks[[#This Row],[_Row]]+Tasks[[#This Row],[_Descendants]])),Tasks[[#This Row],[_LeafTotalWork]]))</f>
        <v/>
      </c>
      <c r="BF88" s="23"/>
      <c r="BG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8" s="21" t="str">
        <f aca="false">""</f>
        <v/>
      </c>
      <c r="BI88" s="87"/>
      <c r="BJ88" s="22"/>
      <c r="BK88" s="47" t="str">
        <f aca="false">IF(OR(Tasks[[#This Row],[Task Name]]="",Tasks[[#This Row],[Baseline Duration]]=""),"",Tasks[[#This Row],[_SpanDays]]-N(Tasks[[#This Row],[Baseline Duration]]))</f>
        <v/>
      </c>
      <c r="BL88" s="86" t="str">
        <f aca="false">IF(OR(Tasks[[#This Row],[Task Name]]="",Tasks[[#This Row],[Baseline Work]]=""),"",Tasks[[#This Row],[Work]]-N(Tasks[[#This Row],[Baseline Work]]))</f>
        <v/>
      </c>
      <c r="BM88" s="63" t="str">
        <f aca="false">IF(Tasks[[#This Row],[Task Name]]="","",IF(OR(TakeBaseline="Yes",N(Tasks[[#This Row],[Baseline Start]])=0),Tasks[[#This Row],[Start]],Tasks[[#This Row],[Baseline Start]]))</f>
        <v/>
      </c>
      <c r="BN88" s="63" t="str">
        <f aca="false">IF(Tasks[[#This Row],[Task Name]]="","",IF(OR(TakeBaseline="Yes",N(Tasks[[#This Row],[Baseline Finish]])=0),Tasks[[#This Row],[Finish]],Tasks[[#This Row],[Baseline Finish]]))</f>
        <v/>
      </c>
      <c r="BO88" s="21" t="str">
        <f aca="false">IF(Tasks[[#This Row],[Task Name]]="","",IF(OR(TakeBaseline="Yes",N(Tasks[[#This Row],[Baseline Duration]])=0),Tasks[[#This Row],[_SpanDays]],Tasks[[#This Row],[Baseline Duration]]))</f>
        <v/>
      </c>
      <c r="BP88" s="86" t="str">
        <f aca="false">IF(Tasks[[#This Row],[Task Name]]="","",IF(OR(TakeBaseline="Yes",N(Tasks[[#This Row],[Baseline Work]])=0),Tasks[[#This Row],[Work]],Tasks[[#This Row],[Baseline Work]]))</f>
        <v/>
      </c>
      <c r="BQ88" s="7"/>
      <c r="BR88" s="7"/>
      <c r="BS88" s="22"/>
      <c r="BT88" s="88"/>
      <c r="BU88" s="23"/>
      <c r="BV88" s="23"/>
      <c r="BW88" s="23"/>
      <c r="BX88" s="89" t="str">
        <f aca="false">IF(AND(Tasks[[#This Row],[_IsLeaf]]=1,ISNUMBER(Tasks[[#This Row],[Optimistic]]),ISNUMBER(Tasks[[#This Row],[Pessimistic]])),ROUND((Tasks[[#This Row],[Optimistic]]+4*N(Tasks[[#This Row],[_Days]])+Tasks[[#This Row],[Pessimistic]])/6,1),"")</f>
        <v/>
      </c>
      <c r="BY88" s="87"/>
      <c r="BZ88" s="87"/>
      <c r="CA88" s="22"/>
      <c r="CB88" s="43" t="str">
        <f aca="false">IF(Tasks[[#This Row],[Task Name]]="","",MAX(1,N(Tasks[[#This Row],[Level]])))</f>
        <v/>
      </c>
      <c r="CC88" s="43" t="n">
        <f aca="false">ROW()-ROW(Tasks[[#Headers],[ID]])</f>
        <v>83</v>
      </c>
      <c r="CD88" s="43" t="n">
        <f aca="false">IF(OR(Tasks[[#This Row],[Task Name]]="",Tasks[[#This Row],[_Level]]&lt;=1),0,IFERROR(LOOKUP(2,1/(Tasks[[#Headers],[_Level]]:Tasks[[#This Row],[_Level]]=Tasks[[#This Row],[_Level]]-1),ROW(Tasks[[#Headers],[_Level]]:Tasks[[#This Row],[_Level]])),0))</f>
        <v>0</v>
      </c>
      <c r="CE88" s="43" t="n">
        <f aca="false">IFERROR(N(INDEX(Tasks[_Level],Tasks[[#This Row],[_Row]]+1)),0)</f>
        <v>0</v>
      </c>
      <c r="CF88" s="90" t="b">
        <f aca="false">AND(Tasks[[#This Row],[Task Name]]&lt;&gt;"",Tasks[[#This Row],[_NextLevel]]&gt;Tasks[[#This Row],[_Level]])</f>
        <v>0</v>
      </c>
      <c r="CG88" s="43" t="n">
        <f aca="false">IF(Tasks[[#This Row],[_IsSummary]],COUNTIF(Tasks[WBS],Tasks[[#This Row],[WBS]]&amp;".*"),0)</f>
        <v>0</v>
      </c>
      <c r="CH88" s="43" t="n">
        <f aca="false">IF(AND(Tasks[[#This Row],[Task Name]]&lt;&gt;"",NOT(Tasks[[#This Row],[_IsSummary]])),1,0)</f>
        <v>0</v>
      </c>
      <c r="CI88" s="43" t="n">
        <f aca="false">IF(N(Tasks[[#This Row],[_Pred1UID]])=0,0,IFERROR(MATCH(Tasks[[#This Row],[_Pred1UID]],Tasks[UID],0),-1))</f>
        <v>0</v>
      </c>
      <c r="CJ88" s="43" t="n">
        <f aca="false">IF(N(Tasks[[#This Row],[_Pred2UID]])=0,0,IFERROR(MATCH(Tasks[[#This Row],[_Pred2UID]],Tasks[UID],0),-1))</f>
        <v>0</v>
      </c>
      <c r="CK88" s="43" t="n">
        <f aca="false">IF(N(Tasks[[#This Row],[_Pred3UID]])=0,0,IFERROR(MATCH(Tasks[[#This Row],[_Pred3UID]],Tasks[UID],0),-1))</f>
        <v>0</v>
      </c>
      <c r="CL88" s="43" t="n">
        <f aca="false">IF(N(Tasks[[#This Row],[_Pred4UID]])=0,0,IFERROR(MATCH(Tasks[[#This Row],[_Pred4UID]],Tasks[UID],0),-1))</f>
        <v>0</v>
      </c>
      <c r="CM8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8" s="91" t="n">
        <f aca="false">IF(OR(Tasks[[#This Row],[_ConstraintCode]]=2,Tasks[[#This Row],[_ConstraintCode]]=3,Tasks[[#This Row],[_ConstraintCode]]=4,Tasks[[#This Row],[_ConstraintCode]]=6),Tasks[[#This Row],[_ConstraintStart]],0)</f>
        <v>0</v>
      </c>
      <c r="CP88" s="91" t="n">
        <f aca="false">IF(OR(Tasks[[#This Row],[_ConstraintCode]]=2,Tasks[[#This Row],[_ConstraintCode]]=3,Tasks[[#This Row],[_ConstraintCode]]=5,Tasks[[#This Row],[_ConstraintCode]]=7),Tasks[[#This Row],[_ConstraintStart]],2958465)</f>
        <v>2958465</v>
      </c>
      <c r="CQ8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8" s="91" t="str">
        <f aca="false">IF(NOT(Tasks[[#This Row],[_IsLeaf]]=1),"",IF(N(Tasks[[#This Row],[_Days]])&lt;=0,Tasks[[#This Row],[_LeafCalcStart]],WORKDAY.INTL(Tasks[[#This Row],[_LeafCalcStart]],Tasks[[#This Row],[_Days]]-1,WorkWeek,Holidays)))</f>
        <v/>
      </c>
      <c r="CS8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8" s="43" t="str">
        <f aca="false">IF(Tasks[[#This Row],[_Predecessors]]="","",TRIM(MID(SUBSTITUTE(SUBSTITUTE(SUBSTITUTE(UPPER(Tasks[[#This Row],[_Predecessors]]),";",",")," ",""),",",REPT(" ",99)),1,99)))</f>
        <v/>
      </c>
      <c r="CV88" s="43" t="str">
        <f aca="false">IF(Tasks[[#This Row],[_Pred1Text]]="","",IFERROR(VALUE(LEFT(Tasks[[#This Row],[_Pred1Text]],MIN(FIND("F",Tasks[[#This Row],[_Pred1Text]]&amp;"F"),FIND("S",Tasks[[#This Row],[_Pred1Text]]&amp;"S"),FIND("+",Tasks[[#This Row],[_Pred1Text]]&amp;"+"),FIND("-",Tasks[[#This Row],[_Pred1Text]]&amp;"-"))-1)),""))</f>
        <v/>
      </c>
      <c r="CW8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8" s="43" t="str">
        <f aca="false">IF(Tasks[[#This Row],[_Pred1Text]]="","",TRIM(MID(SUBSTITUTE(SUBSTITUTE(SUBSTITUTE(UPPER(Tasks[[#This Row],[_Predecessors]]),";",",")," ",""),",",REPT(" ",99)),100,99)))</f>
        <v/>
      </c>
      <c r="CZ88" s="43" t="str">
        <f aca="false">IF(Tasks[[#This Row],[_Pred2Text]]="","",IFERROR(VALUE(LEFT(Tasks[[#This Row],[_Pred2Text]],MIN(FIND("F",Tasks[[#This Row],[_Pred2Text]]&amp;"F"),FIND("S",Tasks[[#This Row],[_Pred2Text]]&amp;"S"),FIND("+",Tasks[[#This Row],[_Pred2Text]]&amp;"+"),FIND("-",Tasks[[#This Row],[_Pred2Text]]&amp;"-"))-1)),""))</f>
        <v/>
      </c>
      <c r="DA8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8" s="43" t="str">
        <f aca="false">IF(Tasks[[#This Row],[_Pred2Text]]="","",TRIM(MID(SUBSTITUTE(SUBSTITUTE(SUBSTITUTE(UPPER(Tasks[[#This Row],[_Predecessors]]),";",",")," ",""),",",REPT(" ",99)),199,99)))</f>
        <v/>
      </c>
      <c r="DD88" s="43" t="str">
        <f aca="false">IF(Tasks[[#This Row],[_Pred3Text]]="","",IFERROR(VALUE(LEFT(Tasks[[#This Row],[_Pred3Text]],MIN(FIND("F",Tasks[[#This Row],[_Pred3Text]]&amp;"F"),FIND("S",Tasks[[#This Row],[_Pred3Text]]&amp;"S"),FIND("+",Tasks[[#This Row],[_Pred3Text]]&amp;"+"),FIND("-",Tasks[[#This Row],[_Pred3Text]]&amp;"-"))-1)),""))</f>
        <v/>
      </c>
      <c r="DE8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8" s="43" t="str">
        <f aca="false">IF(Tasks[[#This Row],[_Pred3Text]]="","",TRIM(MID(SUBSTITUTE(SUBSTITUTE(SUBSTITUTE(UPPER(Tasks[[#This Row],[_Predecessors]]),";",",")," ",""),",",REPT(" ",99)),298,99)))</f>
        <v/>
      </c>
      <c r="DH88" s="43" t="str">
        <f aca="false">IF(Tasks[[#This Row],[_Pred4Text]]="","",IFERROR(VALUE(LEFT(Tasks[[#This Row],[_Pred4Text]],MIN(FIND("F",Tasks[[#This Row],[_Pred4Text]]&amp;"F"),FIND("S",Tasks[[#This Row],[_Pred4Text]]&amp;"S"),FIND("+",Tasks[[#This Row],[_Pred4Text]]&amp;"+"),FIND("-",Tasks[[#This Row],[_Pred4Text]]&amp;"-"))-1)),""))</f>
        <v/>
      </c>
      <c r="DI8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8" s="43" t="str">
        <f aca="false">IF(OR(Tasks[[#This Row],[Task Name]]="",Tasks[[#This Row],[_Resources]]=""),"",TRIM(MID(SUBSTITUTE(Tasks[[#This Row],[_Resources]],",",REPT(" ",99)),1,99)))</f>
        <v/>
      </c>
      <c r="DL88" s="43" t="str">
        <f aca="false">IF(Tasks[[#This Row],[_Res1Text]]="","",TRIM(MID(SUBSTITUTE(Tasks[[#This Row],[_Resources]],",",REPT(" ",99)),100,99)))</f>
        <v/>
      </c>
      <c r="DM88" s="43" t="str">
        <f aca="false">IF(Tasks[[#This Row],[_Res2Text]]="","",TRIM(MID(SUBSTITUTE(Tasks[[#This Row],[_Resources]],",",REPT(" ",99)),199,99)))</f>
        <v/>
      </c>
      <c r="DN88" s="43" t="str">
        <f aca="false">IF(Tasks[[#This Row],[_Res3Text]]="","",TRIM(MID(SUBSTITUTE(Tasks[[#This Row],[_Resources]],",",REPT(" ",99)),298,99)))</f>
        <v/>
      </c>
      <c r="DO88" s="43" t="n">
        <f aca="false">IF(Tasks[[#This Row],[_Res1Text]]="",0,IFERROR(MATCH(TRIM(LEFT(Tasks[[#This Row],[_Res1Text]],FIND("[",Tasks[[#This Row],[_Res1Text]]&amp;"[")-1)),res_Name,0),IFERROR(MATCH(TRIM(LEFT(Tasks[[#This Row],[_Res1Text]],FIND("[",Tasks[[#This Row],[_Res1Text]]&amp;"[")-1)),res_Initials,0),0)))</f>
        <v>0</v>
      </c>
      <c r="DP88" s="43" t="n">
        <f aca="false">IF(Tasks[[#This Row],[_Res2Text]]="",0,IFERROR(MATCH(TRIM(LEFT(Tasks[[#This Row],[_Res2Text]],FIND("[",Tasks[[#This Row],[_Res2Text]]&amp;"[")-1)),res_Name,0),IFERROR(MATCH(TRIM(LEFT(Tasks[[#This Row],[_Res2Text]],FIND("[",Tasks[[#This Row],[_Res2Text]]&amp;"[")-1)),res_Initials,0),0)))</f>
        <v>0</v>
      </c>
      <c r="DQ88" s="43" t="n">
        <f aca="false">IF(Tasks[[#This Row],[_Res3Text]]="",0,IFERROR(MATCH(TRIM(LEFT(Tasks[[#This Row],[_Res3Text]],FIND("[",Tasks[[#This Row],[_Res3Text]]&amp;"[")-1)),res_Name,0),IFERROR(MATCH(TRIM(LEFT(Tasks[[#This Row],[_Res3Text]],FIND("[",Tasks[[#This Row],[_Res3Text]]&amp;"[")-1)),res_Initials,0),0)))</f>
        <v>0</v>
      </c>
      <c r="DR88" s="43" t="n">
        <f aca="false">IF(Tasks[[#This Row],[_Res4Text]]="",0,IFERROR(MATCH(TRIM(LEFT(Tasks[[#This Row],[_Res4Text]],FIND("[",Tasks[[#This Row],[_Res4Text]]&amp;"[")-1)),res_Name,0),IFERROR(MATCH(TRIM(LEFT(Tasks[[#This Row],[_Res4Text]],FIND("[",Tasks[[#This Row],[_Res4Text]]&amp;"[")-1)),res_Initials,0),0)))</f>
        <v>0</v>
      </c>
      <c r="DS88" s="43" t="str">
        <f aca="false">IF(Tasks[[#This Row],[_Res1Text]]="","",IF(Tasks[[#This Row],[_Res1Row]]&gt;0,INDEX(res_Name,Tasks[[#This Row],[_Res1Row]]),TRIM(LEFT(Tasks[[#This Row],[_Res1Text]],FIND("[",Tasks[[#This Row],[_Res1Text]]&amp;"[")-1))))</f>
        <v/>
      </c>
      <c r="DT8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8" s="43" t="n">
        <f aca="false">IF(NOT(Tasks[[#This Row],[_IsLeaf]]=1),0,(Tasks[[#This Row],[_Resource1]]&lt;&gt;"")+(Tasks[[#This Row],[_Res2]]&lt;&gt;"")+(Tasks[[#This Row],[_Res3]]&lt;&gt;"")+(Tasks[[#This Row],[_Res4]]&lt;&gt;""))</f>
        <v>0</v>
      </c>
      <c r="DV88" s="43" t="str">
        <f aca="false">IF(Tasks[[#This Row],[_Res2Text]]="","",IF(Tasks[[#This Row],[_Res2Row]]&gt;0,INDEX(res_Name,Tasks[[#This Row],[_Res2Row]]),TRIM(LEFT(Tasks[[#This Row],[_Res2Text]],FIND("[",Tasks[[#This Row],[_Res2Text]]&amp;"[")-1))))</f>
        <v/>
      </c>
      <c r="DW8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8" s="43" t="n">
        <f aca="false">IF(OR(NOT(Tasks[[#This Row],[_IsLeaf]]=1),Tasks[[#This Row],[_Res2Row]]=0),0,N(Tasks[[#This Row],[_Days]])*HoursPerDay*IF(Tasks[[#This Row],[_Res2Units]]="",DefaultUnits,Tasks[[#This Row],[_Res2Units]]))</f>
        <v>0</v>
      </c>
      <c r="DY88" s="43" t="n">
        <f aca="false">IF(AND(AND(Tasks[[#This Row],[_IsLeaf]]=1,Tasks[[#This Row],[_LeafTotalWork]]&gt;0),Tasks[[#This Row],[_Res2Work]]&gt;0),Tasks[[#This Row],[_Res2Work]]/(Tasks[[#This Row],[_FinishWorkday]]-Tasks[[#This Row],[_StartWorkday]]+1),0)</f>
        <v>0</v>
      </c>
      <c r="DZ88" s="43" t="n">
        <f aca="false">Tasks[[#This Row],[_Res2WorkPerWD]]*MAX(0,Tasks[[#This Row],[_StartWorkday]]-1)</f>
        <v>0</v>
      </c>
      <c r="EA88" s="43" t="n">
        <f aca="false">Tasks[[#This Row],[_Res2Work]]*Tasks[[#This Row],[_LeafProgress]]</f>
        <v>0</v>
      </c>
      <c r="EB88" s="43" t="str">
        <f aca="false">IF(Tasks[[#This Row],[_Res3Text]]="","",IF(Tasks[[#This Row],[_Res3Row]]&gt;0,INDEX(res_Name,Tasks[[#This Row],[_Res3Row]]),TRIM(LEFT(Tasks[[#This Row],[_Res3Text]],FIND("[",Tasks[[#This Row],[_Res3Text]]&amp;"[")-1))))</f>
        <v/>
      </c>
      <c r="EC8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8" s="43" t="n">
        <f aca="false">IF(OR(NOT(Tasks[[#This Row],[_IsLeaf]]=1),Tasks[[#This Row],[_Res3Row]]=0),0,N(Tasks[[#This Row],[_Days]])*HoursPerDay*IF(Tasks[[#This Row],[_Res3Units]]="",DefaultUnits,Tasks[[#This Row],[_Res3Units]]))</f>
        <v>0</v>
      </c>
      <c r="EE88" s="43" t="n">
        <f aca="false">IF(AND(AND(Tasks[[#This Row],[_IsLeaf]]=1,Tasks[[#This Row],[_LeafTotalWork]]&gt;0),Tasks[[#This Row],[_Res3Work]]&gt;0),Tasks[[#This Row],[_Res3Work]]/(Tasks[[#This Row],[_FinishWorkday]]-Tasks[[#This Row],[_StartWorkday]]+1),0)</f>
        <v>0</v>
      </c>
      <c r="EF88" s="43" t="n">
        <f aca="false">Tasks[[#This Row],[_Res3WorkPerWD]]*MAX(0,Tasks[[#This Row],[_StartWorkday]]-1)</f>
        <v>0</v>
      </c>
      <c r="EG88" s="43" t="n">
        <f aca="false">Tasks[[#This Row],[_Res3Work]]*Tasks[[#This Row],[_LeafProgress]]</f>
        <v>0</v>
      </c>
      <c r="EH88" s="43" t="str">
        <f aca="false">IF(Tasks[[#This Row],[_Res4Text]]="","",IF(Tasks[[#This Row],[_Res4Row]]&gt;0,INDEX(res_Name,Tasks[[#This Row],[_Res4Row]]),TRIM(LEFT(Tasks[[#This Row],[_Res4Text]],FIND("[",Tasks[[#This Row],[_Res4Text]]&amp;"[")-1))))</f>
        <v/>
      </c>
      <c r="EI8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8" s="43" t="n">
        <f aca="false">IF(OR(NOT(Tasks[[#This Row],[_IsLeaf]]=1),Tasks[[#This Row],[_Res4Row]]=0),0,N(Tasks[[#This Row],[_Days]])*HoursPerDay*IF(Tasks[[#This Row],[_Res4Units]]="",DefaultUnits,Tasks[[#This Row],[_Res4Units]]))</f>
        <v>0</v>
      </c>
      <c r="EK88" s="43" t="n">
        <f aca="false">IF(AND(AND(Tasks[[#This Row],[_IsLeaf]]=1,Tasks[[#This Row],[_LeafTotalWork]]&gt;0),Tasks[[#This Row],[_Res4Work]]&gt;0),Tasks[[#This Row],[_Res4Work]]/(Tasks[[#This Row],[_FinishWorkday]]-Tasks[[#This Row],[_StartWorkday]]+1),0)</f>
        <v>0</v>
      </c>
      <c r="EL88" s="43" t="n">
        <f aca="false">Tasks[[#This Row],[_Res4WorkPerWD]]*MAX(0,Tasks[[#This Row],[_StartWorkday]]-1)</f>
        <v>0</v>
      </c>
      <c r="EM88" s="43" t="n">
        <f aca="false">Tasks[[#This Row],[_Res4Work]]*Tasks[[#This Row],[_LeafProgress]]</f>
        <v>0</v>
      </c>
      <c r="EN88" s="43" t="n">
        <f aca="false">IF(ISNUMBER(Tasks[[#This Row],[% Complete]]),Tasks[[#This Row],[% Complete]],IF(Tasks[[#This Row],[Stage]]="",0,IFERROR(INDEX(stg_Pct,MATCH(Tasks[[#This Row],[Stage]],stg_Name,0)),0)))</f>
        <v>0</v>
      </c>
      <c r="EO88" s="43" t="n">
        <f aca="false">IF(NOT(Tasks[[#This Row],[_IsLeaf]]=1),0,IF(N(Tasks[[#This Row],[Actual Finish]])&gt;0,1,MIN(1,Tasks[[#This Row],[_Pct]])))</f>
        <v>0</v>
      </c>
      <c r="EP88" s="43" t="n">
        <f aca="false">IF(OR(NOT(Tasks[[#This Row],[_IsLeaf]]=1),Tasks[[#This Row],[_Res1Row]]=0),0,N(Tasks[[#This Row],[_Days]])*HoursPerDay*IF(Tasks[[#This Row],[_Units1]]="",DefaultUnits,Tasks[[#This Row],[_Units1]]))</f>
        <v>0</v>
      </c>
      <c r="EQ88" s="43" t="n">
        <f aca="false">Tasks[[#This Row],[_LeafWork]]+Tasks[[#This Row],[_Res2Work]]+Tasks[[#This Row],[_Res3Work]]+Tasks[[#This Row],[_Res4Work]]</f>
        <v>0</v>
      </c>
      <c r="ER8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8" s="43" t="n">
        <f aca="false">IF(NOT(Tasks[[#This Row],[_IsLeaf]]=1),0,MAX(_xlfn.MAXIFS(Tasks[_Row],Tasks[_Pred1UID],Tasks[[#This Row],[UID]]),_xlfn.MAXIFS(Tasks[_Row],Tasks[_Pred2UID],Tasks[[#This Row],[UID]]),_xlfn.MAXIFS(Tasks[_Row],Tasks[_Pred3UID],Tasks[[#This Row],[UID]]),_xlfn.MAXIFS(Tasks[_Row],Tasks[_Pred4UID],Tasks[[#This Row],[UID]])))</f>
        <v>0</v>
      </c>
      <c r="FA8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8" s="91" t="str">
        <f aca="false">IF(NOT(Tasks[[#This Row],[_IsLeaf]]=1),"",IF(N(Tasks[[#This Row],[_Days]])&lt;=0,Tasks[[#This Row],[_LeafLateFinish]],WORKDAY.INTL(Tasks[[#This Row],[_LeafLateFinish]],-(Tasks[[#This Row],[_Days]]-1),WorkWeek,Holidays)))</f>
        <v/>
      </c>
      <c r="FD8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8" s="90" t="b">
        <f aca="false">AND(Tasks[[#This Row],[_IsLeaf]]=1,Tasks[[#This Row],[_LeafProgress]]&lt;1,N(Tasks[[#This Row],[_LeafTotalSlack]])&lt;=CriticalSlackDays)</f>
        <v>0</v>
      </c>
      <c r="FF88" s="43" t="n">
        <f aca="false">IF(AND(Tasks[[#This Row],[_IsLeaf]]=1,Tasks[[#This Row],[_ConstraintCode]]=1,Tasks[[#This Row],[Mode]]&lt;&gt;"Manual",N(Tasks[[#This Row],[Actual Start]])=0),MAX(0,N(Tasks[[#This Row],[Free Slack]])),0)</f>
        <v>0</v>
      </c>
      <c r="FG88" s="91" t="str">
        <f aca="false">IF(NOT(Tasks[[#This Row],[_IsLeaf]]=1),"",IF(Tasks[[#This Row],[_AlapShift]]=0,Tasks[[#This Row],[_LeafCalcStart]],WORKDAY.INTL(Tasks[[#This Row],[_LeafCalcStart]],Tasks[[#This Row],[_AlapShift]],WorkWeek,Holidays)))</f>
        <v/>
      </c>
      <c r="FH88" s="91" t="str">
        <f aca="false">IF(NOT(Tasks[[#This Row],[_IsLeaf]]=1),"",IF(Tasks[[#This Row],[_AlapShift]]=0,Tasks[[#This Row],[_LeafCalcFinish]],WORKDAY.INTL(Tasks[[#This Row],[_LeafCalcFinish]],Tasks[[#This Row],[_AlapShift]],WorkWeek,Holidays)))</f>
        <v/>
      </c>
      <c r="FI88" s="91" t="str">
        <f aca="false">IF(NOT(Tasks[[#This Row],[_IsLeaf]]=1),"",IF(Tasks[[#This Row],[_AlapShift]]=0,Tasks[[#This Row],[_LeafFcstStart]],WORKDAY.INTL(Tasks[[#This Row],[_LeafFcstStart]],Tasks[[#This Row],[_AlapShift]],WorkWeek,Holidays)))</f>
        <v/>
      </c>
      <c r="FJ88" s="91" t="str">
        <f aca="false">IF(NOT(Tasks[[#This Row],[_IsLeaf]]=1),"",IF(Tasks[[#This Row],[_AlapShift]]=0,Tasks[[#This Row],[_LeafFcstFinish]],WORKDAY.INTL(Tasks[[#This Row],[_LeafFcstFinish]],Tasks[[#This Row],[_AlapShift]],WorkWeek,Holidays)))</f>
        <v/>
      </c>
      <c r="FK88" s="91" t="str">
        <f aca="false">IF(Tasks[[#This Row],[Task Name]]="","",IF(Tasks[[#This Row],[_IsSummary]],MIN(INDEX(Tasks[_ShownCalcStart],Tasks[[#This Row],[_Row]]+1):INDEX(Tasks[_ShownCalcStart],Tasks[[#This Row],[_Row]]+Tasks[[#This Row],[_Descendants]])),Tasks[[#This Row],[_ShownCalcStart]]))</f>
        <v/>
      </c>
      <c r="FL88" s="91" t="str">
        <f aca="false">IF(Tasks[[#This Row],[Task Name]]="","",IF(Tasks[[#This Row],[_IsSummary]],MAX(INDEX(Tasks[_ShownCalcFinish],Tasks[[#This Row],[_Row]]+1):INDEX(Tasks[_ShownCalcFinish],Tasks[[#This Row],[_Row]]+Tasks[[#This Row],[_Descendants]])),Tasks[[#This Row],[_ShownCalcFinish]]))</f>
        <v/>
      </c>
      <c r="FM8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8" s="43" t="n">
        <f aca="false">IF(AND(Tasks[[#This Row],[_IsLeaf]]=1,Tasks[[#This Row],[_LeafTotalWork]]&gt;0),NETWORKDAYS.INTL(ProjectStart,Tasks[[#This Row],[_ShownFcstStart]],WorkWeek,Holidays),0)</f>
        <v>0</v>
      </c>
      <c r="FZ88" s="43" t="n">
        <f aca="false">IF(AND(Tasks[[#This Row],[_IsLeaf]]=1,Tasks[[#This Row],[_LeafTotalWork]]&gt;0),MAX(Tasks[[#This Row],[_StartWorkday]],NETWORKDAYS.INTL(ProjectStart,Tasks[[#This Row],[_ShownFcstFinish]],WorkWeek,Holidays)),0)</f>
        <v>0</v>
      </c>
      <c r="GA88" s="43" t="n">
        <f aca="false">IF(AND(Tasks[[#This Row],[_IsLeaf]]=1,Tasks[[#This Row],[_LeafTotalWork]]&gt;0),Tasks[[#This Row],[_LeafWork]]/(Tasks[[#This Row],[_FinishWorkday]]-Tasks[[#This Row],[_StartWorkday]]+1),0)</f>
        <v>0</v>
      </c>
      <c r="GB88" s="43" t="n">
        <f aca="false">Tasks[[#This Row],[_WorkPerWorkday]]*(Tasks[[#This Row],[_StartWorkday]]-1)</f>
        <v>-0</v>
      </c>
      <c r="GC88" s="43" t="n">
        <f aca="false">IF(Tasks[[#This Row],[_IsLeaf]]=1,MAX(N(Tasks[[#This Row],[_Days]]),0.1),0)</f>
        <v>0</v>
      </c>
      <c r="GD88" s="43" t="n">
        <f aca="false">Tasks[[#This Row],[_WeightDur]]*Tasks[[#This Row],[_LeafProgress]]</f>
        <v>0</v>
      </c>
      <c r="GE88" s="43" t="n">
        <f aca="false">Tasks[[#This Row],[_WeightDur]]*Tasks[[#This Row],[_PlannedPct]]</f>
        <v>0</v>
      </c>
      <c r="GF8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8" s="43" t="str">
        <f aca="false">IF(AND(Tasks[[#This Row],[_IsLeaf]]=1,N(Tasks[[#This Row],[_Days]])=0,Tasks[[#This Row],[_LeafProgress]]&lt;1),Tasks[[#This Row],[_ShownFcstFinish]]+Tasks[[#This Row],[_Row]]/100000,"")</f>
        <v/>
      </c>
      <c r="GH8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8" s="43" t="str">
        <f aca="false">IF(Tasks[[#This Row],[Task Name]]="","",LEFT(Tasks[[#This Row],[WBS]],FIND(".",Tasks[[#This Row],[WBS]]&amp;".")-1))</f>
        <v/>
      </c>
      <c r="GJ88" s="43" t="str">
        <f aca="false">IF(AND(Tasks[[#This Row],[Task Name]]&lt;&gt;"",Tasks[[#This Row],[_Level]]=1),Tasks[[#This Row],[_Row]],"")</f>
        <v/>
      </c>
      <c r="GK88" s="43" t="str">
        <f aca="false">IF(AND(Tasks[[#This Row],[_IsLeaf]]=1,N(Tasks[[#This Row],[_Days]])=0),Tasks[[#This Row],[Planned Finish]]+Tasks[[#This Row],[_Row]]/100000,"")</f>
        <v/>
      </c>
      <c r="GL88" s="43" t="str">
        <f aca="false">IF(AND(Tasks[[#This Row],[_IsLeaf]]=1,Tasks[[#This Row],[_LeafProgress]]&lt;1,OR(N(Tasks[[#This Row],[Finish Var]])&gt;0,Tasks[[#This Row],[Status]]="Late Start")),MAX(0,Tasks[[#This Row],[Finish Var]])+1-Tasks[[#This Row],[_Row]]/1000000,"")</f>
        <v/>
      </c>
      <c r="GM88" s="43" t="str">
        <f aca="false">IF(AND(Tasks[[#This Row],[_IsLeaf]]=1,N(Tasks[[#This Row],[Actual Start]])=0,Tasks[[#This Row],[_ShownFcstStart]]&gt;=StatusDate,Tasks[[#This Row],[_ShownFcstStart]]&lt;=LookaheadEnd),Tasks[[#This Row],[_ShownFcstStart]]+Tasks[[#This Row],[_Row]]/100000,"")</f>
        <v/>
      </c>
      <c r="GN88" s="43" t="str">
        <f aca="false">IF(AND(Tasks[[#This Row],[_IsLeaf]]=1,Tasks[[#This Row],[_LeafProgress]]&lt;1,Tasks[[#This Row],[_ShownFcstFinish]]&gt;=StatusDate,Tasks[[#This Row],[_ShownFcstFinish]]&lt;=LookaheadEnd),Tasks[[#This Row],[_ShownFcstFinish]]+Tasks[[#This Row],[_Row]]/100000,"")</f>
        <v/>
      </c>
      <c r="GO88" s="43" t="str">
        <f aca="false">IF(Tasks[[#This Row],[_LeafCritical]],Tasks[[#This Row],[_ShownFcstStart]]+Tasks[[#This Row],[_Row]]/100000,"")</f>
        <v/>
      </c>
      <c r="GP88" s="43" t="n">
        <f aca="false">Tasks[[#This Row],[_LeafWork]]*Tasks[[#This Row],[_LeafProgress]]</f>
        <v>0</v>
      </c>
      <c r="GQ88" s="91" t="str">
        <f aca="false">IF(AND(Tasks[[#This Row],[_IsLeaf]]=1,Tasks[[#This Row],[_LeafProgress]]&gt;=1),IF(N(Tasks[[#This Row],[Actual Finish]])&gt;0,Tasks[[#This Row],[Actual Finish]],Tasks[[#This Row],[_ShownFcstFinish]]),"")</f>
        <v/>
      </c>
      <c r="GR88" s="43" t="n">
        <f aca="false">IF(Tasks[[#This Row],[_IsLeaf]]=1,N(Tasks[[#This Row],[Story Points]]),0)</f>
        <v>0</v>
      </c>
      <c r="GS88" s="43" t="str">
        <f aca="false">""</f>
        <v/>
      </c>
      <c r="GT88" s="90" t="b">
        <f aca="false">IF(Tasks[[#This Row],[Task Name]]="",FALSE(),AND(Tasks[[#This Row],[_IsLeaf]]=1,N(Tasks[[#This Row],[_Days]])=0))</f>
        <v>0</v>
      </c>
      <c r="GU88" s="91" t="n">
        <f aca="false">IF(Tasks[[#This Row],[Task Name]]="",0,IF(AND(Tasks[[#This Row],[_IsLeaf]]=1,NOT(Tasks[[#This Row],[_IsMilestone]]),N(Tasks[[#This Row],[Progress]])&gt;0),Tasks[[#This Row],[Start]],0))</f>
        <v>0</v>
      </c>
      <c r="GV88" s="91" t="n">
        <f aca="false">IF(Tasks[[#This Row],[_DoneFrom]]=0,0,IF(Tasks[[#This Row],[Progress]]&gt;=1,Tasks[[#This Row],[Finish]],MAX(Tasks[[#This Row],[_DoneFrom]],Tasks[[#This Row],[Start]]+ROUND((Tasks[[#This Row],[Finish]]-Tasks[[#This Row],[Start]]+1)*Tasks[[#This Row],[Progress]],0)-1)))</f>
        <v>0</v>
      </c>
      <c r="GW88" s="91" t="n">
        <f aca="false">IF(Tasks[[#This Row],[Task Name]]="",0,IF(OR(NOT(Tasks[[#This Row],[_IsLeaf]]=1),Tasks[[#This Row],[_IsMilestone]],N(Tasks[[#This Row],[Progress]])&gt;=1),0,IF(Tasks[[#This Row],[_DoneTo]]&gt;0,Tasks[[#This Row],[_DoneTo]]+1,Tasks[[#This Row],[Start]])))</f>
        <v>0</v>
      </c>
      <c r="GX88" s="91" t="n">
        <f aca="false">IF(Tasks[[#This Row],[_RemFrom]]=0,0,Tasks[[#This Row],[Finish]])</f>
        <v>0</v>
      </c>
      <c r="GY88" s="90" t="b">
        <f aca="false">IF(Tasks[[#This Row],[Task Name]]="",FALSE(),OR(NOT(BaselineSet),N(Tasks[[#This Row],[Baseline Start]])&gt;0))</f>
        <v>0</v>
      </c>
      <c r="GZ8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8" s="92" t="str">
        <f aca="false">IF(Tasks[[#This Row],[_IsLeaf]]=1,Tasks[[#This Row],[_Row]],"")</f>
        <v/>
      </c>
      <c r="HD88" s="92" t="str">
        <f aca="false">IFERROR(INDEX(Tasks[UID],SMALL(Tasks[_PickKey],Tasks[[#This Row],[_Row]]))&amp;" "&amp;INDEX(Tasks[Task Name],SMALL(Tasks[_PickKey],Tasks[[#This Row],[_Row]])),"")</f>
        <v/>
      </c>
      <c r="HE88" s="43" t="str">
        <f aca="false">IF(Tasks[[#This Row],[Task Name]]="","",IF(Tasks[[#This Row],[_IsSummary]],NETWORKDAYS.INTL(Tasks[[#This Row],[Start]],Tasks[[#This Row],[Finish]],WorkWeek,Holidays),N(Tasks[[#This Row],[_Days]])))</f>
        <v/>
      </c>
      <c r="HF88" s="43" t="n">
        <f aca="false">IF(Tasks[[#This Row],[Expected]]="",0,((Tasks[[#This Row],[Pessimistic]]-Tasks[[#This Row],[Optimistic]])/6)^2)</f>
        <v>0</v>
      </c>
      <c r="HG88" s="43" t="n">
        <f aca="false">IF(Tasks[[#This Row],[Expected]]="",0,Tasks[[#This Row],[Expected]]-N(Tasks[[#This Row],[_Days]]))</f>
        <v>0</v>
      </c>
    </row>
    <row r="89" customFormat="false" ht="15" hidden="false" customHeight="false" outlineLevel="0" collapsed="false">
      <c r="A89" s="21" t="str">
        <f aca="false">IF(Tasks[[#This Row],[Task Name]]="","",COUNTA(Tasks[[#Headers],[Task Name]]:Tasks[[#This Row],[Task Name]])-1)</f>
        <v/>
      </c>
      <c r="B89" s="22" t="n">
        <v>97</v>
      </c>
      <c r="C89" s="22"/>
      <c r="D89" s="23"/>
      <c r="E89" s="22"/>
      <c r="F89" s="23"/>
      <c r="G89" s="22"/>
      <c r="H89" s="22"/>
      <c r="I89" s="23"/>
      <c r="J89" s="22"/>
      <c r="K89" s="22"/>
      <c r="L89" s="23"/>
      <c r="M89" s="22"/>
      <c r="N89" s="22"/>
      <c r="O89" s="23"/>
      <c r="P89" s="22"/>
      <c r="Q89" s="22"/>
      <c r="R89" s="23"/>
      <c r="S89" s="23"/>
      <c r="T89" s="84"/>
      <c r="U89" s="23"/>
      <c r="V89" s="84"/>
      <c r="W89" s="23"/>
      <c r="X89" s="84"/>
      <c r="Y89" s="23"/>
      <c r="Z89" s="84"/>
      <c r="AA89" s="23"/>
      <c r="AB89" s="23"/>
      <c r="AC89" s="7"/>
      <c r="AD89" s="7"/>
      <c r="AE89" s="63" t="str">
        <f aca="false">IF(Tasks[[#This Row],[Task Name]]="","",IF(Tasks[[#This Row],[_IsSummary]],MIN(INDEX(Tasks[_ShownFcstStart],Tasks[[#This Row],[_Row]]+1):INDEX(Tasks[_ShownFcstStart],Tasks[[#This Row],[_Row]]+Tasks[[#This Row],[_Descendants]])),Tasks[[#This Row],[_ShownFcstStart]]))</f>
        <v/>
      </c>
      <c r="AF89" s="63" t="str">
        <f aca="false">IF(Tasks[[#This Row],[Task Name]]="","",IF(Tasks[[#This Row],[_IsSummary]],MAX(INDEX(Tasks[_ShownFcstFinish],Tasks[[#This Row],[_Row]]+1):INDEX(Tasks[_ShownFcstFinish],Tasks[[#This Row],[_Row]]+Tasks[[#This Row],[_Descendants]])),Tasks[[#This Row],[_ShownFcstFinish]]))</f>
        <v/>
      </c>
      <c r="AG89" s="21" t="str">
        <f aca="false">""</f>
        <v/>
      </c>
      <c r="AH89" s="23"/>
      <c r="AI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9" s="7"/>
      <c r="AK89" s="22"/>
      <c r="AL89" s="23"/>
      <c r="AM89" s="7"/>
      <c r="AN89" s="47" t="str">
        <f aca="false">IF(Tasks[[#This Row],[Task Name]]="","",IF(Tasks[[#This Row],[Finish]]&gt;=Tasks[[#This Row],[Planned Finish]],NETWORKDAYS.INTL(Tasks[[#This Row],[Planned Finish]],Tasks[[#This Row],[Finish]],WorkWeek,Holidays)-1,1-NETWORKDAYS.INTL(Tasks[[#This Row],[Finish]],Tasks[[#This Row],[Planned Finish]],WorkWeek,Holidays)))</f>
        <v/>
      </c>
      <c r="AO89" s="21" t="str">
        <f aca="false">IF(Tasks[[#This Row],[Task Name]]="","",IF(Tasks[[#This Row],[Progress]]&gt;=1,"Complete",IF(OR(N(Tasks[[#This Row],[Actual Start]])&gt;0,Tasks[[#This Row],[Progress]]&gt;0),IF(Tasks[[#This Row],[Finish Var]]&gt;0,"Behind","In Progress"),IF(Tasks[[#This Row],[Planned Start]]&lt;StatusDate,"Late Start","Not Started"))))</f>
        <v/>
      </c>
      <c r="AP89" s="21" t="str">
        <f aca="false">IF(Tasks[[#This Row],[Task Name]]="","",IF(IF(Tasks[[#This Row],[_IsSummary]],COUNTIF(INDEX(Tasks[_LeafCritical],Tasks[[#This Row],[_Row]]+1):INDEX(Tasks[_LeafCritical],Tasks[[#This Row],[_Row]]+Tasks[[#This Row],[_Descendants]]),TRUE())&gt;0,Tasks[[#This Row],[_LeafCritical]]),"Yes",""))</f>
        <v/>
      </c>
      <c r="AQ89" s="63" t="str">
        <f aca="false">IF(Tasks[[#This Row],[Task Name]]="","",IF(N(Tasks[[#This Row],[Baseline Start]])&gt;0,Tasks[[#This Row],[Baseline Start]],Tasks[[#This Row],[_CalcStart]]))</f>
        <v/>
      </c>
      <c r="AR89" s="63" t="str">
        <f aca="false">IF(Tasks[[#This Row],[Task Name]]="","",IF(N(Tasks[[#This Row],[Baseline Finish]])&gt;0,Tasks[[#This Row],[Baseline Finish]],Tasks[[#This Row],[_CalcFinish]]))</f>
        <v/>
      </c>
      <c r="AS89" s="47" t="str">
        <f aca="false">IF(Tasks[[#This Row],[Task Name]]="","",IF(Tasks[[#This Row],[Start]]&gt;=Tasks[[#This Row],[Planned Start]],NETWORKDAYS.INTL(Tasks[[#This Row],[Planned Start]],Tasks[[#This Row],[Start]],WorkWeek,Holidays)-1,1-NETWORKDAYS.INTL(Tasks[[#This Row],[Start]],Tasks[[#This Row],[Planned Start]],WorkWeek,Holidays)))</f>
        <v/>
      </c>
      <c r="AT89" s="63" t="str">
        <f aca="false">IF(Tasks[[#This Row],[Task Name]]="","",IF(Tasks[[#This Row],[_IsSummary]],MIN(INDEX(Tasks[_LeafLateStart],Tasks[[#This Row],[_Row]]+1):INDEX(Tasks[_LeafLateStart],Tasks[[#This Row],[_Row]]+Tasks[[#This Row],[_Descendants]])),Tasks[[#This Row],[_LeafLateStart]]))</f>
        <v/>
      </c>
      <c r="AU89" s="63" t="str">
        <f aca="false">IF(Tasks[[#This Row],[Task Name]]="","",IF(Tasks[[#This Row],[_IsSummary]],MAX(INDEX(Tasks[_LeafLateFinish],Tasks[[#This Row],[_Row]]+1):INDEX(Tasks[_LeafLateFinish],Tasks[[#This Row],[_Row]]+Tasks[[#This Row],[_Descendants]])),Tasks[[#This Row],[_LeafLateFinish]]))</f>
        <v/>
      </c>
      <c r="AV89" s="47" t="str">
        <f aca="false">IF(Tasks[[#This Row],[Task Name]]="","",IF(Tasks[[#This Row],[_IsSummary]],MIN(INDEX(Tasks[_LeafTotalSlack],Tasks[[#This Row],[_Row]]+1):INDEX(Tasks[_LeafTotalSlack],Tasks[[#This Row],[_Row]]+Tasks[[#This Row],[_Descendants]])),Tasks[[#This Row],[_LeafTotalSlack]]))</f>
        <v/>
      </c>
      <c r="AW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5"/>
      <c r="BA8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1" t="str">
        <f aca="false">IF(Tasks[[#This Row],[Task Name]]="","",IF(Tasks[[#This Row],[_Level]]&lt;=OutlineShowLevel,"Yes","No"))</f>
        <v/>
      </c>
      <c r="BE89" s="86" t="str">
        <f aca="false">IF(Tasks[[#This Row],[Task Name]]="","",IF(Tasks[[#This Row],[_IsSummary]],SUM(INDEX(Tasks[_LeafTotalWork],Tasks[[#This Row],[_Row]]+1):INDEX(Tasks[_LeafTotalWork],Tasks[[#This Row],[_Row]]+Tasks[[#This Row],[_Descendants]])),Tasks[[#This Row],[_LeafTotalWork]]))</f>
        <v/>
      </c>
      <c r="BF89" s="23"/>
      <c r="BG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9" s="21" t="str">
        <f aca="false">""</f>
        <v/>
      </c>
      <c r="BI89" s="87"/>
      <c r="BJ89" s="22"/>
      <c r="BK89" s="47" t="str">
        <f aca="false">IF(OR(Tasks[[#This Row],[Task Name]]="",Tasks[[#This Row],[Baseline Duration]]=""),"",Tasks[[#This Row],[_SpanDays]]-N(Tasks[[#This Row],[Baseline Duration]]))</f>
        <v/>
      </c>
      <c r="BL89" s="86" t="str">
        <f aca="false">IF(OR(Tasks[[#This Row],[Task Name]]="",Tasks[[#This Row],[Baseline Work]]=""),"",Tasks[[#This Row],[Work]]-N(Tasks[[#This Row],[Baseline Work]]))</f>
        <v/>
      </c>
      <c r="BM89" s="63" t="str">
        <f aca="false">IF(Tasks[[#This Row],[Task Name]]="","",IF(OR(TakeBaseline="Yes",N(Tasks[[#This Row],[Baseline Start]])=0),Tasks[[#This Row],[Start]],Tasks[[#This Row],[Baseline Start]]))</f>
        <v/>
      </c>
      <c r="BN89" s="63" t="str">
        <f aca="false">IF(Tasks[[#This Row],[Task Name]]="","",IF(OR(TakeBaseline="Yes",N(Tasks[[#This Row],[Baseline Finish]])=0),Tasks[[#This Row],[Finish]],Tasks[[#This Row],[Baseline Finish]]))</f>
        <v/>
      </c>
      <c r="BO89" s="21" t="str">
        <f aca="false">IF(Tasks[[#This Row],[Task Name]]="","",IF(OR(TakeBaseline="Yes",N(Tasks[[#This Row],[Baseline Duration]])=0),Tasks[[#This Row],[_SpanDays]],Tasks[[#This Row],[Baseline Duration]]))</f>
        <v/>
      </c>
      <c r="BP89" s="86" t="str">
        <f aca="false">IF(Tasks[[#This Row],[Task Name]]="","",IF(OR(TakeBaseline="Yes",N(Tasks[[#This Row],[Baseline Work]])=0),Tasks[[#This Row],[Work]],Tasks[[#This Row],[Baseline Work]]))</f>
        <v/>
      </c>
      <c r="BQ89" s="7"/>
      <c r="BR89" s="7"/>
      <c r="BS89" s="22"/>
      <c r="BT89" s="88"/>
      <c r="BU89" s="23"/>
      <c r="BV89" s="23"/>
      <c r="BW89" s="23"/>
      <c r="BX89" s="89" t="str">
        <f aca="false">IF(AND(Tasks[[#This Row],[_IsLeaf]]=1,ISNUMBER(Tasks[[#This Row],[Optimistic]]),ISNUMBER(Tasks[[#This Row],[Pessimistic]])),ROUND((Tasks[[#This Row],[Optimistic]]+4*N(Tasks[[#This Row],[_Days]])+Tasks[[#This Row],[Pessimistic]])/6,1),"")</f>
        <v/>
      </c>
      <c r="BY89" s="87"/>
      <c r="BZ89" s="87"/>
      <c r="CA89" s="22"/>
      <c r="CB89" s="43" t="str">
        <f aca="false">IF(Tasks[[#This Row],[Task Name]]="","",MAX(1,N(Tasks[[#This Row],[Level]])))</f>
        <v/>
      </c>
      <c r="CC89" s="43" t="n">
        <f aca="false">ROW()-ROW(Tasks[[#Headers],[ID]])</f>
        <v>84</v>
      </c>
      <c r="CD89" s="43" t="n">
        <f aca="false">IF(OR(Tasks[[#This Row],[Task Name]]="",Tasks[[#This Row],[_Level]]&lt;=1),0,IFERROR(LOOKUP(2,1/(Tasks[[#Headers],[_Level]]:Tasks[[#This Row],[_Level]]=Tasks[[#This Row],[_Level]]-1),ROW(Tasks[[#Headers],[_Level]]:Tasks[[#This Row],[_Level]])),0))</f>
        <v>0</v>
      </c>
      <c r="CE89" s="43" t="n">
        <f aca="false">IFERROR(N(INDEX(Tasks[_Level],Tasks[[#This Row],[_Row]]+1)),0)</f>
        <v>0</v>
      </c>
      <c r="CF89" s="90" t="b">
        <f aca="false">AND(Tasks[[#This Row],[Task Name]]&lt;&gt;"",Tasks[[#This Row],[_NextLevel]]&gt;Tasks[[#This Row],[_Level]])</f>
        <v>0</v>
      </c>
      <c r="CG89" s="43" t="n">
        <f aca="false">IF(Tasks[[#This Row],[_IsSummary]],COUNTIF(Tasks[WBS],Tasks[[#This Row],[WBS]]&amp;".*"),0)</f>
        <v>0</v>
      </c>
      <c r="CH89" s="43" t="n">
        <f aca="false">IF(AND(Tasks[[#This Row],[Task Name]]&lt;&gt;"",NOT(Tasks[[#This Row],[_IsSummary]])),1,0)</f>
        <v>0</v>
      </c>
      <c r="CI89" s="43" t="n">
        <f aca="false">IF(N(Tasks[[#This Row],[_Pred1UID]])=0,0,IFERROR(MATCH(Tasks[[#This Row],[_Pred1UID]],Tasks[UID],0),-1))</f>
        <v>0</v>
      </c>
      <c r="CJ89" s="43" t="n">
        <f aca="false">IF(N(Tasks[[#This Row],[_Pred2UID]])=0,0,IFERROR(MATCH(Tasks[[#This Row],[_Pred2UID]],Tasks[UID],0),-1))</f>
        <v>0</v>
      </c>
      <c r="CK89" s="43" t="n">
        <f aca="false">IF(N(Tasks[[#This Row],[_Pred3UID]])=0,0,IFERROR(MATCH(Tasks[[#This Row],[_Pred3UID]],Tasks[UID],0),-1))</f>
        <v>0</v>
      </c>
      <c r="CL89" s="43" t="n">
        <f aca="false">IF(N(Tasks[[#This Row],[_Pred4UID]])=0,0,IFERROR(MATCH(Tasks[[#This Row],[_Pred4UID]],Tasks[UID],0),-1))</f>
        <v>0</v>
      </c>
      <c r="CM8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9" s="91" t="n">
        <f aca="false">IF(OR(Tasks[[#This Row],[_ConstraintCode]]=2,Tasks[[#This Row],[_ConstraintCode]]=3,Tasks[[#This Row],[_ConstraintCode]]=4,Tasks[[#This Row],[_ConstraintCode]]=6),Tasks[[#This Row],[_ConstraintStart]],0)</f>
        <v>0</v>
      </c>
      <c r="CP89" s="91" t="n">
        <f aca="false">IF(OR(Tasks[[#This Row],[_ConstraintCode]]=2,Tasks[[#This Row],[_ConstraintCode]]=3,Tasks[[#This Row],[_ConstraintCode]]=5,Tasks[[#This Row],[_ConstraintCode]]=7),Tasks[[#This Row],[_ConstraintStart]],2958465)</f>
        <v>2958465</v>
      </c>
      <c r="CQ8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9" s="91" t="str">
        <f aca="false">IF(NOT(Tasks[[#This Row],[_IsLeaf]]=1),"",IF(N(Tasks[[#This Row],[_Days]])&lt;=0,Tasks[[#This Row],[_LeafCalcStart]],WORKDAY.INTL(Tasks[[#This Row],[_LeafCalcStart]],Tasks[[#This Row],[_Days]]-1,WorkWeek,Holidays)))</f>
        <v/>
      </c>
      <c r="CS8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9" s="43" t="str">
        <f aca="false">IF(Tasks[[#This Row],[_Predecessors]]="","",TRIM(MID(SUBSTITUTE(SUBSTITUTE(SUBSTITUTE(UPPER(Tasks[[#This Row],[_Predecessors]]),";",",")," ",""),",",REPT(" ",99)),1,99)))</f>
        <v/>
      </c>
      <c r="CV89" s="43" t="str">
        <f aca="false">IF(Tasks[[#This Row],[_Pred1Text]]="","",IFERROR(VALUE(LEFT(Tasks[[#This Row],[_Pred1Text]],MIN(FIND("F",Tasks[[#This Row],[_Pred1Text]]&amp;"F"),FIND("S",Tasks[[#This Row],[_Pred1Text]]&amp;"S"),FIND("+",Tasks[[#This Row],[_Pred1Text]]&amp;"+"),FIND("-",Tasks[[#This Row],[_Pred1Text]]&amp;"-"))-1)),""))</f>
        <v/>
      </c>
      <c r="CW8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9" s="43" t="str">
        <f aca="false">IF(Tasks[[#This Row],[_Pred1Text]]="","",TRIM(MID(SUBSTITUTE(SUBSTITUTE(SUBSTITUTE(UPPER(Tasks[[#This Row],[_Predecessors]]),";",",")," ",""),",",REPT(" ",99)),100,99)))</f>
        <v/>
      </c>
      <c r="CZ89" s="43" t="str">
        <f aca="false">IF(Tasks[[#This Row],[_Pred2Text]]="","",IFERROR(VALUE(LEFT(Tasks[[#This Row],[_Pred2Text]],MIN(FIND("F",Tasks[[#This Row],[_Pred2Text]]&amp;"F"),FIND("S",Tasks[[#This Row],[_Pred2Text]]&amp;"S"),FIND("+",Tasks[[#This Row],[_Pred2Text]]&amp;"+"),FIND("-",Tasks[[#This Row],[_Pred2Text]]&amp;"-"))-1)),""))</f>
        <v/>
      </c>
      <c r="DA8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9" s="43" t="str">
        <f aca="false">IF(Tasks[[#This Row],[_Pred2Text]]="","",TRIM(MID(SUBSTITUTE(SUBSTITUTE(SUBSTITUTE(UPPER(Tasks[[#This Row],[_Predecessors]]),";",",")," ",""),",",REPT(" ",99)),199,99)))</f>
        <v/>
      </c>
      <c r="DD89" s="43" t="str">
        <f aca="false">IF(Tasks[[#This Row],[_Pred3Text]]="","",IFERROR(VALUE(LEFT(Tasks[[#This Row],[_Pred3Text]],MIN(FIND("F",Tasks[[#This Row],[_Pred3Text]]&amp;"F"),FIND("S",Tasks[[#This Row],[_Pred3Text]]&amp;"S"),FIND("+",Tasks[[#This Row],[_Pred3Text]]&amp;"+"),FIND("-",Tasks[[#This Row],[_Pred3Text]]&amp;"-"))-1)),""))</f>
        <v/>
      </c>
      <c r="DE8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9" s="43" t="str">
        <f aca="false">IF(Tasks[[#This Row],[_Pred3Text]]="","",TRIM(MID(SUBSTITUTE(SUBSTITUTE(SUBSTITUTE(UPPER(Tasks[[#This Row],[_Predecessors]]),";",",")," ",""),",",REPT(" ",99)),298,99)))</f>
        <v/>
      </c>
      <c r="DH89" s="43" t="str">
        <f aca="false">IF(Tasks[[#This Row],[_Pred4Text]]="","",IFERROR(VALUE(LEFT(Tasks[[#This Row],[_Pred4Text]],MIN(FIND("F",Tasks[[#This Row],[_Pred4Text]]&amp;"F"),FIND("S",Tasks[[#This Row],[_Pred4Text]]&amp;"S"),FIND("+",Tasks[[#This Row],[_Pred4Text]]&amp;"+"),FIND("-",Tasks[[#This Row],[_Pred4Text]]&amp;"-"))-1)),""))</f>
        <v/>
      </c>
      <c r="DI8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9" s="43" t="str">
        <f aca="false">IF(OR(Tasks[[#This Row],[Task Name]]="",Tasks[[#This Row],[_Resources]]=""),"",TRIM(MID(SUBSTITUTE(Tasks[[#This Row],[_Resources]],",",REPT(" ",99)),1,99)))</f>
        <v/>
      </c>
      <c r="DL89" s="43" t="str">
        <f aca="false">IF(Tasks[[#This Row],[_Res1Text]]="","",TRIM(MID(SUBSTITUTE(Tasks[[#This Row],[_Resources]],",",REPT(" ",99)),100,99)))</f>
        <v/>
      </c>
      <c r="DM89" s="43" t="str">
        <f aca="false">IF(Tasks[[#This Row],[_Res2Text]]="","",TRIM(MID(SUBSTITUTE(Tasks[[#This Row],[_Resources]],",",REPT(" ",99)),199,99)))</f>
        <v/>
      </c>
      <c r="DN89" s="43" t="str">
        <f aca="false">IF(Tasks[[#This Row],[_Res3Text]]="","",TRIM(MID(SUBSTITUTE(Tasks[[#This Row],[_Resources]],",",REPT(" ",99)),298,99)))</f>
        <v/>
      </c>
      <c r="DO89" s="43" t="n">
        <f aca="false">IF(Tasks[[#This Row],[_Res1Text]]="",0,IFERROR(MATCH(TRIM(LEFT(Tasks[[#This Row],[_Res1Text]],FIND("[",Tasks[[#This Row],[_Res1Text]]&amp;"[")-1)),res_Name,0),IFERROR(MATCH(TRIM(LEFT(Tasks[[#This Row],[_Res1Text]],FIND("[",Tasks[[#This Row],[_Res1Text]]&amp;"[")-1)),res_Initials,0),0)))</f>
        <v>0</v>
      </c>
      <c r="DP89" s="43" t="n">
        <f aca="false">IF(Tasks[[#This Row],[_Res2Text]]="",0,IFERROR(MATCH(TRIM(LEFT(Tasks[[#This Row],[_Res2Text]],FIND("[",Tasks[[#This Row],[_Res2Text]]&amp;"[")-1)),res_Name,0),IFERROR(MATCH(TRIM(LEFT(Tasks[[#This Row],[_Res2Text]],FIND("[",Tasks[[#This Row],[_Res2Text]]&amp;"[")-1)),res_Initials,0),0)))</f>
        <v>0</v>
      </c>
      <c r="DQ89" s="43" t="n">
        <f aca="false">IF(Tasks[[#This Row],[_Res3Text]]="",0,IFERROR(MATCH(TRIM(LEFT(Tasks[[#This Row],[_Res3Text]],FIND("[",Tasks[[#This Row],[_Res3Text]]&amp;"[")-1)),res_Name,0),IFERROR(MATCH(TRIM(LEFT(Tasks[[#This Row],[_Res3Text]],FIND("[",Tasks[[#This Row],[_Res3Text]]&amp;"[")-1)),res_Initials,0),0)))</f>
        <v>0</v>
      </c>
      <c r="DR89" s="43" t="n">
        <f aca="false">IF(Tasks[[#This Row],[_Res4Text]]="",0,IFERROR(MATCH(TRIM(LEFT(Tasks[[#This Row],[_Res4Text]],FIND("[",Tasks[[#This Row],[_Res4Text]]&amp;"[")-1)),res_Name,0),IFERROR(MATCH(TRIM(LEFT(Tasks[[#This Row],[_Res4Text]],FIND("[",Tasks[[#This Row],[_Res4Text]]&amp;"[")-1)),res_Initials,0),0)))</f>
        <v>0</v>
      </c>
      <c r="DS89" s="43" t="str">
        <f aca="false">IF(Tasks[[#This Row],[_Res1Text]]="","",IF(Tasks[[#This Row],[_Res1Row]]&gt;0,INDEX(res_Name,Tasks[[#This Row],[_Res1Row]]),TRIM(LEFT(Tasks[[#This Row],[_Res1Text]],FIND("[",Tasks[[#This Row],[_Res1Text]]&amp;"[")-1))))</f>
        <v/>
      </c>
      <c r="DT8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9" s="43" t="n">
        <f aca="false">IF(NOT(Tasks[[#This Row],[_IsLeaf]]=1),0,(Tasks[[#This Row],[_Resource1]]&lt;&gt;"")+(Tasks[[#This Row],[_Res2]]&lt;&gt;"")+(Tasks[[#This Row],[_Res3]]&lt;&gt;"")+(Tasks[[#This Row],[_Res4]]&lt;&gt;""))</f>
        <v>0</v>
      </c>
      <c r="DV89" s="43" t="str">
        <f aca="false">IF(Tasks[[#This Row],[_Res2Text]]="","",IF(Tasks[[#This Row],[_Res2Row]]&gt;0,INDEX(res_Name,Tasks[[#This Row],[_Res2Row]]),TRIM(LEFT(Tasks[[#This Row],[_Res2Text]],FIND("[",Tasks[[#This Row],[_Res2Text]]&amp;"[")-1))))</f>
        <v/>
      </c>
      <c r="DW8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9" s="43" t="n">
        <f aca="false">IF(OR(NOT(Tasks[[#This Row],[_IsLeaf]]=1),Tasks[[#This Row],[_Res2Row]]=0),0,N(Tasks[[#This Row],[_Days]])*HoursPerDay*IF(Tasks[[#This Row],[_Res2Units]]="",DefaultUnits,Tasks[[#This Row],[_Res2Units]]))</f>
        <v>0</v>
      </c>
      <c r="DY89" s="43" t="n">
        <f aca="false">IF(AND(AND(Tasks[[#This Row],[_IsLeaf]]=1,Tasks[[#This Row],[_LeafTotalWork]]&gt;0),Tasks[[#This Row],[_Res2Work]]&gt;0),Tasks[[#This Row],[_Res2Work]]/(Tasks[[#This Row],[_FinishWorkday]]-Tasks[[#This Row],[_StartWorkday]]+1),0)</f>
        <v>0</v>
      </c>
      <c r="DZ89" s="43" t="n">
        <f aca="false">Tasks[[#This Row],[_Res2WorkPerWD]]*MAX(0,Tasks[[#This Row],[_StartWorkday]]-1)</f>
        <v>0</v>
      </c>
      <c r="EA89" s="43" t="n">
        <f aca="false">Tasks[[#This Row],[_Res2Work]]*Tasks[[#This Row],[_LeafProgress]]</f>
        <v>0</v>
      </c>
      <c r="EB89" s="43" t="str">
        <f aca="false">IF(Tasks[[#This Row],[_Res3Text]]="","",IF(Tasks[[#This Row],[_Res3Row]]&gt;0,INDEX(res_Name,Tasks[[#This Row],[_Res3Row]]),TRIM(LEFT(Tasks[[#This Row],[_Res3Text]],FIND("[",Tasks[[#This Row],[_Res3Text]]&amp;"[")-1))))</f>
        <v/>
      </c>
      <c r="EC8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9" s="43" t="n">
        <f aca="false">IF(OR(NOT(Tasks[[#This Row],[_IsLeaf]]=1),Tasks[[#This Row],[_Res3Row]]=0),0,N(Tasks[[#This Row],[_Days]])*HoursPerDay*IF(Tasks[[#This Row],[_Res3Units]]="",DefaultUnits,Tasks[[#This Row],[_Res3Units]]))</f>
        <v>0</v>
      </c>
      <c r="EE89" s="43" t="n">
        <f aca="false">IF(AND(AND(Tasks[[#This Row],[_IsLeaf]]=1,Tasks[[#This Row],[_LeafTotalWork]]&gt;0),Tasks[[#This Row],[_Res3Work]]&gt;0),Tasks[[#This Row],[_Res3Work]]/(Tasks[[#This Row],[_FinishWorkday]]-Tasks[[#This Row],[_StartWorkday]]+1),0)</f>
        <v>0</v>
      </c>
      <c r="EF89" s="43" t="n">
        <f aca="false">Tasks[[#This Row],[_Res3WorkPerWD]]*MAX(0,Tasks[[#This Row],[_StartWorkday]]-1)</f>
        <v>0</v>
      </c>
      <c r="EG89" s="43" t="n">
        <f aca="false">Tasks[[#This Row],[_Res3Work]]*Tasks[[#This Row],[_LeafProgress]]</f>
        <v>0</v>
      </c>
      <c r="EH89" s="43" t="str">
        <f aca="false">IF(Tasks[[#This Row],[_Res4Text]]="","",IF(Tasks[[#This Row],[_Res4Row]]&gt;0,INDEX(res_Name,Tasks[[#This Row],[_Res4Row]]),TRIM(LEFT(Tasks[[#This Row],[_Res4Text]],FIND("[",Tasks[[#This Row],[_Res4Text]]&amp;"[")-1))))</f>
        <v/>
      </c>
      <c r="EI8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9" s="43" t="n">
        <f aca="false">IF(OR(NOT(Tasks[[#This Row],[_IsLeaf]]=1),Tasks[[#This Row],[_Res4Row]]=0),0,N(Tasks[[#This Row],[_Days]])*HoursPerDay*IF(Tasks[[#This Row],[_Res4Units]]="",DefaultUnits,Tasks[[#This Row],[_Res4Units]]))</f>
        <v>0</v>
      </c>
      <c r="EK89" s="43" t="n">
        <f aca="false">IF(AND(AND(Tasks[[#This Row],[_IsLeaf]]=1,Tasks[[#This Row],[_LeafTotalWork]]&gt;0),Tasks[[#This Row],[_Res4Work]]&gt;0),Tasks[[#This Row],[_Res4Work]]/(Tasks[[#This Row],[_FinishWorkday]]-Tasks[[#This Row],[_StartWorkday]]+1),0)</f>
        <v>0</v>
      </c>
      <c r="EL89" s="43" t="n">
        <f aca="false">Tasks[[#This Row],[_Res4WorkPerWD]]*MAX(0,Tasks[[#This Row],[_StartWorkday]]-1)</f>
        <v>0</v>
      </c>
      <c r="EM89" s="43" t="n">
        <f aca="false">Tasks[[#This Row],[_Res4Work]]*Tasks[[#This Row],[_LeafProgress]]</f>
        <v>0</v>
      </c>
      <c r="EN89" s="43" t="n">
        <f aca="false">IF(ISNUMBER(Tasks[[#This Row],[% Complete]]),Tasks[[#This Row],[% Complete]],IF(Tasks[[#This Row],[Stage]]="",0,IFERROR(INDEX(stg_Pct,MATCH(Tasks[[#This Row],[Stage]],stg_Name,0)),0)))</f>
        <v>0</v>
      </c>
      <c r="EO89" s="43" t="n">
        <f aca="false">IF(NOT(Tasks[[#This Row],[_IsLeaf]]=1),0,IF(N(Tasks[[#This Row],[Actual Finish]])&gt;0,1,MIN(1,Tasks[[#This Row],[_Pct]])))</f>
        <v>0</v>
      </c>
      <c r="EP89" s="43" t="n">
        <f aca="false">IF(OR(NOT(Tasks[[#This Row],[_IsLeaf]]=1),Tasks[[#This Row],[_Res1Row]]=0),0,N(Tasks[[#This Row],[_Days]])*HoursPerDay*IF(Tasks[[#This Row],[_Units1]]="",DefaultUnits,Tasks[[#This Row],[_Units1]]))</f>
        <v>0</v>
      </c>
      <c r="EQ89" s="43" t="n">
        <f aca="false">Tasks[[#This Row],[_LeafWork]]+Tasks[[#This Row],[_Res2Work]]+Tasks[[#This Row],[_Res3Work]]+Tasks[[#This Row],[_Res4Work]]</f>
        <v>0</v>
      </c>
      <c r="ER8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9" s="43" t="n">
        <f aca="false">IF(NOT(Tasks[[#This Row],[_IsLeaf]]=1),0,MAX(_xlfn.MAXIFS(Tasks[_Row],Tasks[_Pred1UID],Tasks[[#This Row],[UID]]),_xlfn.MAXIFS(Tasks[_Row],Tasks[_Pred2UID],Tasks[[#This Row],[UID]]),_xlfn.MAXIFS(Tasks[_Row],Tasks[_Pred3UID],Tasks[[#This Row],[UID]]),_xlfn.MAXIFS(Tasks[_Row],Tasks[_Pred4UID],Tasks[[#This Row],[UID]])))</f>
        <v>0</v>
      </c>
      <c r="FA8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9" s="91" t="str">
        <f aca="false">IF(NOT(Tasks[[#This Row],[_IsLeaf]]=1),"",IF(N(Tasks[[#This Row],[_Days]])&lt;=0,Tasks[[#This Row],[_LeafLateFinish]],WORKDAY.INTL(Tasks[[#This Row],[_LeafLateFinish]],-(Tasks[[#This Row],[_Days]]-1),WorkWeek,Holidays)))</f>
        <v/>
      </c>
      <c r="FD8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9" s="90" t="b">
        <f aca="false">AND(Tasks[[#This Row],[_IsLeaf]]=1,Tasks[[#This Row],[_LeafProgress]]&lt;1,N(Tasks[[#This Row],[_LeafTotalSlack]])&lt;=CriticalSlackDays)</f>
        <v>0</v>
      </c>
      <c r="FF89" s="43" t="n">
        <f aca="false">IF(AND(Tasks[[#This Row],[_IsLeaf]]=1,Tasks[[#This Row],[_ConstraintCode]]=1,Tasks[[#This Row],[Mode]]&lt;&gt;"Manual",N(Tasks[[#This Row],[Actual Start]])=0),MAX(0,N(Tasks[[#This Row],[Free Slack]])),0)</f>
        <v>0</v>
      </c>
      <c r="FG89" s="91" t="str">
        <f aca="false">IF(NOT(Tasks[[#This Row],[_IsLeaf]]=1),"",IF(Tasks[[#This Row],[_AlapShift]]=0,Tasks[[#This Row],[_LeafCalcStart]],WORKDAY.INTL(Tasks[[#This Row],[_LeafCalcStart]],Tasks[[#This Row],[_AlapShift]],WorkWeek,Holidays)))</f>
        <v/>
      </c>
      <c r="FH89" s="91" t="str">
        <f aca="false">IF(NOT(Tasks[[#This Row],[_IsLeaf]]=1),"",IF(Tasks[[#This Row],[_AlapShift]]=0,Tasks[[#This Row],[_LeafCalcFinish]],WORKDAY.INTL(Tasks[[#This Row],[_LeafCalcFinish]],Tasks[[#This Row],[_AlapShift]],WorkWeek,Holidays)))</f>
        <v/>
      </c>
      <c r="FI89" s="91" t="str">
        <f aca="false">IF(NOT(Tasks[[#This Row],[_IsLeaf]]=1),"",IF(Tasks[[#This Row],[_AlapShift]]=0,Tasks[[#This Row],[_LeafFcstStart]],WORKDAY.INTL(Tasks[[#This Row],[_LeafFcstStart]],Tasks[[#This Row],[_AlapShift]],WorkWeek,Holidays)))</f>
        <v/>
      </c>
      <c r="FJ89" s="91" t="str">
        <f aca="false">IF(NOT(Tasks[[#This Row],[_IsLeaf]]=1),"",IF(Tasks[[#This Row],[_AlapShift]]=0,Tasks[[#This Row],[_LeafFcstFinish]],WORKDAY.INTL(Tasks[[#This Row],[_LeafFcstFinish]],Tasks[[#This Row],[_AlapShift]],WorkWeek,Holidays)))</f>
        <v/>
      </c>
      <c r="FK89" s="91" t="str">
        <f aca="false">IF(Tasks[[#This Row],[Task Name]]="","",IF(Tasks[[#This Row],[_IsSummary]],MIN(INDEX(Tasks[_ShownCalcStart],Tasks[[#This Row],[_Row]]+1):INDEX(Tasks[_ShownCalcStart],Tasks[[#This Row],[_Row]]+Tasks[[#This Row],[_Descendants]])),Tasks[[#This Row],[_ShownCalcStart]]))</f>
        <v/>
      </c>
      <c r="FL89" s="91" t="str">
        <f aca="false">IF(Tasks[[#This Row],[Task Name]]="","",IF(Tasks[[#This Row],[_IsSummary]],MAX(INDEX(Tasks[_ShownCalcFinish],Tasks[[#This Row],[_Row]]+1):INDEX(Tasks[_ShownCalcFinish],Tasks[[#This Row],[_Row]]+Tasks[[#This Row],[_Descendants]])),Tasks[[#This Row],[_ShownCalcFinish]]))</f>
        <v/>
      </c>
      <c r="FM8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9" s="43" t="n">
        <f aca="false">IF(AND(Tasks[[#This Row],[_IsLeaf]]=1,Tasks[[#This Row],[_LeafTotalWork]]&gt;0),NETWORKDAYS.INTL(ProjectStart,Tasks[[#This Row],[_ShownFcstStart]],WorkWeek,Holidays),0)</f>
        <v>0</v>
      </c>
      <c r="FZ89" s="43" t="n">
        <f aca="false">IF(AND(Tasks[[#This Row],[_IsLeaf]]=1,Tasks[[#This Row],[_LeafTotalWork]]&gt;0),MAX(Tasks[[#This Row],[_StartWorkday]],NETWORKDAYS.INTL(ProjectStart,Tasks[[#This Row],[_ShownFcstFinish]],WorkWeek,Holidays)),0)</f>
        <v>0</v>
      </c>
      <c r="GA89" s="43" t="n">
        <f aca="false">IF(AND(Tasks[[#This Row],[_IsLeaf]]=1,Tasks[[#This Row],[_LeafTotalWork]]&gt;0),Tasks[[#This Row],[_LeafWork]]/(Tasks[[#This Row],[_FinishWorkday]]-Tasks[[#This Row],[_StartWorkday]]+1),0)</f>
        <v>0</v>
      </c>
      <c r="GB89" s="43" t="n">
        <f aca="false">Tasks[[#This Row],[_WorkPerWorkday]]*(Tasks[[#This Row],[_StartWorkday]]-1)</f>
        <v>-0</v>
      </c>
      <c r="GC89" s="43" t="n">
        <f aca="false">IF(Tasks[[#This Row],[_IsLeaf]]=1,MAX(N(Tasks[[#This Row],[_Days]]),0.1),0)</f>
        <v>0</v>
      </c>
      <c r="GD89" s="43" t="n">
        <f aca="false">Tasks[[#This Row],[_WeightDur]]*Tasks[[#This Row],[_LeafProgress]]</f>
        <v>0</v>
      </c>
      <c r="GE89" s="43" t="n">
        <f aca="false">Tasks[[#This Row],[_WeightDur]]*Tasks[[#This Row],[_PlannedPct]]</f>
        <v>0</v>
      </c>
      <c r="GF8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9" s="43" t="str">
        <f aca="false">IF(AND(Tasks[[#This Row],[_IsLeaf]]=1,N(Tasks[[#This Row],[_Days]])=0,Tasks[[#This Row],[_LeafProgress]]&lt;1),Tasks[[#This Row],[_ShownFcstFinish]]+Tasks[[#This Row],[_Row]]/100000,"")</f>
        <v/>
      </c>
      <c r="GH8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9" s="43" t="str">
        <f aca="false">IF(Tasks[[#This Row],[Task Name]]="","",LEFT(Tasks[[#This Row],[WBS]],FIND(".",Tasks[[#This Row],[WBS]]&amp;".")-1))</f>
        <v/>
      </c>
      <c r="GJ89" s="43" t="str">
        <f aca="false">IF(AND(Tasks[[#This Row],[Task Name]]&lt;&gt;"",Tasks[[#This Row],[_Level]]=1),Tasks[[#This Row],[_Row]],"")</f>
        <v/>
      </c>
      <c r="GK89" s="43" t="str">
        <f aca="false">IF(AND(Tasks[[#This Row],[_IsLeaf]]=1,N(Tasks[[#This Row],[_Days]])=0),Tasks[[#This Row],[Planned Finish]]+Tasks[[#This Row],[_Row]]/100000,"")</f>
        <v/>
      </c>
      <c r="GL89" s="43" t="str">
        <f aca="false">IF(AND(Tasks[[#This Row],[_IsLeaf]]=1,Tasks[[#This Row],[_LeafProgress]]&lt;1,OR(N(Tasks[[#This Row],[Finish Var]])&gt;0,Tasks[[#This Row],[Status]]="Late Start")),MAX(0,Tasks[[#This Row],[Finish Var]])+1-Tasks[[#This Row],[_Row]]/1000000,"")</f>
        <v/>
      </c>
      <c r="GM89" s="43" t="str">
        <f aca="false">IF(AND(Tasks[[#This Row],[_IsLeaf]]=1,N(Tasks[[#This Row],[Actual Start]])=0,Tasks[[#This Row],[_ShownFcstStart]]&gt;=StatusDate,Tasks[[#This Row],[_ShownFcstStart]]&lt;=LookaheadEnd),Tasks[[#This Row],[_ShownFcstStart]]+Tasks[[#This Row],[_Row]]/100000,"")</f>
        <v/>
      </c>
      <c r="GN89" s="43" t="str">
        <f aca="false">IF(AND(Tasks[[#This Row],[_IsLeaf]]=1,Tasks[[#This Row],[_LeafProgress]]&lt;1,Tasks[[#This Row],[_ShownFcstFinish]]&gt;=StatusDate,Tasks[[#This Row],[_ShownFcstFinish]]&lt;=LookaheadEnd),Tasks[[#This Row],[_ShownFcstFinish]]+Tasks[[#This Row],[_Row]]/100000,"")</f>
        <v/>
      </c>
      <c r="GO89" s="43" t="str">
        <f aca="false">IF(Tasks[[#This Row],[_LeafCritical]],Tasks[[#This Row],[_ShownFcstStart]]+Tasks[[#This Row],[_Row]]/100000,"")</f>
        <v/>
      </c>
      <c r="GP89" s="43" t="n">
        <f aca="false">Tasks[[#This Row],[_LeafWork]]*Tasks[[#This Row],[_LeafProgress]]</f>
        <v>0</v>
      </c>
      <c r="GQ89" s="91" t="str">
        <f aca="false">IF(AND(Tasks[[#This Row],[_IsLeaf]]=1,Tasks[[#This Row],[_LeafProgress]]&gt;=1),IF(N(Tasks[[#This Row],[Actual Finish]])&gt;0,Tasks[[#This Row],[Actual Finish]],Tasks[[#This Row],[_ShownFcstFinish]]),"")</f>
        <v/>
      </c>
      <c r="GR89" s="43" t="n">
        <f aca="false">IF(Tasks[[#This Row],[_IsLeaf]]=1,N(Tasks[[#This Row],[Story Points]]),0)</f>
        <v>0</v>
      </c>
      <c r="GS89" s="43" t="str">
        <f aca="false">""</f>
        <v/>
      </c>
      <c r="GT89" s="90" t="b">
        <f aca="false">IF(Tasks[[#This Row],[Task Name]]="",FALSE(),AND(Tasks[[#This Row],[_IsLeaf]]=1,N(Tasks[[#This Row],[_Days]])=0))</f>
        <v>0</v>
      </c>
      <c r="GU89" s="91" t="n">
        <f aca="false">IF(Tasks[[#This Row],[Task Name]]="",0,IF(AND(Tasks[[#This Row],[_IsLeaf]]=1,NOT(Tasks[[#This Row],[_IsMilestone]]),N(Tasks[[#This Row],[Progress]])&gt;0),Tasks[[#This Row],[Start]],0))</f>
        <v>0</v>
      </c>
      <c r="GV89" s="91" t="n">
        <f aca="false">IF(Tasks[[#This Row],[_DoneFrom]]=0,0,IF(Tasks[[#This Row],[Progress]]&gt;=1,Tasks[[#This Row],[Finish]],MAX(Tasks[[#This Row],[_DoneFrom]],Tasks[[#This Row],[Start]]+ROUND((Tasks[[#This Row],[Finish]]-Tasks[[#This Row],[Start]]+1)*Tasks[[#This Row],[Progress]],0)-1)))</f>
        <v>0</v>
      </c>
      <c r="GW89" s="91" t="n">
        <f aca="false">IF(Tasks[[#This Row],[Task Name]]="",0,IF(OR(NOT(Tasks[[#This Row],[_IsLeaf]]=1),Tasks[[#This Row],[_IsMilestone]],N(Tasks[[#This Row],[Progress]])&gt;=1),0,IF(Tasks[[#This Row],[_DoneTo]]&gt;0,Tasks[[#This Row],[_DoneTo]]+1,Tasks[[#This Row],[Start]])))</f>
        <v>0</v>
      </c>
      <c r="GX89" s="91" t="n">
        <f aca="false">IF(Tasks[[#This Row],[_RemFrom]]=0,0,Tasks[[#This Row],[Finish]])</f>
        <v>0</v>
      </c>
      <c r="GY89" s="90" t="b">
        <f aca="false">IF(Tasks[[#This Row],[Task Name]]="",FALSE(),OR(NOT(BaselineSet),N(Tasks[[#This Row],[Baseline Start]])&gt;0))</f>
        <v>0</v>
      </c>
      <c r="GZ8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9" s="92" t="str">
        <f aca="false">IF(Tasks[[#This Row],[_IsLeaf]]=1,Tasks[[#This Row],[_Row]],"")</f>
        <v/>
      </c>
      <c r="HD89" s="92" t="str">
        <f aca="false">IFERROR(INDEX(Tasks[UID],SMALL(Tasks[_PickKey],Tasks[[#This Row],[_Row]]))&amp;" "&amp;INDEX(Tasks[Task Name],SMALL(Tasks[_PickKey],Tasks[[#This Row],[_Row]])),"")</f>
        <v/>
      </c>
      <c r="HE89" s="43" t="str">
        <f aca="false">IF(Tasks[[#This Row],[Task Name]]="","",IF(Tasks[[#This Row],[_IsSummary]],NETWORKDAYS.INTL(Tasks[[#This Row],[Start]],Tasks[[#This Row],[Finish]],WorkWeek,Holidays),N(Tasks[[#This Row],[_Days]])))</f>
        <v/>
      </c>
      <c r="HF89" s="43" t="n">
        <f aca="false">IF(Tasks[[#This Row],[Expected]]="",0,((Tasks[[#This Row],[Pessimistic]]-Tasks[[#This Row],[Optimistic]])/6)^2)</f>
        <v>0</v>
      </c>
      <c r="HG89" s="43" t="n">
        <f aca="false">IF(Tasks[[#This Row],[Expected]]="",0,Tasks[[#This Row],[Expected]]-N(Tasks[[#This Row],[_Days]]))</f>
        <v>0</v>
      </c>
    </row>
    <row r="90" customFormat="false" ht="15" hidden="false" customHeight="false" outlineLevel="0" collapsed="false">
      <c r="A90" s="21" t="str">
        <f aca="false">IF(Tasks[[#This Row],[Task Name]]="","",COUNTA(Tasks[[#Headers],[Task Name]]:Tasks[[#This Row],[Task Name]])-1)</f>
        <v/>
      </c>
      <c r="B90" s="22" t="n">
        <v>98</v>
      </c>
      <c r="C90" s="22"/>
      <c r="D90" s="23"/>
      <c r="E90" s="22"/>
      <c r="F90" s="23"/>
      <c r="G90" s="22"/>
      <c r="H90" s="22"/>
      <c r="I90" s="23"/>
      <c r="J90" s="22"/>
      <c r="K90" s="22"/>
      <c r="L90" s="23"/>
      <c r="M90" s="22"/>
      <c r="N90" s="22"/>
      <c r="O90" s="23"/>
      <c r="P90" s="22"/>
      <c r="Q90" s="22"/>
      <c r="R90" s="23"/>
      <c r="S90" s="23"/>
      <c r="T90" s="84"/>
      <c r="U90" s="23"/>
      <c r="V90" s="84"/>
      <c r="W90" s="23"/>
      <c r="X90" s="84"/>
      <c r="Y90" s="23"/>
      <c r="Z90" s="84"/>
      <c r="AA90" s="23"/>
      <c r="AB90" s="23"/>
      <c r="AC90" s="7"/>
      <c r="AD90" s="7"/>
      <c r="AE90" s="63" t="str">
        <f aca="false">IF(Tasks[[#This Row],[Task Name]]="","",IF(Tasks[[#This Row],[_IsSummary]],MIN(INDEX(Tasks[_ShownFcstStart],Tasks[[#This Row],[_Row]]+1):INDEX(Tasks[_ShownFcstStart],Tasks[[#This Row],[_Row]]+Tasks[[#This Row],[_Descendants]])),Tasks[[#This Row],[_ShownFcstStart]]))</f>
        <v/>
      </c>
      <c r="AF90" s="63" t="str">
        <f aca="false">IF(Tasks[[#This Row],[Task Name]]="","",IF(Tasks[[#This Row],[_IsSummary]],MAX(INDEX(Tasks[_ShownFcstFinish],Tasks[[#This Row],[_Row]]+1):INDEX(Tasks[_ShownFcstFinish],Tasks[[#This Row],[_Row]]+Tasks[[#This Row],[_Descendants]])),Tasks[[#This Row],[_ShownFcstFinish]]))</f>
        <v/>
      </c>
      <c r="AG90" s="21" t="str">
        <f aca="false">""</f>
        <v/>
      </c>
      <c r="AH90" s="23"/>
      <c r="AI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0" s="7"/>
      <c r="AK90" s="22"/>
      <c r="AL90" s="23"/>
      <c r="AM90" s="7"/>
      <c r="AN90" s="47" t="str">
        <f aca="false">IF(Tasks[[#This Row],[Task Name]]="","",IF(Tasks[[#This Row],[Finish]]&gt;=Tasks[[#This Row],[Planned Finish]],NETWORKDAYS.INTL(Tasks[[#This Row],[Planned Finish]],Tasks[[#This Row],[Finish]],WorkWeek,Holidays)-1,1-NETWORKDAYS.INTL(Tasks[[#This Row],[Finish]],Tasks[[#This Row],[Planned Finish]],WorkWeek,Holidays)))</f>
        <v/>
      </c>
      <c r="AO90" s="21" t="str">
        <f aca="false">IF(Tasks[[#This Row],[Task Name]]="","",IF(Tasks[[#This Row],[Progress]]&gt;=1,"Complete",IF(OR(N(Tasks[[#This Row],[Actual Start]])&gt;0,Tasks[[#This Row],[Progress]]&gt;0),IF(Tasks[[#This Row],[Finish Var]]&gt;0,"Behind","In Progress"),IF(Tasks[[#This Row],[Planned Start]]&lt;StatusDate,"Late Start","Not Started"))))</f>
        <v/>
      </c>
      <c r="AP90" s="21" t="str">
        <f aca="false">IF(Tasks[[#This Row],[Task Name]]="","",IF(IF(Tasks[[#This Row],[_IsSummary]],COUNTIF(INDEX(Tasks[_LeafCritical],Tasks[[#This Row],[_Row]]+1):INDEX(Tasks[_LeafCritical],Tasks[[#This Row],[_Row]]+Tasks[[#This Row],[_Descendants]]),TRUE())&gt;0,Tasks[[#This Row],[_LeafCritical]]),"Yes",""))</f>
        <v/>
      </c>
      <c r="AQ90" s="63" t="str">
        <f aca="false">IF(Tasks[[#This Row],[Task Name]]="","",IF(N(Tasks[[#This Row],[Baseline Start]])&gt;0,Tasks[[#This Row],[Baseline Start]],Tasks[[#This Row],[_CalcStart]]))</f>
        <v/>
      </c>
      <c r="AR90" s="63" t="str">
        <f aca="false">IF(Tasks[[#This Row],[Task Name]]="","",IF(N(Tasks[[#This Row],[Baseline Finish]])&gt;0,Tasks[[#This Row],[Baseline Finish]],Tasks[[#This Row],[_CalcFinish]]))</f>
        <v/>
      </c>
      <c r="AS90" s="47" t="str">
        <f aca="false">IF(Tasks[[#This Row],[Task Name]]="","",IF(Tasks[[#This Row],[Start]]&gt;=Tasks[[#This Row],[Planned Start]],NETWORKDAYS.INTL(Tasks[[#This Row],[Planned Start]],Tasks[[#This Row],[Start]],WorkWeek,Holidays)-1,1-NETWORKDAYS.INTL(Tasks[[#This Row],[Start]],Tasks[[#This Row],[Planned Start]],WorkWeek,Holidays)))</f>
        <v/>
      </c>
      <c r="AT90" s="63" t="str">
        <f aca="false">IF(Tasks[[#This Row],[Task Name]]="","",IF(Tasks[[#This Row],[_IsSummary]],MIN(INDEX(Tasks[_LeafLateStart],Tasks[[#This Row],[_Row]]+1):INDEX(Tasks[_LeafLateStart],Tasks[[#This Row],[_Row]]+Tasks[[#This Row],[_Descendants]])),Tasks[[#This Row],[_LeafLateStart]]))</f>
        <v/>
      </c>
      <c r="AU90" s="63" t="str">
        <f aca="false">IF(Tasks[[#This Row],[Task Name]]="","",IF(Tasks[[#This Row],[_IsSummary]],MAX(INDEX(Tasks[_LeafLateFinish],Tasks[[#This Row],[_Row]]+1):INDEX(Tasks[_LeafLateFinish],Tasks[[#This Row],[_Row]]+Tasks[[#This Row],[_Descendants]])),Tasks[[#This Row],[_LeafLateFinish]]))</f>
        <v/>
      </c>
      <c r="AV90" s="47" t="str">
        <f aca="false">IF(Tasks[[#This Row],[Task Name]]="","",IF(Tasks[[#This Row],[_IsSummary]],MIN(INDEX(Tasks[_LeafTotalSlack],Tasks[[#This Row],[_Row]]+1):INDEX(Tasks[_LeafTotalSlack],Tasks[[#This Row],[_Row]]+Tasks[[#This Row],[_Descendants]])),Tasks[[#This Row],[_LeafTotalSlack]]))</f>
        <v/>
      </c>
      <c r="AW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5"/>
      <c r="BA9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1" t="str">
        <f aca="false">IF(Tasks[[#This Row],[Task Name]]="","",IF(Tasks[[#This Row],[_Level]]&lt;=OutlineShowLevel,"Yes","No"))</f>
        <v/>
      </c>
      <c r="BE90" s="86" t="str">
        <f aca="false">IF(Tasks[[#This Row],[Task Name]]="","",IF(Tasks[[#This Row],[_IsSummary]],SUM(INDEX(Tasks[_LeafTotalWork],Tasks[[#This Row],[_Row]]+1):INDEX(Tasks[_LeafTotalWork],Tasks[[#This Row],[_Row]]+Tasks[[#This Row],[_Descendants]])),Tasks[[#This Row],[_LeafTotalWork]]))</f>
        <v/>
      </c>
      <c r="BF90" s="23"/>
      <c r="BG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0" s="21" t="str">
        <f aca="false">""</f>
        <v/>
      </c>
      <c r="BI90" s="87"/>
      <c r="BJ90" s="22"/>
      <c r="BK90" s="47" t="str">
        <f aca="false">IF(OR(Tasks[[#This Row],[Task Name]]="",Tasks[[#This Row],[Baseline Duration]]=""),"",Tasks[[#This Row],[_SpanDays]]-N(Tasks[[#This Row],[Baseline Duration]]))</f>
        <v/>
      </c>
      <c r="BL90" s="86" t="str">
        <f aca="false">IF(OR(Tasks[[#This Row],[Task Name]]="",Tasks[[#This Row],[Baseline Work]]=""),"",Tasks[[#This Row],[Work]]-N(Tasks[[#This Row],[Baseline Work]]))</f>
        <v/>
      </c>
      <c r="BM90" s="63" t="str">
        <f aca="false">IF(Tasks[[#This Row],[Task Name]]="","",IF(OR(TakeBaseline="Yes",N(Tasks[[#This Row],[Baseline Start]])=0),Tasks[[#This Row],[Start]],Tasks[[#This Row],[Baseline Start]]))</f>
        <v/>
      </c>
      <c r="BN90" s="63" t="str">
        <f aca="false">IF(Tasks[[#This Row],[Task Name]]="","",IF(OR(TakeBaseline="Yes",N(Tasks[[#This Row],[Baseline Finish]])=0),Tasks[[#This Row],[Finish]],Tasks[[#This Row],[Baseline Finish]]))</f>
        <v/>
      </c>
      <c r="BO90" s="21" t="str">
        <f aca="false">IF(Tasks[[#This Row],[Task Name]]="","",IF(OR(TakeBaseline="Yes",N(Tasks[[#This Row],[Baseline Duration]])=0),Tasks[[#This Row],[_SpanDays]],Tasks[[#This Row],[Baseline Duration]]))</f>
        <v/>
      </c>
      <c r="BP90" s="86" t="str">
        <f aca="false">IF(Tasks[[#This Row],[Task Name]]="","",IF(OR(TakeBaseline="Yes",N(Tasks[[#This Row],[Baseline Work]])=0),Tasks[[#This Row],[Work]],Tasks[[#This Row],[Baseline Work]]))</f>
        <v/>
      </c>
      <c r="BQ90" s="7"/>
      <c r="BR90" s="7"/>
      <c r="BS90" s="22"/>
      <c r="BT90" s="88"/>
      <c r="BU90" s="23"/>
      <c r="BV90" s="23"/>
      <c r="BW90" s="23"/>
      <c r="BX90" s="89" t="str">
        <f aca="false">IF(AND(Tasks[[#This Row],[_IsLeaf]]=1,ISNUMBER(Tasks[[#This Row],[Optimistic]]),ISNUMBER(Tasks[[#This Row],[Pessimistic]])),ROUND((Tasks[[#This Row],[Optimistic]]+4*N(Tasks[[#This Row],[_Days]])+Tasks[[#This Row],[Pessimistic]])/6,1),"")</f>
        <v/>
      </c>
      <c r="BY90" s="87"/>
      <c r="BZ90" s="87"/>
      <c r="CA90" s="22"/>
      <c r="CB90" s="43" t="str">
        <f aca="false">IF(Tasks[[#This Row],[Task Name]]="","",MAX(1,N(Tasks[[#This Row],[Level]])))</f>
        <v/>
      </c>
      <c r="CC90" s="43" t="n">
        <f aca="false">ROW()-ROW(Tasks[[#Headers],[ID]])</f>
        <v>85</v>
      </c>
      <c r="CD90" s="43" t="n">
        <f aca="false">IF(OR(Tasks[[#This Row],[Task Name]]="",Tasks[[#This Row],[_Level]]&lt;=1),0,IFERROR(LOOKUP(2,1/(Tasks[[#Headers],[_Level]]:Tasks[[#This Row],[_Level]]=Tasks[[#This Row],[_Level]]-1),ROW(Tasks[[#Headers],[_Level]]:Tasks[[#This Row],[_Level]])),0))</f>
        <v>0</v>
      </c>
      <c r="CE90" s="43" t="n">
        <f aca="false">IFERROR(N(INDEX(Tasks[_Level],Tasks[[#This Row],[_Row]]+1)),0)</f>
        <v>0</v>
      </c>
      <c r="CF90" s="90" t="b">
        <f aca="false">AND(Tasks[[#This Row],[Task Name]]&lt;&gt;"",Tasks[[#This Row],[_NextLevel]]&gt;Tasks[[#This Row],[_Level]])</f>
        <v>0</v>
      </c>
      <c r="CG90" s="43" t="n">
        <f aca="false">IF(Tasks[[#This Row],[_IsSummary]],COUNTIF(Tasks[WBS],Tasks[[#This Row],[WBS]]&amp;".*"),0)</f>
        <v>0</v>
      </c>
      <c r="CH90" s="43" t="n">
        <f aca="false">IF(AND(Tasks[[#This Row],[Task Name]]&lt;&gt;"",NOT(Tasks[[#This Row],[_IsSummary]])),1,0)</f>
        <v>0</v>
      </c>
      <c r="CI90" s="43" t="n">
        <f aca="false">IF(N(Tasks[[#This Row],[_Pred1UID]])=0,0,IFERROR(MATCH(Tasks[[#This Row],[_Pred1UID]],Tasks[UID],0),-1))</f>
        <v>0</v>
      </c>
      <c r="CJ90" s="43" t="n">
        <f aca="false">IF(N(Tasks[[#This Row],[_Pred2UID]])=0,0,IFERROR(MATCH(Tasks[[#This Row],[_Pred2UID]],Tasks[UID],0),-1))</f>
        <v>0</v>
      </c>
      <c r="CK90" s="43" t="n">
        <f aca="false">IF(N(Tasks[[#This Row],[_Pred3UID]])=0,0,IFERROR(MATCH(Tasks[[#This Row],[_Pred3UID]],Tasks[UID],0),-1))</f>
        <v>0</v>
      </c>
      <c r="CL90" s="43" t="n">
        <f aca="false">IF(N(Tasks[[#This Row],[_Pred4UID]])=0,0,IFERROR(MATCH(Tasks[[#This Row],[_Pred4UID]],Tasks[UID],0),-1))</f>
        <v>0</v>
      </c>
      <c r="CM9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0" s="91" t="n">
        <f aca="false">IF(OR(Tasks[[#This Row],[_ConstraintCode]]=2,Tasks[[#This Row],[_ConstraintCode]]=3,Tasks[[#This Row],[_ConstraintCode]]=4,Tasks[[#This Row],[_ConstraintCode]]=6),Tasks[[#This Row],[_ConstraintStart]],0)</f>
        <v>0</v>
      </c>
      <c r="CP90" s="91" t="n">
        <f aca="false">IF(OR(Tasks[[#This Row],[_ConstraintCode]]=2,Tasks[[#This Row],[_ConstraintCode]]=3,Tasks[[#This Row],[_ConstraintCode]]=5,Tasks[[#This Row],[_ConstraintCode]]=7),Tasks[[#This Row],[_ConstraintStart]],2958465)</f>
        <v>2958465</v>
      </c>
      <c r="CQ9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0" s="91" t="str">
        <f aca="false">IF(NOT(Tasks[[#This Row],[_IsLeaf]]=1),"",IF(N(Tasks[[#This Row],[_Days]])&lt;=0,Tasks[[#This Row],[_LeafCalcStart]],WORKDAY.INTL(Tasks[[#This Row],[_LeafCalcStart]],Tasks[[#This Row],[_Days]]-1,WorkWeek,Holidays)))</f>
        <v/>
      </c>
      <c r="CS9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0" s="43" t="str">
        <f aca="false">IF(Tasks[[#This Row],[_Predecessors]]="","",TRIM(MID(SUBSTITUTE(SUBSTITUTE(SUBSTITUTE(UPPER(Tasks[[#This Row],[_Predecessors]]),";",",")," ",""),",",REPT(" ",99)),1,99)))</f>
        <v/>
      </c>
      <c r="CV90" s="43" t="str">
        <f aca="false">IF(Tasks[[#This Row],[_Pred1Text]]="","",IFERROR(VALUE(LEFT(Tasks[[#This Row],[_Pred1Text]],MIN(FIND("F",Tasks[[#This Row],[_Pred1Text]]&amp;"F"),FIND("S",Tasks[[#This Row],[_Pred1Text]]&amp;"S"),FIND("+",Tasks[[#This Row],[_Pred1Text]]&amp;"+"),FIND("-",Tasks[[#This Row],[_Pred1Text]]&amp;"-"))-1)),""))</f>
        <v/>
      </c>
      <c r="CW9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0" s="43" t="str">
        <f aca="false">IF(Tasks[[#This Row],[_Pred1Text]]="","",TRIM(MID(SUBSTITUTE(SUBSTITUTE(SUBSTITUTE(UPPER(Tasks[[#This Row],[_Predecessors]]),";",",")," ",""),",",REPT(" ",99)),100,99)))</f>
        <v/>
      </c>
      <c r="CZ90" s="43" t="str">
        <f aca="false">IF(Tasks[[#This Row],[_Pred2Text]]="","",IFERROR(VALUE(LEFT(Tasks[[#This Row],[_Pred2Text]],MIN(FIND("F",Tasks[[#This Row],[_Pred2Text]]&amp;"F"),FIND("S",Tasks[[#This Row],[_Pred2Text]]&amp;"S"),FIND("+",Tasks[[#This Row],[_Pred2Text]]&amp;"+"),FIND("-",Tasks[[#This Row],[_Pred2Text]]&amp;"-"))-1)),""))</f>
        <v/>
      </c>
      <c r="DA9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0" s="43" t="str">
        <f aca="false">IF(Tasks[[#This Row],[_Pred2Text]]="","",TRIM(MID(SUBSTITUTE(SUBSTITUTE(SUBSTITUTE(UPPER(Tasks[[#This Row],[_Predecessors]]),";",",")," ",""),",",REPT(" ",99)),199,99)))</f>
        <v/>
      </c>
      <c r="DD90" s="43" t="str">
        <f aca="false">IF(Tasks[[#This Row],[_Pred3Text]]="","",IFERROR(VALUE(LEFT(Tasks[[#This Row],[_Pred3Text]],MIN(FIND("F",Tasks[[#This Row],[_Pred3Text]]&amp;"F"),FIND("S",Tasks[[#This Row],[_Pred3Text]]&amp;"S"),FIND("+",Tasks[[#This Row],[_Pred3Text]]&amp;"+"),FIND("-",Tasks[[#This Row],[_Pred3Text]]&amp;"-"))-1)),""))</f>
        <v/>
      </c>
      <c r="DE9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0" s="43" t="str">
        <f aca="false">IF(Tasks[[#This Row],[_Pred3Text]]="","",TRIM(MID(SUBSTITUTE(SUBSTITUTE(SUBSTITUTE(UPPER(Tasks[[#This Row],[_Predecessors]]),";",",")," ",""),",",REPT(" ",99)),298,99)))</f>
        <v/>
      </c>
      <c r="DH90" s="43" t="str">
        <f aca="false">IF(Tasks[[#This Row],[_Pred4Text]]="","",IFERROR(VALUE(LEFT(Tasks[[#This Row],[_Pred4Text]],MIN(FIND("F",Tasks[[#This Row],[_Pred4Text]]&amp;"F"),FIND("S",Tasks[[#This Row],[_Pred4Text]]&amp;"S"),FIND("+",Tasks[[#This Row],[_Pred4Text]]&amp;"+"),FIND("-",Tasks[[#This Row],[_Pred4Text]]&amp;"-"))-1)),""))</f>
        <v/>
      </c>
      <c r="DI9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0" s="43" t="str">
        <f aca="false">IF(OR(Tasks[[#This Row],[Task Name]]="",Tasks[[#This Row],[_Resources]]=""),"",TRIM(MID(SUBSTITUTE(Tasks[[#This Row],[_Resources]],",",REPT(" ",99)),1,99)))</f>
        <v/>
      </c>
      <c r="DL90" s="43" t="str">
        <f aca="false">IF(Tasks[[#This Row],[_Res1Text]]="","",TRIM(MID(SUBSTITUTE(Tasks[[#This Row],[_Resources]],",",REPT(" ",99)),100,99)))</f>
        <v/>
      </c>
      <c r="DM90" s="43" t="str">
        <f aca="false">IF(Tasks[[#This Row],[_Res2Text]]="","",TRIM(MID(SUBSTITUTE(Tasks[[#This Row],[_Resources]],",",REPT(" ",99)),199,99)))</f>
        <v/>
      </c>
      <c r="DN90" s="43" t="str">
        <f aca="false">IF(Tasks[[#This Row],[_Res3Text]]="","",TRIM(MID(SUBSTITUTE(Tasks[[#This Row],[_Resources]],",",REPT(" ",99)),298,99)))</f>
        <v/>
      </c>
      <c r="DO90" s="43" t="n">
        <f aca="false">IF(Tasks[[#This Row],[_Res1Text]]="",0,IFERROR(MATCH(TRIM(LEFT(Tasks[[#This Row],[_Res1Text]],FIND("[",Tasks[[#This Row],[_Res1Text]]&amp;"[")-1)),res_Name,0),IFERROR(MATCH(TRIM(LEFT(Tasks[[#This Row],[_Res1Text]],FIND("[",Tasks[[#This Row],[_Res1Text]]&amp;"[")-1)),res_Initials,0),0)))</f>
        <v>0</v>
      </c>
      <c r="DP90" s="43" t="n">
        <f aca="false">IF(Tasks[[#This Row],[_Res2Text]]="",0,IFERROR(MATCH(TRIM(LEFT(Tasks[[#This Row],[_Res2Text]],FIND("[",Tasks[[#This Row],[_Res2Text]]&amp;"[")-1)),res_Name,0),IFERROR(MATCH(TRIM(LEFT(Tasks[[#This Row],[_Res2Text]],FIND("[",Tasks[[#This Row],[_Res2Text]]&amp;"[")-1)),res_Initials,0),0)))</f>
        <v>0</v>
      </c>
      <c r="DQ90" s="43" t="n">
        <f aca="false">IF(Tasks[[#This Row],[_Res3Text]]="",0,IFERROR(MATCH(TRIM(LEFT(Tasks[[#This Row],[_Res3Text]],FIND("[",Tasks[[#This Row],[_Res3Text]]&amp;"[")-1)),res_Name,0),IFERROR(MATCH(TRIM(LEFT(Tasks[[#This Row],[_Res3Text]],FIND("[",Tasks[[#This Row],[_Res3Text]]&amp;"[")-1)),res_Initials,0),0)))</f>
        <v>0</v>
      </c>
      <c r="DR90" s="43" t="n">
        <f aca="false">IF(Tasks[[#This Row],[_Res4Text]]="",0,IFERROR(MATCH(TRIM(LEFT(Tasks[[#This Row],[_Res4Text]],FIND("[",Tasks[[#This Row],[_Res4Text]]&amp;"[")-1)),res_Name,0),IFERROR(MATCH(TRIM(LEFT(Tasks[[#This Row],[_Res4Text]],FIND("[",Tasks[[#This Row],[_Res4Text]]&amp;"[")-1)),res_Initials,0),0)))</f>
        <v>0</v>
      </c>
      <c r="DS90" s="43" t="str">
        <f aca="false">IF(Tasks[[#This Row],[_Res1Text]]="","",IF(Tasks[[#This Row],[_Res1Row]]&gt;0,INDEX(res_Name,Tasks[[#This Row],[_Res1Row]]),TRIM(LEFT(Tasks[[#This Row],[_Res1Text]],FIND("[",Tasks[[#This Row],[_Res1Text]]&amp;"[")-1))))</f>
        <v/>
      </c>
      <c r="DT9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0" s="43" t="n">
        <f aca="false">IF(NOT(Tasks[[#This Row],[_IsLeaf]]=1),0,(Tasks[[#This Row],[_Resource1]]&lt;&gt;"")+(Tasks[[#This Row],[_Res2]]&lt;&gt;"")+(Tasks[[#This Row],[_Res3]]&lt;&gt;"")+(Tasks[[#This Row],[_Res4]]&lt;&gt;""))</f>
        <v>0</v>
      </c>
      <c r="DV90" s="43" t="str">
        <f aca="false">IF(Tasks[[#This Row],[_Res2Text]]="","",IF(Tasks[[#This Row],[_Res2Row]]&gt;0,INDEX(res_Name,Tasks[[#This Row],[_Res2Row]]),TRIM(LEFT(Tasks[[#This Row],[_Res2Text]],FIND("[",Tasks[[#This Row],[_Res2Text]]&amp;"[")-1))))</f>
        <v/>
      </c>
      <c r="DW9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0" s="43" t="n">
        <f aca="false">IF(OR(NOT(Tasks[[#This Row],[_IsLeaf]]=1),Tasks[[#This Row],[_Res2Row]]=0),0,N(Tasks[[#This Row],[_Days]])*HoursPerDay*IF(Tasks[[#This Row],[_Res2Units]]="",DefaultUnits,Tasks[[#This Row],[_Res2Units]]))</f>
        <v>0</v>
      </c>
      <c r="DY90" s="43" t="n">
        <f aca="false">IF(AND(AND(Tasks[[#This Row],[_IsLeaf]]=1,Tasks[[#This Row],[_LeafTotalWork]]&gt;0),Tasks[[#This Row],[_Res2Work]]&gt;0),Tasks[[#This Row],[_Res2Work]]/(Tasks[[#This Row],[_FinishWorkday]]-Tasks[[#This Row],[_StartWorkday]]+1),0)</f>
        <v>0</v>
      </c>
      <c r="DZ90" s="43" t="n">
        <f aca="false">Tasks[[#This Row],[_Res2WorkPerWD]]*MAX(0,Tasks[[#This Row],[_StartWorkday]]-1)</f>
        <v>0</v>
      </c>
      <c r="EA90" s="43" t="n">
        <f aca="false">Tasks[[#This Row],[_Res2Work]]*Tasks[[#This Row],[_LeafProgress]]</f>
        <v>0</v>
      </c>
      <c r="EB90" s="43" t="str">
        <f aca="false">IF(Tasks[[#This Row],[_Res3Text]]="","",IF(Tasks[[#This Row],[_Res3Row]]&gt;0,INDEX(res_Name,Tasks[[#This Row],[_Res3Row]]),TRIM(LEFT(Tasks[[#This Row],[_Res3Text]],FIND("[",Tasks[[#This Row],[_Res3Text]]&amp;"[")-1))))</f>
        <v/>
      </c>
      <c r="EC9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0" s="43" t="n">
        <f aca="false">IF(OR(NOT(Tasks[[#This Row],[_IsLeaf]]=1),Tasks[[#This Row],[_Res3Row]]=0),0,N(Tasks[[#This Row],[_Days]])*HoursPerDay*IF(Tasks[[#This Row],[_Res3Units]]="",DefaultUnits,Tasks[[#This Row],[_Res3Units]]))</f>
        <v>0</v>
      </c>
      <c r="EE90" s="43" t="n">
        <f aca="false">IF(AND(AND(Tasks[[#This Row],[_IsLeaf]]=1,Tasks[[#This Row],[_LeafTotalWork]]&gt;0),Tasks[[#This Row],[_Res3Work]]&gt;0),Tasks[[#This Row],[_Res3Work]]/(Tasks[[#This Row],[_FinishWorkday]]-Tasks[[#This Row],[_StartWorkday]]+1),0)</f>
        <v>0</v>
      </c>
      <c r="EF90" s="43" t="n">
        <f aca="false">Tasks[[#This Row],[_Res3WorkPerWD]]*MAX(0,Tasks[[#This Row],[_StartWorkday]]-1)</f>
        <v>0</v>
      </c>
      <c r="EG90" s="43" t="n">
        <f aca="false">Tasks[[#This Row],[_Res3Work]]*Tasks[[#This Row],[_LeafProgress]]</f>
        <v>0</v>
      </c>
      <c r="EH90" s="43" t="str">
        <f aca="false">IF(Tasks[[#This Row],[_Res4Text]]="","",IF(Tasks[[#This Row],[_Res4Row]]&gt;0,INDEX(res_Name,Tasks[[#This Row],[_Res4Row]]),TRIM(LEFT(Tasks[[#This Row],[_Res4Text]],FIND("[",Tasks[[#This Row],[_Res4Text]]&amp;"[")-1))))</f>
        <v/>
      </c>
      <c r="EI9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0" s="43" t="n">
        <f aca="false">IF(OR(NOT(Tasks[[#This Row],[_IsLeaf]]=1),Tasks[[#This Row],[_Res4Row]]=0),0,N(Tasks[[#This Row],[_Days]])*HoursPerDay*IF(Tasks[[#This Row],[_Res4Units]]="",DefaultUnits,Tasks[[#This Row],[_Res4Units]]))</f>
        <v>0</v>
      </c>
      <c r="EK90" s="43" t="n">
        <f aca="false">IF(AND(AND(Tasks[[#This Row],[_IsLeaf]]=1,Tasks[[#This Row],[_LeafTotalWork]]&gt;0),Tasks[[#This Row],[_Res4Work]]&gt;0),Tasks[[#This Row],[_Res4Work]]/(Tasks[[#This Row],[_FinishWorkday]]-Tasks[[#This Row],[_StartWorkday]]+1),0)</f>
        <v>0</v>
      </c>
      <c r="EL90" s="43" t="n">
        <f aca="false">Tasks[[#This Row],[_Res4WorkPerWD]]*MAX(0,Tasks[[#This Row],[_StartWorkday]]-1)</f>
        <v>0</v>
      </c>
      <c r="EM90" s="43" t="n">
        <f aca="false">Tasks[[#This Row],[_Res4Work]]*Tasks[[#This Row],[_LeafProgress]]</f>
        <v>0</v>
      </c>
      <c r="EN90" s="43" t="n">
        <f aca="false">IF(ISNUMBER(Tasks[[#This Row],[% Complete]]),Tasks[[#This Row],[% Complete]],IF(Tasks[[#This Row],[Stage]]="",0,IFERROR(INDEX(stg_Pct,MATCH(Tasks[[#This Row],[Stage]],stg_Name,0)),0)))</f>
        <v>0</v>
      </c>
      <c r="EO90" s="43" t="n">
        <f aca="false">IF(NOT(Tasks[[#This Row],[_IsLeaf]]=1),0,IF(N(Tasks[[#This Row],[Actual Finish]])&gt;0,1,MIN(1,Tasks[[#This Row],[_Pct]])))</f>
        <v>0</v>
      </c>
      <c r="EP90" s="43" t="n">
        <f aca="false">IF(OR(NOT(Tasks[[#This Row],[_IsLeaf]]=1),Tasks[[#This Row],[_Res1Row]]=0),0,N(Tasks[[#This Row],[_Days]])*HoursPerDay*IF(Tasks[[#This Row],[_Units1]]="",DefaultUnits,Tasks[[#This Row],[_Units1]]))</f>
        <v>0</v>
      </c>
      <c r="EQ90" s="43" t="n">
        <f aca="false">Tasks[[#This Row],[_LeafWork]]+Tasks[[#This Row],[_Res2Work]]+Tasks[[#This Row],[_Res3Work]]+Tasks[[#This Row],[_Res4Work]]</f>
        <v>0</v>
      </c>
      <c r="ER9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0" s="43" t="n">
        <f aca="false">IF(NOT(Tasks[[#This Row],[_IsLeaf]]=1),0,MAX(_xlfn.MAXIFS(Tasks[_Row],Tasks[_Pred1UID],Tasks[[#This Row],[UID]]),_xlfn.MAXIFS(Tasks[_Row],Tasks[_Pred2UID],Tasks[[#This Row],[UID]]),_xlfn.MAXIFS(Tasks[_Row],Tasks[_Pred3UID],Tasks[[#This Row],[UID]]),_xlfn.MAXIFS(Tasks[_Row],Tasks[_Pred4UID],Tasks[[#This Row],[UID]])))</f>
        <v>0</v>
      </c>
      <c r="FA9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0" s="91" t="str">
        <f aca="false">IF(NOT(Tasks[[#This Row],[_IsLeaf]]=1),"",IF(N(Tasks[[#This Row],[_Days]])&lt;=0,Tasks[[#This Row],[_LeafLateFinish]],WORKDAY.INTL(Tasks[[#This Row],[_LeafLateFinish]],-(Tasks[[#This Row],[_Days]]-1),WorkWeek,Holidays)))</f>
        <v/>
      </c>
      <c r="FD9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0" s="90" t="b">
        <f aca="false">AND(Tasks[[#This Row],[_IsLeaf]]=1,Tasks[[#This Row],[_LeafProgress]]&lt;1,N(Tasks[[#This Row],[_LeafTotalSlack]])&lt;=CriticalSlackDays)</f>
        <v>0</v>
      </c>
      <c r="FF90" s="43" t="n">
        <f aca="false">IF(AND(Tasks[[#This Row],[_IsLeaf]]=1,Tasks[[#This Row],[_ConstraintCode]]=1,Tasks[[#This Row],[Mode]]&lt;&gt;"Manual",N(Tasks[[#This Row],[Actual Start]])=0),MAX(0,N(Tasks[[#This Row],[Free Slack]])),0)</f>
        <v>0</v>
      </c>
      <c r="FG90" s="91" t="str">
        <f aca="false">IF(NOT(Tasks[[#This Row],[_IsLeaf]]=1),"",IF(Tasks[[#This Row],[_AlapShift]]=0,Tasks[[#This Row],[_LeafCalcStart]],WORKDAY.INTL(Tasks[[#This Row],[_LeafCalcStart]],Tasks[[#This Row],[_AlapShift]],WorkWeek,Holidays)))</f>
        <v/>
      </c>
      <c r="FH90" s="91" t="str">
        <f aca="false">IF(NOT(Tasks[[#This Row],[_IsLeaf]]=1),"",IF(Tasks[[#This Row],[_AlapShift]]=0,Tasks[[#This Row],[_LeafCalcFinish]],WORKDAY.INTL(Tasks[[#This Row],[_LeafCalcFinish]],Tasks[[#This Row],[_AlapShift]],WorkWeek,Holidays)))</f>
        <v/>
      </c>
      <c r="FI90" s="91" t="str">
        <f aca="false">IF(NOT(Tasks[[#This Row],[_IsLeaf]]=1),"",IF(Tasks[[#This Row],[_AlapShift]]=0,Tasks[[#This Row],[_LeafFcstStart]],WORKDAY.INTL(Tasks[[#This Row],[_LeafFcstStart]],Tasks[[#This Row],[_AlapShift]],WorkWeek,Holidays)))</f>
        <v/>
      </c>
      <c r="FJ90" s="91" t="str">
        <f aca="false">IF(NOT(Tasks[[#This Row],[_IsLeaf]]=1),"",IF(Tasks[[#This Row],[_AlapShift]]=0,Tasks[[#This Row],[_LeafFcstFinish]],WORKDAY.INTL(Tasks[[#This Row],[_LeafFcstFinish]],Tasks[[#This Row],[_AlapShift]],WorkWeek,Holidays)))</f>
        <v/>
      </c>
      <c r="FK90" s="91" t="str">
        <f aca="false">IF(Tasks[[#This Row],[Task Name]]="","",IF(Tasks[[#This Row],[_IsSummary]],MIN(INDEX(Tasks[_ShownCalcStart],Tasks[[#This Row],[_Row]]+1):INDEX(Tasks[_ShownCalcStart],Tasks[[#This Row],[_Row]]+Tasks[[#This Row],[_Descendants]])),Tasks[[#This Row],[_ShownCalcStart]]))</f>
        <v/>
      </c>
      <c r="FL90" s="91" t="str">
        <f aca="false">IF(Tasks[[#This Row],[Task Name]]="","",IF(Tasks[[#This Row],[_IsSummary]],MAX(INDEX(Tasks[_ShownCalcFinish],Tasks[[#This Row],[_Row]]+1):INDEX(Tasks[_ShownCalcFinish],Tasks[[#This Row],[_Row]]+Tasks[[#This Row],[_Descendants]])),Tasks[[#This Row],[_ShownCalcFinish]]))</f>
        <v/>
      </c>
      <c r="FM9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0" s="43" t="n">
        <f aca="false">IF(AND(Tasks[[#This Row],[_IsLeaf]]=1,Tasks[[#This Row],[_LeafTotalWork]]&gt;0),NETWORKDAYS.INTL(ProjectStart,Tasks[[#This Row],[_ShownFcstStart]],WorkWeek,Holidays),0)</f>
        <v>0</v>
      </c>
      <c r="FZ90" s="43" t="n">
        <f aca="false">IF(AND(Tasks[[#This Row],[_IsLeaf]]=1,Tasks[[#This Row],[_LeafTotalWork]]&gt;0),MAX(Tasks[[#This Row],[_StartWorkday]],NETWORKDAYS.INTL(ProjectStart,Tasks[[#This Row],[_ShownFcstFinish]],WorkWeek,Holidays)),0)</f>
        <v>0</v>
      </c>
      <c r="GA90" s="43" t="n">
        <f aca="false">IF(AND(Tasks[[#This Row],[_IsLeaf]]=1,Tasks[[#This Row],[_LeafTotalWork]]&gt;0),Tasks[[#This Row],[_LeafWork]]/(Tasks[[#This Row],[_FinishWorkday]]-Tasks[[#This Row],[_StartWorkday]]+1),0)</f>
        <v>0</v>
      </c>
      <c r="GB90" s="43" t="n">
        <f aca="false">Tasks[[#This Row],[_WorkPerWorkday]]*(Tasks[[#This Row],[_StartWorkday]]-1)</f>
        <v>-0</v>
      </c>
      <c r="GC90" s="43" t="n">
        <f aca="false">IF(Tasks[[#This Row],[_IsLeaf]]=1,MAX(N(Tasks[[#This Row],[_Days]]),0.1),0)</f>
        <v>0</v>
      </c>
      <c r="GD90" s="43" t="n">
        <f aca="false">Tasks[[#This Row],[_WeightDur]]*Tasks[[#This Row],[_LeafProgress]]</f>
        <v>0</v>
      </c>
      <c r="GE90" s="43" t="n">
        <f aca="false">Tasks[[#This Row],[_WeightDur]]*Tasks[[#This Row],[_PlannedPct]]</f>
        <v>0</v>
      </c>
      <c r="GF9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0" s="43" t="str">
        <f aca="false">IF(AND(Tasks[[#This Row],[_IsLeaf]]=1,N(Tasks[[#This Row],[_Days]])=0,Tasks[[#This Row],[_LeafProgress]]&lt;1),Tasks[[#This Row],[_ShownFcstFinish]]+Tasks[[#This Row],[_Row]]/100000,"")</f>
        <v/>
      </c>
      <c r="GH9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0" s="43" t="str">
        <f aca="false">IF(Tasks[[#This Row],[Task Name]]="","",LEFT(Tasks[[#This Row],[WBS]],FIND(".",Tasks[[#This Row],[WBS]]&amp;".")-1))</f>
        <v/>
      </c>
      <c r="GJ90" s="43" t="str">
        <f aca="false">IF(AND(Tasks[[#This Row],[Task Name]]&lt;&gt;"",Tasks[[#This Row],[_Level]]=1),Tasks[[#This Row],[_Row]],"")</f>
        <v/>
      </c>
      <c r="GK90" s="43" t="str">
        <f aca="false">IF(AND(Tasks[[#This Row],[_IsLeaf]]=1,N(Tasks[[#This Row],[_Days]])=0),Tasks[[#This Row],[Planned Finish]]+Tasks[[#This Row],[_Row]]/100000,"")</f>
        <v/>
      </c>
      <c r="GL90" s="43" t="str">
        <f aca="false">IF(AND(Tasks[[#This Row],[_IsLeaf]]=1,Tasks[[#This Row],[_LeafProgress]]&lt;1,OR(N(Tasks[[#This Row],[Finish Var]])&gt;0,Tasks[[#This Row],[Status]]="Late Start")),MAX(0,Tasks[[#This Row],[Finish Var]])+1-Tasks[[#This Row],[_Row]]/1000000,"")</f>
        <v/>
      </c>
      <c r="GM90" s="43" t="str">
        <f aca="false">IF(AND(Tasks[[#This Row],[_IsLeaf]]=1,N(Tasks[[#This Row],[Actual Start]])=0,Tasks[[#This Row],[_ShownFcstStart]]&gt;=StatusDate,Tasks[[#This Row],[_ShownFcstStart]]&lt;=LookaheadEnd),Tasks[[#This Row],[_ShownFcstStart]]+Tasks[[#This Row],[_Row]]/100000,"")</f>
        <v/>
      </c>
      <c r="GN90" s="43" t="str">
        <f aca="false">IF(AND(Tasks[[#This Row],[_IsLeaf]]=1,Tasks[[#This Row],[_LeafProgress]]&lt;1,Tasks[[#This Row],[_ShownFcstFinish]]&gt;=StatusDate,Tasks[[#This Row],[_ShownFcstFinish]]&lt;=LookaheadEnd),Tasks[[#This Row],[_ShownFcstFinish]]+Tasks[[#This Row],[_Row]]/100000,"")</f>
        <v/>
      </c>
      <c r="GO90" s="43" t="str">
        <f aca="false">IF(Tasks[[#This Row],[_LeafCritical]],Tasks[[#This Row],[_ShownFcstStart]]+Tasks[[#This Row],[_Row]]/100000,"")</f>
        <v/>
      </c>
      <c r="GP90" s="43" t="n">
        <f aca="false">Tasks[[#This Row],[_LeafWork]]*Tasks[[#This Row],[_LeafProgress]]</f>
        <v>0</v>
      </c>
      <c r="GQ90" s="91" t="str">
        <f aca="false">IF(AND(Tasks[[#This Row],[_IsLeaf]]=1,Tasks[[#This Row],[_LeafProgress]]&gt;=1),IF(N(Tasks[[#This Row],[Actual Finish]])&gt;0,Tasks[[#This Row],[Actual Finish]],Tasks[[#This Row],[_ShownFcstFinish]]),"")</f>
        <v/>
      </c>
      <c r="GR90" s="43" t="n">
        <f aca="false">IF(Tasks[[#This Row],[_IsLeaf]]=1,N(Tasks[[#This Row],[Story Points]]),0)</f>
        <v>0</v>
      </c>
      <c r="GS90" s="43" t="str">
        <f aca="false">""</f>
        <v/>
      </c>
      <c r="GT90" s="90" t="b">
        <f aca="false">IF(Tasks[[#This Row],[Task Name]]="",FALSE(),AND(Tasks[[#This Row],[_IsLeaf]]=1,N(Tasks[[#This Row],[_Days]])=0))</f>
        <v>0</v>
      </c>
      <c r="GU90" s="91" t="n">
        <f aca="false">IF(Tasks[[#This Row],[Task Name]]="",0,IF(AND(Tasks[[#This Row],[_IsLeaf]]=1,NOT(Tasks[[#This Row],[_IsMilestone]]),N(Tasks[[#This Row],[Progress]])&gt;0),Tasks[[#This Row],[Start]],0))</f>
        <v>0</v>
      </c>
      <c r="GV90" s="91" t="n">
        <f aca="false">IF(Tasks[[#This Row],[_DoneFrom]]=0,0,IF(Tasks[[#This Row],[Progress]]&gt;=1,Tasks[[#This Row],[Finish]],MAX(Tasks[[#This Row],[_DoneFrom]],Tasks[[#This Row],[Start]]+ROUND((Tasks[[#This Row],[Finish]]-Tasks[[#This Row],[Start]]+1)*Tasks[[#This Row],[Progress]],0)-1)))</f>
        <v>0</v>
      </c>
      <c r="GW90" s="91" t="n">
        <f aca="false">IF(Tasks[[#This Row],[Task Name]]="",0,IF(OR(NOT(Tasks[[#This Row],[_IsLeaf]]=1),Tasks[[#This Row],[_IsMilestone]],N(Tasks[[#This Row],[Progress]])&gt;=1),0,IF(Tasks[[#This Row],[_DoneTo]]&gt;0,Tasks[[#This Row],[_DoneTo]]+1,Tasks[[#This Row],[Start]])))</f>
        <v>0</v>
      </c>
      <c r="GX90" s="91" t="n">
        <f aca="false">IF(Tasks[[#This Row],[_RemFrom]]=0,0,Tasks[[#This Row],[Finish]])</f>
        <v>0</v>
      </c>
      <c r="GY90" s="90" t="b">
        <f aca="false">IF(Tasks[[#This Row],[Task Name]]="",FALSE(),OR(NOT(BaselineSet),N(Tasks[[#This Row],[Baseline Start]])&gt;0))</f>
        <v>0</v>
      </c>
      <c r="GZ9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0" s="92" t="str">
        <f aca="false">IF(Tasks[[#This Row],[_IsLeaf]]=1,Tasks[[#This Row],[_Row]],"")</f>
        <v/>
      </c>
      <c r="HD90" s="92" t="str">
        <f aca="false">IFERROR(INDEX(Tasks[UID],SMALL(Tasks[_PickKey],Tasks[[#This Row],[_Row]]))&amp;" "&amp;INDEX(Tasks[Task Name],SMALL(Tasks[_PickKey],Tasks[[#This Row],[_Row]])),"")</f>
        <v/>
      </c>
      <c r="HE90" s="43" t="str">
        <f aca="false">IF(Tasks[[#This Row],[Task Name]]="","",IF(Tasks[[#This Row],[_IsSummary]],NETWORKDAYS.INTL(Tasks[[#This Row],[Start]],Tasks[[#This Row],[Finish]],WorkWeek,Holidays),N(Tasks[[#This Row],[_Days]])))</f>
        <v/>
      </c>
      <c r="HF90" s="43" t="n">
        <f aca="false">IF(Tasks[[#This Row],[Expected]]="",0,((Tasks[[#This Row],[Pessimistic]]-Tasks[[#This Row],[Optimistic]])/6)^2)</f>
        <v>0</v>
      </c>
      <c r="HG90" s="43" t="n">
        <f aca="false">IF(Tasks[[#This Row],[Expected]]="",0,Tasks[[#This Row],[Expected]]-N(Tasks[[#This Row],[_Days]]))</f>
        <v>0</v>
      </c>
    </row>
    <row r="91" customFormat="false" ht="15" hidden="false" customHeight="false" outlineLevel="0" collapsed="false">
      <c r="A91" s="21" t="str">
        <f aca="false">IF(Tasks[[#This Row],[Task Name]]="","",COUNTA(Tasks[[#Headers],[Task Name]]:Tasks[[#This Row],[Task Name]])-1)</f>
        <v/>
      </c>
      <c r="B91" s="22" t="n">
        <v>99</v>
      </c>
      <c r="C91" s="22"/>
      <c r="D91" s="23"/>
      <c r="E91" s="22"/>
      <c r="F91" s="23"/>
      <c r="G91" s="22"/>
      <c r="H91" s="22"/>
      <c r="I91" s="23"/>
      <c r="J91" s="22"/>
      <c r="K91" s="22"/>
      <c r="L91" s="23"/>
      <c r="M91" s="22"/>
      <c r="N91" s="22"/>
      <c r="O91" s="23"/>
      <c r="P91" s="22"/>
      <c r="Q91" s="22"/>
      <c r="R91" s="23"/>
      <c r="S91" s="23"/>
      <c r="T91" s="84"/>
      <c r="U91" s="23"/>
      <c r="V91" s="84"/>
      <c r="W91" s="23"/>
      <c r="X91" s="84"/>
      <c r="Y91" s="23"/>
      <c r="Z91" s="84"/>
      <c r="AA91" s="23"/>
      <c r="AB91" s="23"/>
      <c r="AC91" s="7"/>
      <c r="AD91" s="7"/>
      <c r="AE91" s="63" t="str">
        <f aca="false">IF(Tasks[[#This Row],[Task Name]]="","",IF(Tasks[[#This Row],[_IsSummary]],MIN(INDEX(Tasks[_ShownFcstStart],Tasks[[#This Row],[_Row]]+1):INDEX(Tasks[_ShownFcstStart],Tasks[[#This Row],[_Row]]+Tasks[[#This Row],[_Descendants]])),Tasks[[#This Row],[_ShownFcstStart]]))</f>
        <v/>
      </c>
      <c r="AF91" s="63" t="str">
        <f aca="false">IF(Tasks[[#This Row],[Task Name]]="","",IF(Tasks[[#This Row],[_IsSummary]],MAX(INDEX(Tasks[_ShownFcstFinish],Tasks[[#This Row],[_Row]]+1):INDEX(Tasks[_ShownFcstFinish],Tasks[[#This Row],[_Row]]+Tasks[[#This Row],[_Descendants]])),Tasks[[#This Row],[_ShownFcstFinish]]))</f>
        <v/>
      </c>
      <c r="AG91" s="21" t="str">
        <f aca="false">""</f>
        <v/>
      </c>
      <c r="AH91" s="23"/>
      <c r="AI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1" s="7"/>
      <c r="AK91" s="22"/>
      <c r="AL91" s="23"/>
      <c r="AM91" s="7"/>
      <c r="AN91" s="47" t="str">
        <f aca="false">IF(Tasks[[#This Row],[Task Name]]="","",IF(Tasks[[#This Row],[Finish]]&gt;=Tasks[[#This Row],[Planned Finish]],NETWORKDAYS.INTL(Tasks[[#This Row],[Planned Finish]],Tasks[[#This Row],[Finish]],WorkWeek,Holidays)-1,1-NETWORKDAYS.INTL(Tasks[[#This Row],[Finish]],Tasks[[#This Row],[Planned Finish]],WorkWeek,Holidays)))</f>
        <v/>
      </c>
      <c r="AO91" s="21" t="str">
        <f aca="false">IF(Tasks[[#This Row],[Task Name]]="","",IF(Tasks[[#This Row],[Progress]]&gt;=1,"Complete",IF(OR(N(Tasks[[#This Row],[Actual Start]])&gt;0,Tasks[[#This Row],[Progress]]&gt;0),IF(Tasks[[#This Row],[Finish Var]]&gt;0,"Behind","In Progress"),IF(Tasks[[#This Row],[Planned Start]]&lt;StatusDate,"Late Start","Not Started"))))</f>
        <v/>
      </c>
      <c r="AP91" s="21" t="str">
        <f aca="false">IF(Tasks[[#This Row],[Task Name]]="","",IF(IF(Tasks[[#This Row],[_IsSummary]],COUNTIF(INDEX(Tasks[_LeafCritical],Tasks[[#This Row],[_Row]]+1):INDEX(Tasks[_LeafCritical],Tasks[[#This Row],[_Row]]+Tasks[[#This Row],[_Descendants]]),TRUE())&gt;0,Tasks[[#This Row],[_LeafCritical]]),"Yes",""))</f>
        <v/>
      </c>
      <c r="AQ91" s="63" t="str">
        <f aca="false">IF(Tasks[[#This Row],[Task Name]]="","",IF(N(Tasks[[#This Row],[Baseline Start]])&gt;0,Tasks[[#This Row],[Baseline Start]],Tasks[[#This Row],[_CalcStart]]))</f>
        <v/>
      </c>
      <c r="AR91" s="63" t="str">
        <f aca="false">IF(Tasks[[#This Row],[Task Name]]="","",IF(N(Tasks[[#This Row],[Baseline Finish]])&gt;0,Tasks[[#This Row],[Baseline Finish]],Tasks[[#This Row],[_CalcFinish]]))</f>
        <v/>
      </c>
      <c r="AS91" s="47" t="str">
        <f aca="false">IF(Tasks[[#This Row],[Task Name]]="","",IF(Tasks[[#This Row],[Start]]&gt;=Tasks[[#This Row],[Planned Start]],NETWORKDAYS.INTL(Tasks[[#This Row],[Planned Start]],Tasks[[#This Row],[Start]],WorkWeek,Holidays)-1,1-NETWORKDAYS.INTL(Tasks[[#This Row],[Start]],Tasks[[#This Row],[Planned Start]],WorkWeek,Holidays)))</f>
        <v/>
      </c>
      <c r="AT91" s="63" t="str">
        <f aca="false">IF(Tasks[[#This Row],[Task Name]]="","",IF(Tasks[[#This Row],[_IsSummary]],MIN(INDEX(Tasks[_LeafLateStart],Tasks[[#This Row],[_Row]]+1):INDEX(Tasks[_LeafLateStart],Tasks[[#This Row],[_Row]]+Tasks[[#This Row],[_Descendants]])),Tasks[[#This Row],[_LeafLateStart]]))</f>
        <v/>
      </c>
      <c r="AU91" s="63" t="str">
        <f aca="false">IF(Tasks[[#This Row],[Task Name]]="","",IF(Tasks[[#This Row],[_IsSummary]],MAX(INDEX(Tasks[_LeafLateFinish],Tasks[[#This Row],[_Row]]+1):INDEX(Tasks[_LeafLateFinish],Tasks[[#This Row],[_Row]]+Tasks[[#This Row],[_Descendants]])),Tasks[[#This Row],[_LeafLateFinish]]))</f>
        <v/>
      </c>
      <c r="AV91" s="47" t="str">
        <f aca="false">IF(Tasks[[#This Row],[Task Name]]="","",IF(Tasks[[#This Row],[_IsSummary]],MIN(INDEX(Tasks[_LeafTotalSlack],Tasks[[#This Row],[_Row]]+1):INDEX(Tasks[_LeafTotalSlack],Tasks[[#This Row],[_Row]]+Tasks[[#This Row],[_Descendants]])),Tasks[[#This Row],[_LeafTotalSlack]]))</f>
        <v/>
      </c>
      <c r="AW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5"/>
      <c r="BA9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1" t="str">
        <f aca="false">IF(Tasks[[#This Row],[Task Name]]="","",IF(Tasks[[#This Row],[_Level]]&lt;=OutlineShowLevel,"Yes","No"))</f>
        <v/>
      </c>
      <c r="BE91" s="86" t="str">
        <f aca="false">IF(Tasks[[#This Row],[Task Name]]="","",IF(Tasks[[#This Row],[_IsSummary]],SUM(INDEX(Tasks[_LeafTotalWork],Tasks[[#This Row],[_Row]]+1):INDEX(Tasks[_LeafTotalWork],Tasks[[#This Row],[_Row]]+Tasks[[#This Row],[_Descendants]])),Tasks[[#This Row],[_LeafTotalWork]]))</f>
        <v/>
      </c>
      <c r="BF91" s="23"/>
      <c r="BG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1" s="21" t="str">
        <f aca="false">""</f>
        <v/>
      </c>
      <c r="BI91" s="87"/>
      <c r="BJ91" s="22"/>
      <c r="BK91" s="47" t="str">
        <f aca="false">IF(OR(Tasks[[#This Row],[Task Name]]="",Tasks[[#This Row],[Baseline Duration]]=""),"",Tasks[[#This Row],[_SpanDays]]-N(Tasks[[#This Row],[Baseline Duration]]))</f>
        <v/>
      </c>
      <c r="BL91" s="86" t="str">
        <f aca="false">IF(OR(Tasks[[#This Row],[Task Name]]="",Tasks[[#This Row],[Baseline Work]]=""),"",Tasks[[#This Row],[Work]]-N(Tasks[[#This Row],[Baseline Work]]))</f>
        <v/>
      </c>
      <c r="BM91" s="63" t="str">
        <f aca="false">IF(Tasks[[#This Row],[Task Name]]="","",IF(OR(TakeBaseline="Yes",N(Tasks[[#This Row],[Baseline Start]])=0),Tasks[[#This Row],[Start]],Tasks[[#This Row],[Baseline Start]]))</f>
        <v/>
      </c>
      <c r="BN91" s="63" t="str">
        <f aca="false">IF(Tasks[[#This Row],[Task Name]]="","",IF(OR(TakeBaseline="Yes",N(Tasks[[#This Row],[Baseline Finish]])=0),Tasks[[#This Row],[Finish]],Tasks[[#This Row],[Baseline Finish]]))</f>
        <v/>
      </c>
      <c r="BO91" s="21" t="str">
        <f aca="false">IF(Tasks[[#This Row],[Task Name]]="","",IF(OR(TakeBaseline="Yes",N(Tasks[[#This Row],[Baseline Duration]])=0),Tasks[[#This Row],[_SpanDays]],Tasks[[#This Row],[Baseline Duration]]))</f>
        <v/>
      </c>
      <c r="BP91" s="86" t="str">
        <f aca="false">IF(Tasks[[#This Row],[Task Name]]="","",IF(OR(TakeBaseline="Yes",N(Tasks[[#This Row],[Baseline Work]])=0),Tasks[[#This Row],[Work]],Tasks[[#This Row],[Baseline Work]]))</f>
        <v/>
      </c>
      <c r="BQ91" s="7"/>
      <c r="BR91" s="7"/>
      <c r="BS91" s="22"/>
      <c r="BT91" s="88"/>
      <c r="BU91" s="23"/>
      <c r="BV91" s="23"/>
      <c r="BW91" s="23"/>
      <c r="BX91" s="89" t="str">
        <f aca="false">IF(AND(Tasks[[#This Row],[_IsLeaf]]=1,ISNUMBER(Tasks[[#This Row],[Optimistic]]),ISNUMBER(Tasks[[#This Row],[Pessimistic]])),ROUND((Tasks[[#This Row],[Optimistic]]+4*N(Tasks[[#This Row],[_Days]])+Tasks[[#This Row],[Pessimistic]])/6,1),"")</f>
        <v/>
      </c>
      <c r="BY91" s="87"/>
      <c r="BZ91" s="87"/>
      <c r="CA91" s="22"/>
      <c r="CB91" s="43" t="str">
        <f aca="false">IF(Tasks[[#This Row],[Task Name]]="","",MAX(1,N(Tasks[[#This Row],[Level]])))</f>
        <v/>
      </c>
      <c r="CC91" s="43" t="n">
        <f aca="false">ROW()-ROW(Tasks[[#Headers],[ID]])</f>
        <v>86</v>
      </c>
      <c r="CD91" s="43" t="n">
        <f aca="false">IF(OR(Tasks[[#This Row],[Task Name]]="",Tasks[[#This Row],[_Level]]&lt;=1),0,IFERROR(LOOKUP(2,1/(Tasks[[#Headers],[_Level]]:Tasks[[#This Row],[_Level]]=Tasks[[#This Row],[_Level]]-1),ROW(Tasks[[#Headers],[_Level]]:Tasks[[#This Row],[_Level]])),0))</f>
        <v>0</v>
      </c>
      <c r="CE91" s="43" t="n">
        <f aca="false">IFERROR(N(INDEX(Tasks[_Level],Tasks[[#This Row],[_Row]]+1)),0)</f>
        <v>0</v>
      </c>
      <c r="CF91" s="90" t="b">
        <f aca="false">AND(Tasks[[#This Row],[Task Name]]&lt;&gt;"",Tasks[[#This Row],[_NextLevel]]&gt;Tasks[[#This Row],[_Level]])</f>
        <v>0</v>
      </c>
      <c r="CG91" s="43" t="n">
        <f aca="false">IF(Tasks[[#This Row],[_IsSummary]],COUNTIF(Tasks[WBS],Tasks[[#This Row],[WBS]]&amp;".*"),0)</f>
        <v>0</v>
      </c>
      <c r="CH91" s="43" t="n">
        <f aca="false">IF(AND(Tasks[[#This Row],[Task Name]]&lt;&gt;"",NOT(Tasks[[#This Row],[_IsSummary]])),1,0)</f>
        <v>0</v>
      </c>
      <c r="CI91" s="43" t="n">
        <f aca="false">IF(N(Tasks[[#This Row],[_Pred1UID]])=0,0,IFERROR(MATCH(Tasks[[#This Row],[_Pred1UID]],Tasks[UID],0),-1))</f>
        <v>0</v>
      </c>
      <c r="CJ91" s="43" t="n">
        <f aca="false">IF(N(Tasks[[#This Row],[_Pred2UID]])=0,0,IFERROR(MATCH(Tasks[[#This Row],[_Pred2UID]],Tasks[UID],0),-1))</f>
        <v>0</v>
      </c>
      <c r="CK91" s="43" t="n">
        <f aca="false">IF(N(Tasks[[#This Row],[_Pred3UID]])=0,0,IFERROR(MATCH(Tasks[[#This Row],[_Pred3UID]],Tasks[UID],0),-1))</f>
        <v>0</v>
      </c>
      <c r="CL91" s="43" t="n">
        <f aca="false">IF(N(Tasks[[#This Row],[_Pred4UID]])=0,0,IFERROR(MATCH(Tasks[[#This Row],[_Pred4UID]],Tasks[UID],0),-1))</f>
        <v>0</v>
      </c>
      <c r="CM9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1" s="91" t="n">
        <f aca="false">IF(OR(Tasks[[#This Row],[_ConstraintCode]]=2,Tasks[[#This Row],[_ConstraintCode]]=3,Tasks[[#This Row],[_ConstraintCode]]=4,Tasks[[#This Row],[_ConstraintCode]]=6),Tasks[[#This Row],[_ConstraintStart]],0)</f>
        <v>0</v>
      </c>
      <c r="CP91" s="91" t="n">
        <f aca="false">IF(OR(Tasks[[#This Row],[_ConstraintCode]]=2,Tasks[[#This Row],[_ConstraintCode]]=3,Tasks[[#This Row],[_ConstraintCode]]=5,Tasks[[#This Row],[_ConstraintCode]]=7),Tasks[[#This Row],[_ConstraintStart]],2958465)</f>
        <v>2958465</v>
      </c>
      <c r="CQ9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1" s="91" t="str">
        <f aca="false">IF(NOT(Tasks[[#This Row],[_IsLeaf]]=1),"",IF(N(Tasks[[#This Row],[_Days]])&lt;=0,Tasks[[#This Row],[_LeafCalcStart]],WORKDAY.INTL(Tasks[[#This Row],[_LeafCalcStart]],Tasks[[#This Row],[_Days]]-1,WorkWeek,Holidays)))</f>
        <v/>
      </c>
      <c r="CS9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1" s="43" t="str">
        <f aca="false">IF(Tasks[[#This Row],[_Predecessors]]="","",TRIM(MID(SUBSTITUTE(SUBSTITUTE(SUBSTITUTE(UPPER(Tasks[[#This Row],[_Predecessors]]),";",",")," ",""),",",REPT(" ",99)),1,99)))</f>
        <v/>
      </c>
      <c r="CV91" s="43" t="str">
        <f aca="false">IF(Tasks[[#This Row],[_Pred1Text]]="","",IFERROR(VALUE(LEFT(Tasks[[#This Row],[_Pred1Text]],MIN(FIND("F",Tasks[[#This Row],[_Pred1Text]]&amp;"F"),FIND("S",Tasks[[#This Row],[_Pred1Text]]&amp;"S"),FIND("+",Tasks[[#This Row],[_Pred1Text]]&amp;"+"),FIND("-",Tasks[[#This Row],[_Pred1Text]]&amp;"-"))-1)),""))</f>
        <v/>
      </c>
      <c r="CW9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1" s="43" t="str">
        <f aca="false">IF(Tasks[[#This Row],[_Pred1Text]]="","",TRIM(MID(SUBSTITUTE(SUBSTITUTE(SUBSTITUTE(UPPER(Tasks[[#This Row],[_Predecessors]]),";",",")," ",""),",",REPT(" ",99)),100,99)))</f>
        <v/>
      </c>
      <c r="CZ91" s="43" t="str">
        <f aca="false">IF(Tasks[[#This Row],[_Pred2Text]]="","",IFERROR(VALUE(LEFT(Tasks[[#This Row],[_Pred2Text]],MIN(FIND("F",Tasks[[#This Row],[_Pred2Text]]&amp;"F"),FIND("S",Tasks[[#This Row],[_Pred2Text]]&amp;"S"),FIND("+",Tasks[[#This Row],[_Pred2Text]]&amp;"+"),FIND("-",Tasks[[#This Row],[_Pred2Text]]&amp;"-"))-1)),""))</f>
        <v/>
      </c>
      <c r="DA9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1" s="43" t="str">
        <f aca="false">IF(Tasks[[#This Row],[_Pred2Text]]="","",TRIM(MID(SUBSTITUTE(SUBSTITUTE(SUBSTITUTE(UPPER(Tasks[[#This Row],[_Predecessors]]),";",",")," ",""),",",REPT(" ",99)),199,99)))</f>
        <v/>
      </c>
      <c r="DD91" s="43" t="str">
        <f aca="false">IF(Tasks[[#This Row],[_Pred3Text]]="","",IFERROR(VALUE(LEFT(Tasks[[#This Row],[_Pred3Text]],MIN(FIND("F",Tasks[[#This Row],[_Pred3Text]]&amp;"F"),FIND("S",Tasks[[#This Row],[_Pred3Text]]&amp;"S"),FIND("+",Tasks[[#This Row],[_Pred3Text]]&amp;"+"),FIND("-",Tasks[[#This Row],[_Pred3Text]]&amp;"-"))-1)),""))</f>
        <v/>
      </c>
      <c r="DE9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1" s="43" t="str">
        <f aca="false">IF(Tasks[[#This Row],[_Pred3Text]]="","",TRIM(MID(SUBSTITUTE(SUBSTITUTE(SUBSTITUTE(UPPER(Tasks[[#This Row],[_Predecessors]]),";",",")," ",""),",",REPT(" ",99)),298,99)))</f>
        <v/>
      </c>
      <c r="DH91" s="43" t="str">
        <f aca="false">IF(Tasks[[#This Row],[_Pred4Text]]="","",IFERROR(VALUE(LEFT(Tasks[[#This Row],[_Pred4Text]],MIN(FIND("F",Tasks[[#This Row],[_Pred4Text]]&amp;"F"),FIND("S",Tasks[[#This Row],[_Pred4Text]]&amp;"S"),FIND("+",Tasks[[#This Row],[_Pred4Text]]&amp;"+"),FIND("-",Tasks[[#This Row],[_Pred4Text]]&amp;"-"))-1)),""))</f>
        <v/>
      </c>
      <c r="DI9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1" s="43" t="str">
        <f aca="false">IF(OR(Tasks[[#This Row],[Task Name]]="",Tasks[[#This Row],[_Resources]]=""),"",TRIM(MID(SUBSTITUTE(Tasks[[#This Row],[_Resources]],",",REPT(" ",99)),1,99)))</f>
        <v/>
      </c>
      <c r="DL91" s="43" t="str">
        <f aca="false">IF(Tasks[[#This Row],[_Res1Text]]="","",TRIM(MID(SUBSTITUTE(Tasks[[#This Row],[_Resources]],",",REPT(" ",99)),100,99)))</f>
        <v/>
      </c>
      <c r="DM91" s="43" t="str">
        <f aca="false">IF(Tasks[[#This Row],[_Res2Text]]="","",TRIM(MID(SUBSTITUTE(Tasks[[#This Row],[_Resources]],",",REPT(" ",99)),199,99)))</f>
        <v/>
      </c>
      <c r="DN91" s="43" t="str">
        <f aca="false">IF(Tasks[[#This Row],[_Res3Text]]="","",TRIM(MID(SUBSTITUTE(Tasks[[#This Row],[_Resources]],",",REPT(" ",99)),298,99)))</f>
        <v/>
      </c>
      <c r="DO91" s="43" t="n">
        <f aca="false">IF(Tasks[[#This Row],[_Res1Text]]="",0,IFERROR(MATCH(TRIM(LEFT(Tasks[[#This Row],[_Res1Text]],FIND("[",Tasks[[#This Row],[_Res1Text]]&amp;"[")-1)),res_Name,0),IFERROR(MATCH(TRIM(LEFT(Tasks[[#This Row],[_Res1Text]],FIND("[",Tasks[[#This Row],[_Res1Text]]&amp;"[")-1)),res_Initials,0),0)))</f>
        <v>0</v>
      </c>
      <c r="DP91" s="43" t="n">
        <f aca="false">IF(Tasks[[#This Row],[_Res2Text]]="",0,IFERROR(MATCH(TRIM(LEFT(Tasks[[#This Row],[_Res2Text]],FIND("[",Tasks[[#This Row],[_Res2Text]]&amp;"[")-1)),res_Name,0),IFERROR(MATCH(TRIM(LEFT(Tasks[[#This Row],[_Res2Text]],FIND("[",Tasks[[#This Row],[_Res2Text]]&amp;"[")-1)),res_Initials,0),0)))</f>
        <v>0</v>
      </c>
      <c r="DQ91" s="43" t="n">
        <f aca="false">IF(Tasks[[#This Row],[_Res3Text]]="",0,IFERROR(MATCH(TRIM(LEFT(Tasks[[#This Row],[_Res3Text]],FIND("[",Tasks[[#This Row],[_Res3Text]]&amp;"[")-1)),res_Name,0),IFERROR(MATCH(TRIM(LEFT(Tasks[[#This Row],[_Res3Text]],FIND("[",Tasks[[#This Row],[_Res3Text]]&amp;"[")-1)),res_Initials,0),0)))</f>
        <v>0</v>
      </c>
      <c r="DR91" s="43" t="n">
        <f aca="false">IF(Tasks[[#This Row],[_Res4Text]]="",0,IFERROR(MATCH(TRIM(LEFT(Tasks[[#This Row],[_Res4Text]],FIND("[",Tasks[[#This Row],[_Res4Text]]&amp;"[")-1)),res_Name,0),IFERROR(MATCH(TRIM(LEFT(Tasks[[#This Row],[_Res4Text]],FIND("[",Tasks[[#This Row],[_Res4Text]]&amp;"[")-1)),res_Initials,0),0)))</f>
        <v>0</v>
      </c>
      <c r="DS91" s="43" t="str">
        <f aca="false">IF(Tasks[[#This Row],[_Res1Text]]="","",IF(Tasks[[#This Row],[_Res1Row]]&gt;0,INDEX(res_Name,Tasks[[#This Row],[_Res1Row]]),TRIM(LEFT(Tasks[[#This Row],[_Res1Text]],FIND("[",Tasks[[#This Row],[_Res1Text]]&amp;"[")-1))))</f>
        <v/>
      </c>
      <c r="DT9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1" s="43" t="n">
        <f aca="false">IF(NOT(Tasks[[#This Row],[_IsLeaf]]=1),0,(Tasks[[#This Row],[_Resource1]]&lt;&gt;"")+(Tasks[[#This Row],[_Res2]]&lt;&gt;"")+(Tasks[[#This Row],[_Res3]]&lt;&gt;"")+(Tasks[[#This Row],[_Res4]]&lt;&gt;""))</f>
        <v>0</v>
      </c>
      <c r="DV91" s="43" t="str">
        <f aca="false">IF(Tasks[[#This Row],[_Res2Text]]="","",IF(Tasks[[#This Row],[_Res2Row]]&gt;0,INDEX(res_Name,Tasks[[#This Row],[_Res2Row]]),TRIM(LEFT(Tasks[[#This Row],[_Res2Text]],FIND("[",Tasks[[#This Row],[_Res2Text]]&amp;"[")-1))))</f>
        <v/>
      </c>
      <c r="DW9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1" s="43" t="n">
        <f aca="false">IF(OR(NOT(Tasks[[#This Row],[_IsLeaf]]=1),Tasks[[#This Row],[_Res2Row]]=0),0,N(Tasks[[#This Row],[_Days]])*HoursPerDay*IF(Tasks[[#This Row],[_Res2Units]]="",DefaultUnits,Tasks[[#This Row],[_Res2Units]]))</f>
        <v>0</v>
      </c>
      <c r="DY91" s="43" t="n">
        <f aca="false">IF(AND(AND(Tasks[[#This Row],[_IsLeaf]]=1,Tasks[[#This Row],[_LeafTotalWork]]&gt;0),Tasks[[#This Row],[_Res2Work]]&gt;0),Tasks[[#This Row],[_Res2Work]]/(Tasks[[#This Row],[_FinishWorkday]]-Tasks[[#This Row],[_StartWorkday]]+1),0)</f>
        <v>0</v>
      </c>
      <c r="DZ91" s="43" t="n">
        <f aca="false">Tasks[[#This Row],[_Res2WorkPerWD]]*MAX(0,Tasks[[#This Row],[_StartWorkday]]-1)</f>
        <v>0</v>
      </c>
      <c r="EA91" s="43" t="n">
        <f aca="false">Tasks[[#This Row],[_Res2Work]]*Tasks[[#This Row],[_LeafProgress]]</f>
        <v>0</v>
      </c>
      <c r="EB91" s="43" t="str">
        <f aca="false">IF(Tasks[[#This Row],[_Res3Text]]="","",IF(Tasks[[#This Row],[_Res3Row]]&gt;0,INDEX(res_Name,Tasks[[#This Row],[_Res3Row]]),TRIM(LEFT(Tasks[[#This Row],[_Res3Text]],FIND("[",Tasks[[#This Row],[_Res3Text]]&amp;"[")-1))))</f>
        <v/>
      </c>
      <c r="EC9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1" s="43" t="n">
        <f aca="false">IF(OR(NOT(Tasks[[#This Row],[_IsLeaf]]=1),Tasks[[#This Row],[_Res3Row]]=0),0,N(Tasks[[#This Row],[_Days]])*HoursPerDay*IF(Tasks[[#This Row],[_Res3Units]]="",DefaultUnits,Tasks[[#This Row],[_Res3Units]]))</f>
        <v>0</v>
      </c>
      <c r="EE91" s="43" t="n">
        <f aca="false">IF(AND(AND(Tasks[[#This Row],[_IsLeaf]]=1,Tasks[[#This Row],[_LeafTotalWork]]&gt;0),Tasks[[#This Row],[_Res3Work]]&gt;0),Tasks[[#This Row],[_Res3Work]]/(Tasks[[#This Row],[_FinishWorkday]]-Tasks[[#This Row],[_StartWorkday]]+1),0)</f>
        <v>0</v>
      </c>
      <c r="EF91" s="43" t="n">
        <f aca="false">Tasks[[#This Row],[_Res3WorkPerWD]]*MAX(0,Tasks[[#This Row],[_StartWorkday]]-1)</f>
        <v>0</v>
      </c>
      <c r="EG91" s="43" t="n">
        <f aca="false">Tasks[[#This Row],[_Res3Work]]*Tasks[[#This Row],[_LeafProgress]]</f>
        <v>0</v>
      </c>
      <c r="EH91" s="43" t="str">
        <f aca="false">IF(Tasks[[#This Row],[_Res4Text]]="","",IF(Tasks[[#This Row],[_Res4Row]]&gt;0,INDEX(res_Name,Tasks[[#This Row],[_Res4Row]]),TRIM(LEFT(Tasks[[#This Row],[_Res4Text]],FIND("[",Tasks[[#This Row],[_Res4Text]]&amp;"[")-1))))</f>
        <v/>
      </c>
      <c r="EI9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1" s="43" t="n">
        <f aca="false">IF(OR(NOT(Tasks[[#This Row],[_IsLeaf]]=1),Tasks[[#This Row],[_Res4Row]]=0),0,N(Tasks[[#This Row],[_Days]])*HoursPerDay*IF(Tasks[[#This Row],[_Res4Units]]="",DefaultUnits,Tasks[[#This Row],[_Res4Units]]))</f>
        <v>0</v>
      </c>
      <c r="EK91" s="43" t="n">
        <f aca="false">IF(AND(AND(Tasks[[#This Row],[_IsLeaf]]=1,Tasks[[#This Row],[_LeafTotalWork]]&gt;0),Tasks[[#This Row],[_Res4Work]]&gt;0),Tasks[[#This Row],[_Res4Work]]/(Tasks[[#This Row],[_FinishWorkday]]-Tasks[[#This Row],[_StartWorkday]]+1),0)</f>
        <v>0</v>
      </c>
      <c r="EL91" s="43" t="n">
        <f aca="false">Tasks[[#This Row],[_Res4WorkPerWD]]*MAX(0,Tasks[[#This Row],[_StartWorkday]]-1)</f>
        <v>0</v>
      </c>
      <c r="EM91" s="43" t="n">
        <f aca="false">Tasks[[#This Row],[_Res4Work]]*Tasks[[#This Row],[_LeafProgress]]</f>
        <v>0</v>
      </c>
      <c r="EN91" s="43" t="n">
        <f aca="false">IF(ISNUMBER(Tasks[[#This Row],[% Complete]]),Tasks[[#This Row],[% Complete]],IF(Tasks[[#This Row],[Stage]]="",0,IFERROR(INDEX(stg_Pct,MATCH(Tasks[[#This Row],[Stage]],stg_Name,0)),0)))</f>
        <v>0</v>
      </c>
      <c r="EO91" s="43" t="n">
        <f aca="false">IF(NOT(Tasks[[#This Row],[_IsLeaf]]=1),0,IF(N(Tasks[[#This Row],[Actual Finish]])&gt;0,1,MIN(1,Tasks[[#This Row],[_Pct]])))</f>
        <v>0</v>
      </c>
      <c r="EP91" s="43" t="n">
        <f aca="false">IF(OR(NOT(Tasks[[#This Row],[_IsLeaf]]=1),Tasks[[#This Row],[_Res1Row]]=0),0,N(Tasks[[#This Row],[_Days]])*HoursPerDay*IF(Tasks[[#This Row],[_Units1]]="",DefaultUnits,Tasks[[#This Row],[_Units1]]))</f>
        <v>0</v>
      </c>
      <c r="EQ91" s="43" t="n">
        <f aca="false">Tasks[[#This Row],[_LeafWork]]+Tasks[[#This Row],[_Res2Work]]+Tasks[[#This Row],[_Res3Work]]+Tasks[[#This Row],[_Res4Work]]</f>
        <v>0</v>
      </c>
      <c r="ER9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1" s="43" t="n">
        <f aca="false">IF(NOT(Tasks[[#This Row],[_IsLeaf]]=1),0,MAX(_xlfn.MAXIFS(Tasks[_Row],Tasks[_Pred1UID],Tasks[[#This Row],[UID]]),_xlfn.MAXIFS(Tasks[_Row],Tasks[_Pred2UID],Tasks[[#This Row],[UID]]),_xlfn.MAXIFS(Tasks[_Row],Tasks[_Pred3UID],Tasks[[#This Row],[UID]]),_xlfn.MAXIFS(Tasks[_Row],Tasks[_Pred4UID],Tasks[[#This Row],[UID]])))</f>
        <v>0</v>
      </c>
      <c r="FA9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1" s="91" t="str">
        <f aca="false">IF(NOT(Tasks[[#This Row],[_IsLeaf]]=1),"",IF(N(Tasks[[#This Row],[_Days]])&lt;=0,Tasks[[#This Row],[_LeafLateFinish]],WORKDAY.INTL(Tasks[[#This Row],[_LeafLateFinish]],-(Tasks[[#This Row],[_Days]]-1),WorkWeek,Holidays)))</f>
        <v/>
      </c>
      <c r="FD9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1" s="90" t="b">
        <f aca="false">AND(Tasks[[#This Row],[_IsLeaf]]=1,Tasks[[#This Row],[_LeafProgress]]&lt;1,N(Tasks[[#This Row],[_LeafTotalSlack]])&lt;=CriticalSlackDays)</f>
        <v>0</v>
      </c>
      <c r="FF91" s="43" t="n">
        <f aca="false">IF(AND(Tasks[[#This Row],[_IsLeaf]]=1,Tasks[[#This Row],[_ConstraintCode]]=1,Tasks[[#This Row],[Mode]]&lt;&gt;"Manual",N(Tasks[[#This Row],[Actual Start]])=0),MAX(0,N(Tasks[[#This Row],[Free Slack]])),0)</f>
        <v>0</v>
      </c>
      <c r="FG91" s="91" t="str">
        <f aca="false">IF(NOT(Tasks[[#This Row],[_IsLeaf]]=1),"",IF(Tasks[[#This Row],[_AlapShift]]=0,Tasks[[#This Row],[_LeafCalcStart]],WORKDAY.INTL(Tasks[[#This Row],[_LeafCalcStart]],Tasks[[#This Row],[_AlapShift]],WorkWeek,Holidays)))</f>
        <v/>
      </c>
      <c r="FH91" s="91" t="str">
        <f aca="false">IF(NOT(Tasks[[#This Row],[_IsLeaf]]=1),"",IF(Tasks[[#This Row],[_AlapShift]]=0,Tasks[[#This Row],[_LeafCalcFinish]],WORKDAY.INTL(Tasks[[#This Row],[_LeafCalcFinish]],Tasks[[#This Row],[_AlapShift]],WorkWeek,Holidays)))</f>
        <v/>
      </c>
      <c r="FI91" s="91" t="str">
        <f aca="false">IF(NOT(Tasks[[#This Row],[_IsLeaf]]=1),"",IF(Tasks[[#This Row],[_AlapShift]]=0,Tasks[[#This Row],[_LeafFcstStart]],WORKDAY.INTL(Tasks[[#This Row],[_LeafFcstStart]],Tasks[[#This Row],[_AlapShift]],WorkWeek,Holidays)))</f>
        <v/>
      </c>
      <c r="FJ91" s="91" t="str">
        <f aca="false">IF(NOT(Tasks[[#This Row],[_IsLeaf]]=1),"",IF(Tasks[[#This Row],[_AlapShift]]=0,Tasks[[#This Row],[_LeafFcstFinish]],WORKDAY.INTL(Tasks[[#This Row],[_LeafFcstFinish]],Tasks[[#This Row],[_AlapShift]],WorkWeek,Holidays)))</f>
        <v/>
      </c>
      <c r="FK91" s="91" t="str">
        <f aca="false">IF(Tasks[[#This Row],[Task Name]]="","",IF(Tasks[[#This Row],[_IsSummary]],MIN(INDEX(Tasks[_ShownCalcStart],Tasks[[#This Row],[_Row]]+1):INDEX(Tasks[_ShownCalcStart],Tasks[[#This Row],[_Row]]+Tasks[[#This Row],[_Descendants]])),Tasks[[#This Row],[_ShownCalcStart]]))</f>
        <v/>
      </c>
      <c r="FL91" s="91" t="str">
        <f aca="false">IF(Tasks[[#This Row],[Task Name]]="","",IF(Tasks[[#This Row],[_IsSummary]],MAX(INDEX(Tasks[_ShownCalcFinish],Tasks[[#This Row],[_Row]]+1):INDEX(Tasks[_ShownCalcFinish],Tasks[[#This Row],[_Row]]+Tasks[[#This Row],[_Descendants]])),Tasks[[#This Row],[_ShownCalcFinish]]))</f>
        <v/>
      </c>
      <c r="FM9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1" s="43" t="n">
        <f aca="false">IF(AND(Tasks[[#This Row],[_IsLeaf]]=1,Tasks[[#This Row],[_LeafTotalWork]]&gt;0),NETWORKDAYS.INTL(ProjectStart,Tasks[[#This Row],[_ShownFcstStart]],WorkWeek,Holidays),0)</f>
        <v>0</v>
      </c>
      <c r="FZ91" s="43" t="n">
        <f aca="false">IF(AND(Tasks[[#This Row],[_IsLeaf]]=1,Tasks[[#This Row],[_LeafTotalWork]]&gt;0),MAX(Tasks[[#This Row],[_StartWorkday]],NETWORKDAYS.INTL(ProjectStart,Tasks[[#This Row],[_ShownFcstFinish]],WorkWeek,Holidays)),0)</f>
        <v>0</v>
      </c>
      <c r="GA91" s="43" t="n">
        <f aca="false">IF(AND(Tasks[[#This Row],[_IsLeaf]]=1,Tasks[[#This Row],[_LeafTotalWork]]&gt;0),Tasks[[#This Row],[_LeafWork]]/(Tasks[[#This Row],[_FinishWorkday]]-Tasks[[#This Row],[_StartWorkday]]+1),0)</f>
        <v>0</v>
      </c>
      <c r="GB91" s="43" t="n">
        <f aca="false">Tasks[[#This Row],[_WorkPerWorkday]]*(Tasks[[#This Row],[_StartWorkday]]-1)</f>
        <v>-0</v>
      </c>
      <c r="GC91" s="43" t="n">
        <f aca="false">IF(Tasks[[#This Row],[_IsLeaf]]=1,MAX(N(Tasks[[#This Row],[_Days]]),0.1),0)</f>
        <v>0</v>
      </c>
      <c r="GD91" s="43" t="n">
        <f aca="false">Tasks[[#This Row],[_WeightDur]]*Tasks[[#This Row],[_LeafProgress]]</f>
        <v>0</v>
      </c>
      <c r="GE91" s="43" t="n">
        <f aca="false">Tasks[[#This Row],[_WeightDur]]*Tasks[[#This Row],[_PlannedPct]]</f>
        <v>0</v>
      </c>
      <c r="GF9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1" s="43" t="str">
        <f aca="false">IF(AND(Tasks[[#This Row],[_IsLeaf]]=1,N(Tasks[[#This Row],[_Days]])=0,Tasks[[#This Row],[_LeafProgress]]&lt;1),Tasks[[#This Row],[_ShownFcstFinish]]+Tasks[[#This Row],[_Row]]/100000,"")</f>
        <v/>
      </c>
      <c r="GH9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1" s="43" t="str">
        <f aca="false">IF(Tasks[[#This Row],[Task Name]]="","",LEFT(Tasks[[#This Row],[WBS]],FIND(".",Tasks[[#This Row],[WBS]]&amp;".")-1))</f>
        <v/>
      </c>
      <c r="GJ91" s="43" t="str">
        <f aca="false">IF(AND(Tasks[[#This Row],[Task Name]]&lt;&gt;"",Tasks[[#This Row],[_Level]]=1),Tasks[[#This Row],[_Row]],"")</f>
        <v/>
      </c>
      <c r="GK91" s="43" t="str">
        <f aca="false">IF(AND(Tasks[[#This Row],[_IsLeaf]]=1,N(Tasks[[#This Row],[_Days]])=0),Tasks[[#This Row],[Planned Finish]]+Tasks[[#This Row],[_Row]]/100000,"")</f>
        <v/>
      </c>
      <c r="GL91" s="43" t="str">
        <f aca="false">IF(AND(Tasks[[#This Row],[_IsLeaf]]=1,Tasks[[#This Row],[_LeafProgress]]&lt;1,OR(N(Tasks[[#This Row],[Finish Var]])&gt;0,Tasks[[#This Row],[Status]]="Late Start")),MAX(0,Tasks[[#This Row],[Finish Var]])+1-Tasks[[#This Row],[_Row]]/1000000,"")</f>
        <v/>
      </c>
      <c r="GM91" s="43" t="str">
        <f aca="false">IF(AND(Tasks[[#This Row],[_IsLeaf]]=1,N(Tasks[[#This Row],[Actual Start]])=0,Tasks[[#This Row],[_ShownFcstStart]]&gt;=StatusDate,Tasks[[#This Row],[_ShownFcstStart]]&lt;=LookaheadEnd),Tasks[[#This Row],[_ShownFcstStart]]+Tasks[[#This Row],[_Row]]/100000,"")</f>
        <v/>
      </c>
      <c r="GN91" s="43" t="str">
        <f aca="false">IF(AND(Tasks[[#This Row],[_IsLeaf]]=1,Tasks[[#This Row],[_LeafProgress]]&lt;1,Tasks[[#This Row],[_ShownFcstFinish]]&gt;=StatusDate,Tasks[[#This Row],[_ShownFcstFinish]]&lt;=LookaheadEnd),Tasks[[#This Row],[_ShownFcstFinish]]+Tasks[[#This Row],[_Row]]/100000,"")</f>
        <v/>
      </c>
      <c r="GO91" s="43" t="str">
        <f aca="false">IF(Tasks[[#This Row],[_LeafCritical]],Tasks[[#This Row],[_ShownFcstStart]]+Tasks[[#This Row],[_Row]]/100000,"")</f>
        <v/>
      </c>
      <c r="GP91" s="43" t="n">
        <f aca="false">Tasks[[#This Row],[_LeafWork]]*Tasks[[#This Row],[_LeafProgress]]</f>
        <v>0</v>
      </c>
      <c r="GQ91" s="91" t="str">
        <f aca="false">IF(AND(Tasks[[#This Row],[_IsLeaf]]=1,Tasks[[#This Row],[_LeafProgress]]&gt;=1),IF(N(Tasks[[#This Row],[Actual Finish]])&gt;0,Tasks[[#This Row],[Actual Finish]],Tasks[[#This Row],[_ShownFcstFinish]]),"")</f>
        <v/>
      </c>
      <c r="GR91" s="43" t="n">
        <f aca="false">IF(Tasks[[#This Row],[_IsLeaf]]=1,N(Tasks[[#This Row],[Story Points]]),0)</f>
        <v>0</v>
      </c>
      <c r="GS91" s="43" t="str">
        <f aca="false">""</f>
        <v/>
      </c>
      <c r="GT91" s="90" t="b">
        <f aca="false">IF(Tasks[[#This Row],[Task Name]]="",FALSE(),AND(Tasks[[#This Row],[_IsLeaf]]=1,N(Tasks[[#This Row],[_Days]])=0))</f>
        <v>0</v>
      </c>
      <c r="GU91" s="91" t="n">
        <f aca="false">IF(Tasks[[#This Row],[Task Name]]="",0,IF(AND(Tasks[[#This Row],[_IsLeaf]]=1,NOT(Tasks[[#This Row],[_IsMilestone]]),N(Tasks[[#This Row],[Progress]])&gt;0),Tasks[[#This Row],[Start]],0))</f>
        <v>0</v>
      </c>
      <c r="GV91" s="91" t="n">
        <f aca="false">IF(Tasks[[#This Row],[_DoneFrom]]=0,0,IF(Tasks[[#This Row],[Progress]]&gt;=1,Tasks[[#This Row],[Finish]],MAX(Tasks[[#This Row],[_DoneFrom]],Tasks[[#This Row],[Start]]+ROUND((Tasks[[#This Row],[Finish]]-Tasks[[#This Row],[Start]]+1)*Tasks[[#This Row],[Progress]],0)-1)))</f>
        <v>0</v>
      </c>
      <c r="GW91" s="91" t="n">
        <f aca="false">IF(Tasks[[#This Row],[Task Name]]="",0,IF(OR(NOT(Tasks[[#This Row],[_IsLeaf]]=1),Tasks[[#This Row],[_IsMilestone]],N(Tasks[[#This Row],[Progress]])&gt;=1),0,IF(Tasks[[#This Row],[_DoneTo]]&gt;0,Tasks[[#This Row],[_DoneTo]]+1,Tasks[[#This Row],[Start]])))</f>
        <v>0</v>
      </c>
      <c r="GX91" s="91" t="n">
        <f aca="false">IF(Tasks[[#This Row],[_RemFrom]]=0,0,Tasks[[#This Row],[Finish]])</f>
        <v>0</v>
      </c>
      <c r="GY91" s="90" t="b">
        <f aca="false">IF(Tasks[[#This Row],[Task Name]]="",FALSE(),OR(NOT(BaselineSet),N(Tasks[[#This Row],[Baseline Start]])&gt;0))</f>
        <v>0</v>
      </c>
      <c r="GZ9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1" s="92" t="str">
        <f aca="false">IF(Tasks[[#This Row],[_IsLeaf]]=1,Tasks[[#This Row],[_Row]],"")</f>
        <v/>
      </c>
      <c r="HD91" s="92" t="str">
        <f aca="false">IFERROR(INDEX(Tasks[UID],SMALL(Tasks[_PickKey],Tasks[[#This Row],[_Row]]))&amp;" "&amp;INDEX(Tasks[Task Name],SMALL(Tasks[_PickKey],Tasks[[#This Row],[_Row]])),"")</f>
        <v/>
      </c>
      <c r="HE91" s="43" t="str">
        <f aca="false">IF(Tasks[[#This Row],[Task Name]]="","",IF(Tasks[[#This Row],[_IsSummary]],NETWORKDAYS.INTL(Tasks[[#This Row],[Start]],Tasks[[#This Row],[Finish]],WorkWeek,Holidays),N(Tasks[[#This Row],[_Days]])))</f>
        <v/>
      </c>
      <c r="HF91" s="43" t="n">
        <f aca="false">IF(Tasks[[#This Row],[Expected]]="",0,((Tasks[[#This Row],[Pessimistic]]-Tasks[[#This Row],[Optimistic]])/6)^2)</f>
        <v>0</v>
      </c>
      <c r="HG91" s="43" t="n">
        <f aca="false">IF(Tasks[[#This Row],[Expected]]="",0,Tasks[[#This Row],[Expected]]-N(Tasks[[#This Row],[_Days]]))</f>
        <v>0</v>
      </c>
    </row>
    <row r="92" customFormat="false" ht="15" hidden="false" customHeight="false" outlineLevel="0" collapsed="false">
      <c r="A92" s="21" t="str">
        <f aca="false">IF(Tasks[[#This Row],[Task Name]]="","",COUNTA(Tasks[[#Headers],[Task Name]]:Tasks[[#This Row],[Task Name]])-1)</f>
        <v/>
      </c>
      <c r="B92" s="22" t="n">
        <v>100</v>
      </c>
      <c r="C92" s="22"/>
      <c r="D92" s="23"/>
      <c r="E92" s="22"/>
      <c r="F92" s="23"/>
      <c r="G92" s="22"/>
      <c r="H92" s="22"/>
      <c r="I92" s="23"/>
      <c r="J92" s="22"/>
      <c r="K92" s="22"/>
      <c r="L92" s="23"/>
      <c r="M92" s="22"/>
      <c r="N92" s="22"/>
      <c r="O92" s="23"/>
      <c r="P92" s="22"/>
      <c r="Q92" s="22"/>
      <c r="R92" s="23"/>
      <c r="S92" s="23"/>
      <c r="T92" s="84"/>
      <c r="U92" s="23"/>
      <c r="V92" s="84"/>
      <c r="W92" s="23"/>
      <c r="X92" s="84"/>
      <c r="Y92" s="23"/>
      <c r="Z92" s="84"/>
      <c r="AA92" s="23"/>
      <c r="AB92" s="23"/>
      <c r="AC92" s="7"/>
      <c r="AD92" s="7"/>
      <c r="AE92" s="63" t="str">
        <f aca="false">IF(Tasks[[#This Row],[Task Name]]="","",IF(Tasks[[#This Row],[_IsSummary]],MIN(INDEX(Tasks[_ShownFcstStart],Tasks[[#This Row],[_Row]]+1):INDEX(Tasks[_ShownFcstStart],Tasks[[#This Row],[_Row]]+Tasks[[#This Row],[_Descendants]])),Tasks[[#This Row],[_ShownFcstStart]]))</f>
        <v/>
      </c>
      <c r="AF92" s="63" t="str">
        <f aca="false">IF(Tasks[[#This Row],[Task Name]]="","",IF(Tasks[[#This Row],[_IsSummary]],MAX(INDEX(Tasks[_ShownFcstFinish],Tasks[[#This Row],[_Row]]+1):INDEX(Tasks[_ShownFcstFinish],Tasks[[#This Row],[_Row]]+Tasks[[#This Row],[_Descendants]])),Tasks[[#This Row],[_ShownFcstFinish]]))</f>
        <v/>
      </c>
      <c r="AG92" s="21" t="str">
        <f aca="false">""</f>
        <v/>
      </c>
      <c r="AH92" s="23"/>
      <c r="AI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2" s="7"/>
      <c r="AK92" s="22"/>
      <c r="AL92" s="23"/>
      <c r="AM92" s="7"/>
      <c r="AN92" s="47" t="str">
        <f aca="false">IF(Tasks[[#This Row],[Task Name]]="","",IF(Tasks[[#This Row],[Finish]]&gt;=Tasks[[#This Row],[Planned Finish]],NETWORKDAYS.INTL(Tasks[[#This Row],[Planned Finish]],Tasks[[#This Row],[Finish]],WorkWeek,Holidays)-1,1-NETWORKDAYS.INTL(Tasks[[#This Row],[Finish]],Tasks[[#This Row],[Planned Finish]],WorkWeek,Holidays)))</f>
        <v/>
      </c>
      <c r="AO92" s="21" t="str">
        <f aca="false">IF(Tasks[[#This Row],[Task Name]]="","",IF(Tasks[[#This Row],[Progress]]&gt;=1,"Complete",IF(OR(N(Tasks[[#This Row],[Actual Start]])&gt;0,Tasks[[#This Row],[Progress]]&gt;0),IF(Tasks[[#This Row],[Finish Var]]&gt;0,"Behind","In Progress"),IF(Tasks[[#This Row],[Planned Start]]&lt;StatusDate,"Late Start","Not Started"))))</f>
        <v/>
      </c>
      <c r="AP92" s="21" t="str">
        <f aca="false">IF(Tasks[[#This Row],[Task Name]]="","",IF(IF(Tasks[[#This Row],[_IsSummary]],COUNTIF(INDEX(Tasks[_LeafCritical],Tasks[[#This Row],[_Row]]+1):INDEX(Tasks[_LeafCritical],Tasks[[#This Row],[_Row]]+Tasks[[#This Row],[_Descendants]]),TRUE())&gt;0,Tasks[[#This Row],[_LeafCritical]]),"Yes",""))</f>
        <v/>
      </c>
      <c r="AQ92" s="63" t="str">
        <f aca="false">IF(Tasks[[#This Row],[Task Name]]="","",IF(N(Tasks[[#This Row],[Baseline Start]])&gt;0,Tasks[[#This Row],[Baseline Start]],Tasks[[#This Row],[_CalcStart]]))</f>
        <v/>
      </c>
      <c r="AR92" s="63" t="str">
        <f aca="false">IF(Tasks[[#This Row],[Task Name]]="","",IF(N(Tasks[[#This Row],[Baseline Finish]])&gt;0,Tasks[[#This Row],[Baseline Finish]],Tasks[[#This Row],[_CalcFinish]]))</f>
        <v/>
      </c>
      <c r="AS92" s="47" t="str">
        <f aca="false">IF(Tasks[[#This Row],[Task Name]]="","",IF(Tasks[[#This Row],[Start]]&gt;=Tasks[[#This Row],[Planned Start]],NETWORKDAYS.INTL(Tasks[[#This Row],[Planned Start]],Tasks[[#This Row],[Start]],WorkWeek,Holidays)-1,1-NETWORKDAYS.INTL(Tasks[[#This Row],[Start]],Tasks[[#This Row],[Planned Start]],WorkWeek,Holidays)))</f>
        <v/>
      </c>
      <c r="AT92" s="63" t="str">
        <f aca="false">IF(Tasks[[#This Row],[Task Name]]="","",IF(Tasks[[#This Row],[_IsSummary]],MIN(INDEX(Tasks[_LeafLateStart],Tasks[[#This Row],[_Row]]+1):INDEX(Tasks[_LeafLateStart],Tasks[[#This Row],[_Row]]+Tasks[[#This Row],[_Descendants]])),Tasks[[#This Row],[_LeafLateStart]]))</f>
        <v/>
      </c>
      <c r="AU92" s="63" t="str">
        <f aca="false">IF(Tasks[[#This Row],[Task Name]]="","",IF(Tasks[[#This Row],[_IsSummary]],MAX(INDEX(Tasks[_LeafLateFinish],Tasks[[#This Row],[_Row]]+1):INDEX(Tasks[_LeafLateFinish],Tasks[[#This Row],[_Row]]+Tasks[[#This Row],[_Descendants]])),Tasks[[#This Row],[_LeafLateFinish]]))</f>
        <v/>
      </c>
      <c r="AV92" s="47" t="str">
        <f aca="false">IF(Tasks[[#This Row],[Task Name]]="","",IF(Tasks[[#This Row],[_IsSummary]],MIN(INDEX(Tasks[_LeafTotalSlack],Tasks[[#This Row],[_Row]]+1):INDEX(Tasks[_LeafTotalSlack],Tasks[[#This Row],[_Row]]+Tasks[[#This Row],[_Descendants]])),Tasks[[#This Row],[_LeafTotalSlack]]))</f>
        <v/>
      </c>
      <c r="AW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5"/>
      <c r="BA9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1" t="str">
        <f aca="false">IF(Tasks[[#This Row],[Task Name]]="","",IF(Tasks[[#This Row],[_Level]]&lt;=OutlineShowLevel,"Yes","No"))</f>
        <v/>
      </c>
      <c r="BE92" s="86" t="str">
        <f aca="false">IF(Tasks[[#This Row],[Task Name]]="","",IF(Tasks[[#This Row],[_IsSummary]],SUM(INDEX(Tasks[_LeafTotalWork],Tasks[[#This Row],[_Row]]+1):INDEX(Tasks[_LeafTotalWork],Tasks[[#This Row],[_Row]]+Tasks[[#This Row],[_Descendants]])),Tasks[[#This Row],[_LeafTotalWork]]))</f>
        <v/>
      </c>
      <c r="BF92" s="23"/>
      <c r="BG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2" s="21" t="str">
        <f aca="false">""</f>
        <v/>
      </c>
      <c r="BI92" s="87"/>
      <c r="BJ92" s="22"/>
      <c r="BK92" s="47" t="str">
        <f aca="false">IF(OR(Tasks[[#This Row],[Task Name]]="",Tasks[[#This Row],[Baseline Duration]]=""),"",Tasks[[#This Row],[_SpanDays]]-N(Tasks[[#This Row],[Baseline Duration]]))</f>
        <v/>
      </c>
      <c r="BL92" s="86" t="str">
        <f aca="false">IF(OR(Tasks[[#This Row],[Task Name]]="",Tasks[[#This Row],[Baseline Work]]=""),"",Tasks[[#This Row],[Work]]-N(Tasks[[#This Row],[Baseline Work]]))</f>
        <v/>
      </c>
      <c r="BM92" s="63" t="str">
        <f aca="false">IF(Tasks[[#This Row],[Task Name]]="","",IF(OR(TakeBaseline="Yes",N(Tasks[[#This Row],[Baseline Start]])=0),Tasks[[#This Row],[Start]],Tasks[[#This Row],[Baseline Start]]))</f>
        <v/>
      </c>
      <c r="BN92" s="63" t="str">
        <f aca="false">IF(Tasks[[#This Row],[Task Name]]="","",IF(OR(TakeBaseline="Yes",N(Tasks[[#This Row],[Baseline Finish]])=0),Tasks[[#This Row],[Finish]],Tasks[[#This Row],[Baseline Finish]]))</f>
        <v/>
      </c>
      <c r="BO92" s="21" t="str">
        <f aca="false">IF(Tasks[[#This Row],[Task Name]]="","",IF(OR(TakeBaseline="Yes",N(Tasks[[#This Row],[Baseline Duration]])=0),Tasks[[#This Row],[_SpanDays]],Tasks[[#This Row],[Baseline Duration]]))</f>
        <v/>
      </c>
      <c r="BP92" s="86" t="str">
        <f aca="false">IF(Tasks[[#This Row],[Task Name]]="","",IF(OR(TakeBaseline="Yes",N(Tasks[[#This Row],[Baseline Work]])=0),Tasks[[#This Row],[Work]],Tasks[[#This Row],[Baseline Work]]))</f>
        <v/>
      </c>
      <c r="BQ92" s="7"/>
      <c r="BR92" s="7"/>
      <c r="BS92" s="22"/>
      <c r="BT92" s="88"/>
      <c r="BU92" s="23"/>
      <c r="BV92" s="23"/>
      <c r="BW92" s="23"/>
      <c r="BX92" s="89" t="str">
        <f aca="false">IF(AND(Tasks[[#This Row],[_IsLeaf]]=1,ISNUMBER(Tasks[[#This Row],[Optimistic]]),ISNUMBER(Tasks[[#This Row],[Pessimistic]])),ROUND((Tasks[[#This Row],[Optimistic]]+4*N(Tasks[[#This Row],[_Days]])+Tasks[[#This Row],[Pessimistic]])/6,1),"")</f>
        <v/>
      </c>
      <c r="BY92" s="87"/>
      <c r="BZ92" s="87"/>
      <c r="CA92" s="22"/>
      <c r="CB92" s="43" t="str">
        <f aca="false">IF(Tasks[[#This Row],[Task Name]]="","",MAX(1,N(Tasks[[#This Row],[Level]])))</f>
        <v/>
      </c>
      <c r="CC92" s="43" t="n">
        <f aca="false">ROW()-ROW(Tasks[[#Headers],[ID]])</f>
        <v>87</v>
      </c>
      <c r="CD92" s="43" t="n">
        <f aca="false">IF(OR(Tasks[[#This Row],[Task Name]]="",Tasks[[#This Row],[_Level]]&lt;=1),0,IFERROR(LOOKUP(2,1/(Tasks[[#Headers],[_Level]]:Tasks[[#This Row],[_Level]]=Tasks[[#This Row],[_Level]]-1),ROW(Tasks[[#Headers],[_Level]]:Tasks[[#This Row],[_Level]])),0))</f>
        <v>0</v>
      </c>
      <c r="CE92" s="43" t="n">
        <f aca="false">IFERROR(N(INDEX(Tasks[_Level],Tasks[[#This Row],[_Row]]+1)),0)</f>
        <v>0</v>
      </c>
      <c r="CF92" s="90" t="b">
        <f aca="false">AND(Tasks[[#This Row],[Task Name]]&lt;&gt;"",Tasks[[#This Row],[_NextLevel]]&gt;Tasks[[#This Row],[_Level]])</f>
        <v>0</v>
      </c>
      <c r="CG92" s="43" t="n">
        <f aca="false">IF(Tasks[[#This Row],[_IsSummary]],COUNTIF(Tasks[WBS],Tasks[[#This Row],[WBS]]&amp;".*"),0)</f>
        <v>0</v>
      </c>
      <c r="CH92" s="43" t="n">
        <f aca="false">IF(AND(Tasks[[#This Row],[Task Name]]&lt;&gt;"",NOT(Tasks[[#This Row],[_IsSummary]])),1,0)</f>
        <v>0</v>
      </c>
      <c r="CI92" s="43" t="n">
        <f aca="false">IF(N(Tasks[[#This Row],[_Pred1UID]])=0,0,IFERROR(MATCH(Tasks[[#This Row],[_Pred1UID]],Tasks[UID],0),-1))</f>
        <v>0</v>
      </c>
      <c r="CJ92" s="43" t="n">
        <f aca="false">IF(N(Tasks[[#This Row],[_Pred2UID]])=0,0,IFERROR(MATCH(Tasks[[#This Row],[_Pred2UID]],Tasks[UID],0),-1))</f>
        <v>0</v>
      </c>
      <c r="CK92" s="43" t="n">
        <f aca="false">IF(N(Tasks[[#This Row],[_Pred3UID]])=0,0,IFERROR(MATCH(Tasks[[#This Row],[_Pred3UID]],Tasks[UID],0),-1))</f>
        <v>0</v>
      </c>
      <c r="CL92" s="43" t="n">
        <f aca="false">IF(N(Tasks[[#This Row],[_Pred4UID]])=0,0,IFERROR(MATCH(Tasks[[#This Row],[_Pred4UID]],Tasks[UID],0),-1))</f>
        <v>0</v>
      </c>
      <c r="CM9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2" s="91" t="n">
        <f aca="false">IF(OR(Tasks[[#This Row],[_ConstraintCode]]=2,Tasks[[#This Row],[_ConstraintCode]]=3,Tasks[[#This Row],[_ConstraintCode]]=4,Tasks[[#This Row],[_ConstraintCode]]=6),Tasks[[#This Row],[_ConstraintStart]],0)</f>
        <v>0</v>
      </c>
      <c r="CP92" s="91" t="n">
        <f aca="false">IF(OR(Tasks[[#This Row],[_ConstraintCode]]=2,Tasks[[#This Row],[_ConstraintCode]]=3,Tasks[[#This Row],[_ConstraintCode]]=5,Tasks[[#This Row],[_ConstraintCode]]=7),Tasks[[#This Row],[_ConstraintStart]],2958465)</f>
        <v>2958465</v>
      </c>
      <c r="CQ9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2" s="91" t="str">
        <f aca="false">IF(NOT(Tasks[[#This Row],[_IsLeaf]]=1),"",IF(N(Tasks[[#This Row],[_Days]])&lt;=0,Tasks[[#This Row],[_LeafCalcStart]],WORKDAY.INTL(Tasks[[#This Row],[_LeafCalcStart]],Tasks[[#This Row],[_Days]]-1,WorkWeek,Holidays)))</f>
        <v/>
      </c>
      <c r="CS9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2" s="43" t="str">
        <f aca="false">IF(Tasks[[#This Row],[_Predecessors]]="","",TRIM(MID(SUBSTITUTE(SUBSTITUTE(SUBSTITUTE(UPPER(Tasks[[#This Row],[_Predecessors]]),";",",")," ",""),",",REPT(" ",99)),1,99)))</f>
        <v/>
      </c>
      <c r="CV92" s="43" t="str">
        <f aca="false">IF(Tasks[[#This Row],[_Pred1Text]]="","",IFERROR(VALUE(LEFT(Tasks[[#This Row],[_Pred1Text]],MIN(FIND("F",Tasks[[#This Row],[_Pred1Text]]&amp;"F"),FIND("S",Tasks[[#This Row],[_Pred1Text]]&amp;"S"),FIND("+",Tasks[[#This Row],[_Pred1Text]]&amp;"+"),FIND("-",Tasks[[#This Row],[_Pred1Text]]&amp;"-"))-1)),""))</f>
        <v/>
      </c>
      <c r="CW9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2" s="43" t="str">
        <f aca="false">IF(Tasks[[#This Row],[_Pred1Text]]="","",TRIM(MID(SUBSTITUTE(SUBSTITUTE(SUBSTITUTE(UPPER(Tasks[[#This Row],[_Predecessors]]),";",",")," ",""),",",REPT(" ",99)),100,99)))</f>
        <v/>
      </c>
      <c r="CZ92" s="43" t="str">
        <f aca="false">IF(Tasks[[#This Row],[_Pred2Text]]="","",IFERROR(VALUE(LEFT(Tasks[[#This Row],[_Pred2Text]],MIN(FIND("F",Tasks[[#This Row],[_Pred2Text]]&amp;"F"),FIND("S",Tasks[[#This Row],[_Pred2Text]]&amp;"S"),FIND("+",Tasks[[#This Row],[_Pred2Text]]&amp;"+"),FIND("-",Tasks[[#This Row],[_Pred2Text]]&amp;"-"))-1)),""))</f>
        <v/>
      </c>
      <c r="DA9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2" s="43" t="str">
        <f aca="false">IF(Tasks[[#This Row],[_Pred2Text]]="","",TRIM(MID(SUBSTITUTE(SUBSTITUTE(SUBSTITUTE(UPPER(Tasks[[#This Row],[_Predecessors]]),";",",")," ",""),",",REPT(" ",99)),199,99)))</f>
        <v/>
      </c>
      <c r="DD92" s="43" t="str">
        <f aca="false">IF(Tasks[[#This Row],[_Pred3Text]]="","",IFERROR(VALUE(LEFT(Tasks[[#This Row],[_Pred3Text]],MIN(FIND("F",Tasks[[#This Row],[_Pred3Text]]&amp;"F"),FIND("S",Tasks[[#This Row],[_Pred3Text]]&amp;"S"),FIND("+",Tasks[[#This Row],[_Pred3Text]]&amp;"+"),FIND("-",Tasks[[#This Row],[_Pred3Text]]&amp;"-"))-1)),""))</f>
        <v/>
      </c>
      <c r="DE9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2" s="43" t="str">
        <f aca="false">IF(Tasks[[#This Row],[_Pred3Text]]="","",TRIM(MID(SUBSTITUTE(SUBSTITUTE(SUBSTITUTE(UPPER(Tasks[[#This Row],[_Predecessors]]),";",",")," ",""),",",REPT(" ",99)),298,99)))</f>
        <v/>
      </c>
      <c r="DH92" s="43" t="str">
        <f aca="false">IF(Tasks[[#This Row],[_Pred4Text]]="","",IFERROR(VALUE(LEFT(Tasks[[#This Row],[_Pred4Text]],MIN(FIND("F",Tasks[[#This Row],[_Pred4Text]]&amp;"F"),FIND("S",Tasks[[#This Row],[_Pred4Text]]&amp;"S"),FIND("+",Tasks[[#This Row],[_Pred4Text]]&amp;"+"),FIND("-",Tasks[[#This Row],[_Pred4Text]]&amp;"-"))-1)),""))</f>
        <v/>
      </c>
      <c r="DI9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2" s="43" t="str">
        <f aca="false">IF(OR(Tasks[[#This Row],[Task Name]]="",Tasks[[#This Row],[_Resources]]=""),"",TRIM(MID(SUBSTITUTE(Tasks[[#This Row],[_Resources]],",",REPT(" ",99)),1,99)))</f>
        <v/>
      </c>
      <c r="DL92" s="43" t="str">
        <f aca="false">IF(Tasks[[#This Row],[_Res1Text]]="","",TRIM(MID(SUBSTITUTE(Tasks[[#This Row],[_Resources]],",",REPT(" ",99)),100,99)))</f>
        <v/>
      </c>
      <c r="DM92" s="43" t="str">
        <f aca="false">IF(Tasks[[#This Row],[_Res2Text]]="","",TRIM(MID(SUBSTITUTE(Tasks[[#This Row],[_Resources]],",",REPT(" ",99)),199,99)))</f>
        <v/>
      </c>
      <c r="DN92" s="43" t="str">
        <f aca="false">IF(Tasks[[#This Row],[_Res3Text]]="","",TRIM(MID(SUBSTITUTE(Tasks[[#This Row],[_Resources]],",",REPT(" ",99)),298,99)))</f>
        <v/>
      </c>
      <c r="DO92" s="43" t="n">
        <f aca="false">IF(Tasks[[#This Row],[_Res1Text]]="",0,IFERROR(MATCH(TRIM(LEFT(Tasks[[#This Row],[_Res1Text]],FIND("[",Tasks[[#This Row],[_Res1Text]]&amp;"[")-1)),res_Name,0),IFERROR(MATCH(TRIM(LEFT(Tasks[[#This Row],[_Res1Text]],FIND("[",Tasks[[#This Row],[_Res1Text]]&amp;"[")-1)),res_Initials,0),0)))</f>
        <v>0</v>
      </c>
      <c r="DP92" s="43" t="n">
        <f aca="false">IF(Tasks[[#This Row],[_Res2Text]]="",0,IFERROR(MATCH(TRIM(LEFT(Tasks[[#This Row],[_Res2Text]],FIND("[",Tasks[[#This Row],[_Res2Text]]&amp;"[")-1)),res_Name,0),IFERROR(MATCH(TRIM(LEFT(Tasks[[#This Row],[_Res2Text]],FIND("[",Tasks[[#This Row],[_Res2Text]]&amp;"[")-1)),res_Initials,0),0)))</f>
        <v>0</v>
      </c>
      <c r="DQ92" s="43" t="n">
        <f aca="false">IF(Tasks[[#This Row],[_Res3Text]]="",0,IFERROR(MATCH(TRIM(LEFT(Tasks[[#This Row],[_Res3Text]],FIND("[",Tasks[[#This Row],[_Res3Text]]&amp;"[")-1)),res_Name,0),IFERROR(MATCH(TRIM(LEFT(Tasks[[#This Row],[_Res3Text]],FIND("[",Tasks[[#This Row],[_Res3Text]]&amp;"[")-1)),res_Initials,0),0)))</f>
        <v>0</v>
      </c>
      <c r="DR92" s="43" t="n">
        <f aca="false">IF(Tasks[[#This Row],[_Res4Text]]="",0,IFERROR(MATCH(TRIM(LEFT(Tasks[[#This Row],[_Res4Text]],FIND("[",Tasks[[#This Row],[_Res4Text]]&amp;"[")-1)),res_Name,0),IFERROR(MATCH(TRIM(LEFT(Tasks[[#This Row],[_Res4Text]],FIND("[",Tasks[[#This Row],[_Res4Text]]&amp;"[")-1)),res_Initials,0),0)))</f>
        <v>0</v>
      </c>
      <c r="DS92" s="43" t="str">
        <f aca="false">IF(Tasks[[#This Row],[_Res1Text]]="","",IF(Tasks[[#This Row],[_Res1Row]]&gt;0,INDEX(res_Name,Tasks[[#This Row],[_Res1Row]]),TRIM(LEFT(Tasks[[#This Row],[_Res1Text]],FIND("[",Tasks[[#This Row],[_Res1Text]]&amp;"[")-1))))</f>
        <v/>
      </c>
      <c r="DT9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2" s="43" t="n">
        <f aca="false">IF(NOT(Tasks[[#This Row],[_IsLeaf]]=1),0,(Tasks[[#This Row],[_Resource1]]&lt;&gt;"")+(Tasks[[#This Row],[_Res2]]&lt;&gt;"")+(Tasks[[#This Row],[_Res3]]&lt;&gt;"")+(Tasks[[#This Row],[_Res4]]&lt;&gt;""))</f>
        <v>0</v>
      </c>
      <c r="DV92" s="43" t="str">
        <f aca="false">IF(Tasks[[#This Row],[_Res2Text]]="","",IF(Tasks[[#This Row],[_Res2Row]]&gt;0,INDEX(res_Name,Tasks[[#This Row],[_Res2Row]]),TRIM(LEFT(Tasks[[#This Row],[_Res2Text]],FIND("[",Tasks[[#This Row],[_Res2Text]]&amp;"[")-1))))</f>
        <v/>
      </c>
      <c r="DW9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2" s="43" t="n">
        <f aca="false">IF(OR(NOT(Tasks[[#This Row],[_IsLeaf]]=1),Tasks[[#This Row],[_Res2Row]]=0),0,N(Tasks[[#This Row],[_Days]])*HoursPerDay*IF(Tasks[[#This Row],[_Res2Units]]="",DefaultUnits,Tasks[[#This Row],[_Res2Units]]))</f>
        <v>0</v>
      </c>
      <c r="DY92" s="43" t="n">
        <f aca="false">IF(AND(AND(Tasks[[#This Row],[_IsLeaf]]=1,Tasks[[#This Row],[_LeafTotalWork]]&gt;0),Tasks[[#This Row],[_Res2Work]]&gt;0),Tasks[[#This Row],[_Res2Work]]/(Tasks[[#This Row],[_FinishWorkday]]-Tasks[[#This Row],[_StartWorkday]]+1),0)</f>
        <v>0</v>
      </c>
      <c r="DZ92" s="43" t="n">
        <f aca="false">Tasks[[#This Row],[_Res2WorkPerWD]]*MAX(0,Tasks[[#This Row],[_StartWorkday]]-1)</f>
        <v>0</v>
      </c>
      <c r="EA92" s="43" t="n">
        <f aca="false">Tasks[[#This Row],[_Res2Work]]*Tasks[[#This Row],[_LeafProgress]]</f>
        <v>0</v>
      </c>
      <c r="EB92" s="43" t="str">
        <f aca="false">IF(Tasks[[#This Row],[_Res3Text]]="","",IF(Tasks[[#This Row],[_Res3Row]]&gt;0,INDEX(res_Name,Tasks[[#This Row],[_Res3Row]]),TRIM(LEFT(Tasks[[#This Row],[_Res3Text]],FIND("[",Tasks[[#This Row],[_Res3Text]]&amp;"[")-1))))</f>
        <v/>
      </c>
      <c r="EC9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2" s="43" t="n">
        <f aca="false">IF(OR(NOT(Tasks[[#This Row],[_IsLeaf]]=1),Tasks[[#This Row],[_Res3Row]]=0),0,N(Tasks[[#This Row],[_Days]])*HoursPerDay*IF(Tasks[[#This Row],[_Res3Units]]="",DefaultUnits,Tasks[[#This Row],[_Res3Units]]))</f>
        <v>0</v>
      </c>
      <c r="EE92" s="43" t="n">
        <f aca="false">IF(AND(AND(Tasks[[#This Row],[_IsLeaf]]=1,Tasks[[#This Row],[_LeafTotalWork]]&gt;0),Tasks[[#This Row],[_Res3Work]]&gt;0),Tasks[[#This Row],[_Res3Work]]/(Tasks[[#This Row],[_FinishWorkday]]-Tasks[[#This Row],[_StartWorkday]]+1),0)</f>
        <v>0</v>
      </c>
      <c r="EF92" s="43" t="n">
        <f aca="false">Tasks[[#This Row],[_Res3WorkPerWD]]*MAX(0,Tasks[[#This Row],[_StartWorkday]]-1)</f>
        <v>0</v>
      </c>
      <c r="EG92" s="43" t="n">
        <f aca="false">Tasks[[#This Row],[_Res3Work]]*Tasks[[#This Row],[_LeafProgress]]</f>
        <v>0</v>
      </c>
      <c r="EH92" s="43" t="str">
        <f aca="false">IF(Tasks[[#This Row],[_Res4Text]]="","",IF(Tasks[[#This Row],[_Res4Row]]&gt;0,INDEX(res_Name,Tasks[[#This Row],[_Res4Row]]),TRIM(LEFT(Tasks[[#This Row],[_Res4Text]],FIND("[",Tasks[[#This Row],[_Res4Text]]&amp;"[")-1))))</f>
        <v/>
      </c>
      <c r="EI9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2" s="43" t="n">
        <f aca="false">IF(OR(NOT(Tasks[[#This Row],[_IsLeaf]]=1),Tasks[[#This Row],[_Res4Row]]=0),0,N(Tasks[[#This Row],[_Days]])*HoursPerDay*IF(Tasks[[#This Row],[_Res4Units]]="",DefaultUnits,Tasks[[#This Row],[_Res4Units]]))</f>
        <v>0</v>
      </c>
      <c r="EK92" s="43" t="n">
        <f aca="false">IF(AND(AND(Tasks[[#This Row],[_IsLeaf]]=1,Tasks[[#This Row],[_LeafTotalWork]]&gt;0),Tasks[[#This Row],[_Res4Work]]&gt;0),Tasks[[#This Row],[_Res4Work]]/(Tasks[[#This Row],[_FinishWorkday]]-Tasks[[#This Row],[_StartWorkday]]+1),0)</f>
        <v>0</v>
      </c>
      <c r="EL92" s="43" t="n">
        <f aca="false">Tasks[[#This Row],[_Res4WorkPerWD]]*MAX(0,Tasks[[#This Row],[_StartWorkday]]-1)</f>
        <v>0</v>
      </c>
      <c r="EM92" s="43" t="n">
        <f aca="false">Tasks[[#This Row],[_Res4Work]]*Tasks[[#This Row],[_LeafProgress]]</f>
        <v>0</v>
      </c>
      <c r="EN92" s="43" t="n">
        <f aca="false">IF(ISNUMBER(Tasks[[#This Row],[% Complete]]),Tasks[[#This Row],[% Complete]],IF(Tasks[[#This Row],[Stage]]="",0,IFERROR(INDEX(stg_Pct,MATCH(Tasks[[#This Row],[Stage]],stg_Name,0)),0)))</f>
        <v>0</v>
      </c>
      <c r="EO92" s="43" t="n">
        <f aca="false">IF(NOT(Tasks[[#This Row],[_IsLeaf]]=1),0,IF(N(Tasks[[#This Row],[Actual Finish]])&gt;0,1,MIN(1,Tasks[[#This Row],[_Pct]])))</f>
        <v>0</v>
      </c>
      <c r="EP92" s="43" t="n">
        <f aca="false">IF(OR(NOT(Tasks[[#This Row],[_IsLeaf]]=1),Tasks[[#This Row],[_Res1Row]]=0),0,N(Tasks[[#This Row],[_Days]])*HoursPerDay*IF(Tasks[[#This Row],[_Units1]]="",DefaultUnits,Tasks[[#This Row],[_Units1]]))</f>
        <v>0</v>
      </c>
      <c r="EQ92" s="43" t="n">
        <f aca="false">Tasks[[#This Row],[_LeafWork]]+Tasks[[#This Row],[_Res2Work]]+Tasks[[#This Row],[_Res3Work]]+Tasks[[#This Row],[_Res4Work]]</f>
        <v>0</v>
      </c>
      <c r="ER9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2" s="43" t="n">
        <f aca="false">IF(NOT(Tasks[[#This Row],[_IsLeaf]]=1),0,MAX(_xlfn.MAXIFS(Tasks[_Row],Tasks[_Pred1UID],Tasks[[#This Row],[UID]]),_xlfn.MAXIFS(Tasks[_Row],Tasks[_Pred2UID],Tasks[[#This Row],[UID]]),_xlfn.MAXIFS(Tasks[_Row],Tasks[_Pred3UID],Tasks[[#This Row],[UID]]),_xlfn.MAXIFS(Tasks[_Row],Tasks[_Pred4UID],Tasks[[#This Row],[UID]])))</f>
        <v>0</v>
      </c>
      <c r="FA9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2" s="91" t="str">
        <f aca="false">IF(NOT(Tasks[[#This Row],[_IsLeaf]]=1),"",IF(N(Tasks[[#This Row],[_Days]])&lt;=0,Tasks[[#This Row],[_LeafLateFinish]],WORKDAY.INTL(Tasks[[#This Row],[_LeafLateFinish]],-(Tasks[[#This Row],[_Days]]-1),WorkWeek,Holidays)))</f>
        <v/>
      </c>
      <c r="FD9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2" s="90" t="b">
        <f aca="false">AND(Tasks[[#This Row],[_IsLeaf]]=1,Tasks[[#This Row],[_LeafProgress]]&lt;1,N(Tasks[[#This Row],[_LeafTotalSlack]])&lt;=CriticalSlackDays)</f>
        <v>0</v>
      </c>
      <c r="FF92" s="43" t="n">
        <f aca="false">IF(AND(Tasks[[#This Row],[_IsLeaf]]=1,Tasks[[#This Row],[_ConstraintCode]]=1,Tasks[[#This Row],[Mode]]&lt;&gt;"Manual",N(Tasks[[#This Row],[Actual Start]])=0),MAX(0,N(Tasks[[#This Row],[Free Slack]])),0)</f>
        <v>0</v>
      </c>
      <c r="FG92" s="91" t="str">
        <f aca="false">IF(NOT(Tasks[[#This Row],[_IsLeaf]]=1),"",IF(Tasks[[#This Row],[_AlapShift]]=0,Tasks[[#This Row],[_LeafCalcStart]],WORKDAY.INTL(Tasks[[#This Row],[_LeafCalcStart]],Tasks[[#This Row],[_AlapShift]],WorkWeek,Holidays)))</f>
        <v/>
      </c>
      <c r="FH92" s="91" t="str">
        <f aca="false">IF(NOT(Tasks[[#This Row],[_IsLeaf]]=1),"",IF(Tasks[[#This Row],[_AlapShift]]=0,Tasks[[#This Row],[_LeafCalcFinish]],WORKDAY.INTL(Tasks[[#This Row],[_LeafCalcFinish]],Tasks[[#This Row],[_AlapShift]],WorkWeek,Holidays)))</f>
        <v/>
      </c>
      <c r="FI92" s="91" t="str">
        <f aca="false">IF(NOT(Tasks[[#This Row],[_IsLeaf]]=1),"",IF(Tasks[[#This Row],[_AlapShift]]=0,Tasks[[#This Row],[_LeafFcstStart]],WORKDAY.INTL(Tasks[[#This Row],[_LeafFcstStart]],Tasks[[#This Row],[_AlapShift]],WorkWeek,Holidays)))</f>
        <v/>
      </c>
      <c r="FJ92" s="91" t="str">
        <f aca="false">IF(NOT(Tasks[[#This Row],[_IsLeaf]]=1),"",IF(Tasks[[#This Row],[_AlapShift]]=0,Tasks[[#This Row],[_LeafFcstFinish]],WORKDAY.INTL(Tasks[[#This Row],[_LeafFcstFinish]],Tasks[[#This Row],[_AlapShift]],WorkWeek,Holidays)))</f>
        <v/>
      </c>
      <c r="FK92" s="91" t="str">
        <f aca="false">IF(Tasks[[#This Row],[Task Name]]="","",IF(Tasks[[#This Row],[_IsSummary]],MIN(INDEX(Tasks[_ShownCalcStart],Tasks[[#This Row],[_Row]]+1):INDEX(Tasks[_ShownCalcStart],Tasks[[#This Row],[_Row]]+Tasks[[#This Row],[_Descendants]])),Tasks[[#This Row],[_ShownCalcStart]]))</f>
        <v/>
      </c>
      <c r="FL92" s="91" t="str">
        <f aca="false">IF(Tasks[[#This Row],[Task Name]]="","",IF(Tasks[[#This Row],[_IsSummary]],MAX(INDEX(Tasks[_ShownCalcFinish],Tasks[[#This Row],[_Row]]+1):INDEX(Tasks[_ShownCalcFinish],Tasks[[#This Row],[_Row]]+Tasks[[#This Row],[_Descendants]])),Tasks[[#This Row],[_ShownCalcFinish]]))</f>
        <v/>
      </c>
      <c r="FM9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2" s="43" t="n">
        <f aca="false">IF(AND(Tasks[[#This Row],[_IsLeaf]]=1,Tasks[[#This Row],[_LeafTotalWork]]&gt;0),NETWORKDAYS.INTL(ProjectStart,Tasks[[#This Row],[_ShownFcstStart]],WorkWeek,Holidays),0)</f>
        <v>0</v>
      </c>
      <c r="FZ92" s="43" t="n">
        <f aca="false">IF(AND(Tasks[[#This Row],[_IsLeaf]]=1,Tasks[[#This Row],[_LeafTotalWork]]&gt;0),MAX(Tasks[[#This Row],[_StartWorkday]],NETWORKDAYS.INTL(ProjectStart,Tasks[[#This Row],[_ShownFcstFinish]],WorkWeek,Holidays)),0)</f>
        <v>0</v>
      </c>
      <c r="GA92" s="43" t="n">
        <f aca="false">IF(AND(Tasks[[#This Row],[_IsLeaf]]=1,Tasks[[#This Row],[_LeafTotalWork]]&gt;0),Tasks[[#This Row],[_LeafWork]]/(Tasks[[#This Row],[_FinishWorkday]]-Tasks[[#This Row],[_StartWorkday]]+1),0)</f>
        <v>0</v>
      </c>
      <c r="GB92" s="43" t="n">
        <f aca="false">Tasks[[#This Row],[_WorkPerWorkday]]*(Tasks[[#This Row],[_StartWorkday]]-1)</f>
        <v>-0</v>
      </c>
      <c r="GC92" s="43" t="n">
        <f aca="false">IF(Tasks[[#This Row],[_IsLeaf]]=1,MAX(N(Tasks[[#This Row],[_Days]]),0.1),0)</f>
        <v>0</v>
      </c>
      <c r="GD92" s="43" t="n">
        <f aca="false">Tasks[[#This Row],[_WeightDur]]*Tasks[[#This Row],[_LeafProgress]]</f>
        <v>0</v>
      </c>
      <c r="GE92" s="43" t="n">
        <f aca="false">Tasks[[#This Row],[_WeightDur]]*Tasks[[#This Row],[_PlannedPct]]</f>
        <v>0</v>
      </c>
      <c r="GF9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2" s="43" t="str">
        <f aca="false">IF(AND(Tasks[[#This Row],[_IsLeaf]]=1,N(Tasks[[#This Row],[_Days]])=0,Tasks[[#This Row],[_LeafProgress]]&lt;1),Tasks[[#This Row],[_ShownFcstFinish]]+Tasks[[#This Row],[_Row]]/100000,"")</f>
        <v/>
      </c>
      <c r="GH9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2" s="43" t="str">
        <f aca="false">IF(Tasks[[#This Row],[Task Name]]="","",LEFT(Tasks[[#This Row],[WBS]],FIND(".",Tasks[[#This Row],[WBS]]&amp;".")-1))</f>
        <v/>
      </c>
      <c r="GJ92" s="43" t="str">
        <f aca="false">IF(AND(Tasks[[#This Row],[Task Name]]&lt;&gt;"",Tasks[[#This Row],[_Level]]=1),Tasks[[#This Row],[_Row]],"")</f>
        <v/>
      </c>
      <c r="GK92" s="43" t="str">
        <f aca="false">IF(AND(Tasks[[#This Row],[_IsLeaf]]=1,N(Tasks[[#This Row],[_Days]])=0),Tasks[[#This Row],[Planned Finish]]+Tasks[[#This Row],[_Row]]/100000,"")</f>
        <v/>
      </c>
      <c r="GL92" s="43" t="str">
        <f aca="false">IF(AND(Tasks[[#This Row],[_IsLeaf]]=1,Tasks[[#This Row],[_LeafProgress]]&lt;1,OR(N(Tasks[[#This Row],[Finish Var]])&gt;0,Tasks[[#This Row],[Status]]="Late Start")),MAX(0,Tasks[[#This Row],[Finish Var]])+1-Tasks[[#This Row],[_Row]]/1000000,"")</f>
        <v/>
      </c>
      <c r="GM92" s="43" t="str">
        <f aca="false">IF(AND(Tasks[[#This Row],[_IsLeaf]]=1,N(Tasks[[#This Row],[Actual Start]])=0,Tasks[[#This Row],[_ShownFcstStart]]&gt;=StatusDate,Tasks[[#This Row],[_ShownFcstStart]]&lt;=LookaheadEnd),Tasks[[#This Row],[_ShownFcstStart]]+Tasks[[#This Row],[_Row]]/100000,"")</f>
        <v/>
      </c>
      <c r="GN92" s="43" t="str">
        <f aca="false">IF(AND(Tasks[[#This Row],[_IsLeaf]]=1,Tasks[[#This Row],[_LeafProgress]]&lt;1,Tasks[[#This Row],[_ShownFcstFinish]]&gt;=StatusDate,Tasks[[#This Row],[_ShownFcstFinish]]&lt;=LookaheadEnd),Tasks[[#This Row],[_ShownFcstFinish]]+Tasks[[#This Row],[_Row]]/100000,"")</f>
        <v/>
      </c>
      <c r="GO92" s="43" t="str">
        <f aca="false">IF(Tasks[[#This Row],[_LeafCritical]],Tasks[[#This Row],[_ShownFcstStart]]+Tasks[[#This Row],[_Row]]/100000,"")</f>
        <v/>
      </c>
      <c r="GP92" s="43" t="n">
        <f aca="false">Tasks[[#This Row],[_LeafWork]]*Tasks[[#This Row],[_LeafProgress]]</f>
        <v>0</v>
      </c>
      <c r="GQ92" s="91" t="str">
        <f aca="false">IF(AND(Tasks[[#This Row],[_IsLeaf]]=1,Tasks[[#This Row],[_LeafProgress]]&gt;=1),IF(N(Tasks[[#This Row],[Actual Finish]])&gt;0,Tasks[[#This Row],[Actual Finish]],Tasks[[#This Row],[_ShownFcstFinish]]),"")</f>
        <v/>
      </c>
      <c r="GR92" s="43" t="n">
        <f aca="false">IF(Tasks[[#This Row],[_IsLeaf]]=1,N(Tasks[[#This Row],[Story Points]]),0)</f>
        <v>0</v>
      </c>
      <c r="GS92" s="43" t="str">
        <f aca="false">""</f>
        <v/>
      </c>
      <c r="GT92" s="90" t="b">
        <f aca="false">IF(Tasks[[#This Row],[Task Name]]="",FALSE(),AND(Tasks[[#This Row],[_IsLeaf]]=1,N(Tasks[[#This Row],[_Days]])=0))</f>
        <v>0</v>
      </c>
      <c r="GU92" s="91" t="n">
        <f aca="false">IF(Tasks[[#This Row],[Task Name]]="",0,IF(AND(Tasks[[#This Row],[_IsLeaf]]=1,NOT(Tasks[[#This Row],[_IsMilestone]]),N(Tasks[[#This Row],[Progress]])&gt;0),Tasks[[#This Row],[Start]],0))</f>
        <v>0</v>
      </c>
      <c r="GV92" s="91" t="n">
        <f aca="false">IF(Tasks[[#This Row],[_DoneFrom]]=0,0,IF(Tasks[[#This Row],[Progress]]&gt;=1,Tasks[[#This Row],[Finish]],MAX(Tasks[[#This Row],[_DoneFrom]],Tasks[[#This Row],[Start]]+ROUND((Tasks[[#This Row],[Finish]]-Tasks[[#This Row],[Start]]+1)*Tasks[[#This Row],[Progress]],0)-1)))</f>
        <v>0</v>
      </c>
      <c r="GW92" s="91" t="n">
        <f aca="false">IF(Tasks[[#This Row],[Task Name]]="",0,IF(OR(NOT(Tasks[[#This Row],[_IsLeaf]]=1),Tasks[[#This Row],[_IsMilestone]],N(Tasks[[#This Row],[Progress]])&gt;=1),0,IF(Tasks[[#This Row],[_DoneTo]]&gt;0,Tasks[[#This Row],[_DoneTo]]+1,Tasks[[#This Row],[Start]])))</f>
        <v>0</v>
      </c>
      <c r="GX92" s="91" t="n">
        <f aca="false">IF(Tasks[[#This Row],[_RemFrom]]=0,0,Tasks[[#This Row],[Finish]])</f>
        <v>0</v>
      </c>
      <c r="GY92" s="90" t="b">
        <f aca="false">IF(Tasks[[#This Row],[Task Name]]="",FALSE(),OR(NOT(BaselineSet),N(Tasks[[#This Row],[Baseline Start]])&gt;0))</f>
        <v>0</v>
      </c>
      <c r="GZ9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2" s="92" t="str">
        <f aca="false">IF(Tasks[[#This Row],[_IsLeaf]]=1,Tasks[[#This Row],[_Row]],"")</f>
        <v/>
      </c>
      <c r="HD92" s="92" t="str">
        <f aca="false">IFERROR(INDEX(Tasks[UID],SMALL(Tasks[_PickKey],Tasks[[#This Row],[_Row]]))&amp;" "&amp;INDEX(Tasks[Task Name],SMALL(Tasks[_PickKey],Tasks[[#This Row],[_Row]])),"")</f>
        <v/>
      </c>
      <c r="HE92" s="43" t="str">
        <f aca="false">IF(Tasks[[#This Row],[Task Name]]="","",IF(Tasks[[#This Row],[_IsSummary]],NETWORKDAYS.INTL(Tasks[[#This Row],[Start]],Tasks[[#This Row],[Finish]],WorkWeek,Holidays),N(Tasks[[#This Row],[_Days]])))</f>
        <v/>
      </c>
      <c r="HF92" s="43" t="n">
        <f aca="false">IF(Tasks[[#This Row],[Expected]]="",0,((Tasks[[#This Row],[Pessimistic]]-Tasks[[#This Row],[Optimistic]])/6)^2)</f>
        <v>0</v>
      </c>
      <c r="HG92" s="43" t="n">
        <f aca="false">IF(Tasks[[#This Row],[Expected]]="",0,Tasks[[#This Row],[Expected]]-N(Tasks[[#This Row],[_Days]]))</f>
        <v>0</v>
      </c>
    </row>
    <row r="93" customFormat="false" ht="15" hidden="false" customHeight="false" outlineLevel="0" collapsed="false">
      <c r="A93" s="21" t="str">
        <f aca="false">IF(Tasks[[#This Row],[Task Name]]="","",COUNTA(Tasks[[#Headers],[Task Name]]:Tasks[[#This Row],[Task Name]])-1)</f>
        <v/>
      </c>
      <c r="B93" s="22" t="n">
        <v>101</v>
      </c>
      <c r="C93" s="22"/>
      <c r="D93" s="23"/>
      <c r="E93" s="22"/>
      <c r="F93" s="23"/>
      <c r="G93" s="22"/>
      <c r="H93" s="22"/>
      <c r="I93" s="23"/>
      <c r="J93" s="22"/>
      <c r="K93" s="22"/>
      <c r="L93" s="23"/>
      <c r="M93" s="22"/>
      <c r="N93" s="22"/>
      <c r="O93" s="23"/>
      <c r="P93" s="22"/>
      <c r="Q93" s="22"/>
      <c r="R93" s="23"/>
      <c r="S93" s="23"/>
      <c r="T93" s="84"/>
      <c r="U93" s="23"/>
      <c r="V93" s="84"/>
      <c r="W93" s="23"/>
      <c r="X93" s="84"/>
      <c r="Y93" s="23"/>
      <c r="Z93" s="84"/>
      <c r="AA93" s="23"/>
      <c r="AB93" s="23"/>
      <c r="AC93" s="7"/>
      <c r="AD93" s="7"/>
      <c r="AE93" s="63" t="str">
        <f aca="false">IF(Tasks[[#This Row],[Task Name]]="","",IF(Tasks[[#This Row],[_IsSummary]],MIN(INDEX(Tasks[_ShownFcstStart],Tasks[[#This Row],[_Row]]+1):INDEX(Tasks[_ShownFcstStart],Tasks[[#This Row],[_Row]]+Tasks[[#This Row],[_Descendants]])),Tasks[[#This Row],[_ShownFcstStart]]))</f>
        <v/>
      </c>
      <c r="AF93" s="63" t="str">
        <f aca="false">IF(Tasks[[#This Row],[Task Name]]="","",IF(Tasks[[#This Row],[_IsSummary]],MAX(INDEX(Tasks[_ShownFcstFinish],Tasks[[#This Row],[_Row]]+1):INDEX(Tasks[_ShownFcstFinish],Tasks[[#This Row],[_Row]]+Tasks[[#This Row],[_Descendants]])),Tasks[[#This Row],[_ShownFcstFinish]]))</f>
        <v/>
      </c>
      <c r="AG93" s="21" t="str">
        <f aca="false">""</f>
        <v/>
      </c>
      <c r="AH93" s="23"/>
      <c r="AI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3" s="7"/>
      <c r="AK93" s="22"/>
      <c r="AL93" s="23"/>
      <c r="AM93" s="7"/>
      <c r="AN93" s="47" t="str">
        <f aca="false">IF(Tasks[[#This Row],[Task Name]]="","",IF(Tasks[[#This Row],[Finish]]&gt;=Tasks[[#This Row],[Planned Finish]],NETWORKDAYS.INTL(Tasks[[#This Row],[Planned Finish]],Tasks[[#This Row],[Finish]],WorkWeek,Holidays)-1,1-NETWORKDAYS.INTL(Tasks[[#This Row],[Finish]],Tasks[[#This Row],[Planned Finish]],WorkWeek,Holidays)))</f>
        <v/>
      </c>
      <c r="AO93" s="21" t="str">
        <f aca="false">IF(Tasks[[#This Row],[Task Name]]="","",IF(Tasks[[#This Row],[Progress]]&gt;=1,"Complete",IF(OR(N(Tasks[[#This Row],[Actual Start]])&gt;0,Tasks[[#This Row],[Progress]]&gt;0),IF(Tasks[[#This Row],[Finish Var]]&gt;0,"Behind","In Progress"),IF(Tasks[[#This Row],[Planned Start]]&lt;StatusDate,"Late Start","Not Started"))))</f>
        <v/>
      </c>
      <c r="AP93" s="21" t="str">
        <f aca="false">IF(Tasks[[#This Row],[Task Name]]="","",IF(IF(Tasks[[#This Row],[_IsSummary]],COUNTIF(INDEX(Tasks[_LeafCritical],Tasks[[#This Row],[_Row]]+1):INDEX(Tasks[_LeafCritical],Tasks[[#This Row],[_Row]]+Tasks[[#This Row],[_Descendants]]),TRUE())&gt;0,Tasks[[#This Row],[_LeafCritical]]),"Yes",""))</f>
        <v/>
      </c>
      <c r="AQ93" s="63" t="str">
        <f aca="false">IF(Tasks[[#This Row],[Task Name]]="","",IF(N(Tasks[[#This Row],[Baseline Start]])&gt;0,Tasks[[#This Row],[Baseline Start]],Tasks[[#This Row],[_CalcStart]]))</f>
        <v/>
      </c>
      <c r="AR93" s="63" t="str">
        <f aca="false">IF(Tasks[[#This Row],[Task Name]]="","",IF(N(Tasks[[#This Row],[Baseline Finish]])&gt;0,Tasks[[#This Row],[Baseline Finish]],Tasks[[#This Row],[_CalcFinish]]))</f>
        <v/>
      </c>
      <c r="AS93" s="47" t="str">
        <f aca="false">IF(Tasks[[#This Row],[Task Name]]="","",IF(Tasks[[#This Row],[Start]]&gt;=Tasks[[#This Row],[Planned Start]],NETWORKDAYS.INTL(Tasks[[#This Row],[Planned Start]],Tasks[[#This Row],[Start]],WorkWeek,Holidays)-1,1-NETWORKDAYS.INTL(Tasks[[#This Row],[Start]],Tasks[[#This Row],[Planned Start]],WorkWeek,Holidays)))</f>
        <v/>
      </c>
      <c r="AT93" s="63" t="str">
        <f aca="false">IF(Tasks[[#This Row],[Task Name]]="","",IF(Tasks[[#This Row],[_IsSummary]],MIN(INDEX(Tasks[_LeafLateStart],Tasks[[#This Row],[_Row]]+1):INDEX(Tasks[_LeafLateStart],Tasks[[#This Row],[_Row]]+Tasks[[#This Row],[_Descendants]])),Tasks[[#This Row],[_LeafLateStart]]))</f>
        <v/>
      </c>
      <c r="AU93" s="63" t="str">
        <f aca="false">IF(Tasks[[#This Row],[Task Name]]="","",IF(Tasks[[#This Row],[_IsSummary]],MAX(INDEX(Tasks[_LeafLateFinish],Tasks[[#This Row],[_Row]]+1):INDEX(Tasks[_LeafLateFinish],Tasks[[#This Row],[_Row]]+Tasks[[#This Row],[_Descendants]])),Tasks[[#This Row],[_LeafLateFinish]]))</f>
        <v/>
      </c>
      <c r="AV93" s="47" t="str">
        <f aca="false">IF(Tasks[[#This Row],[Task Name]]="","",IF(Tasks[[#This Row],[_IsSummary]],MIN(INDEX(Tasks[_LeafTotalSlack],Tasks[[#This Row],[_Row]]+1):INDEX(Tasks[_LeafTotalSlack],Tasks[[#This Row],[_Row]]+Tasks[[#This Row],[_Descendants]])),Tasks[[#This Row],[_LeafTotalSlack]]))</f>
        <v/>
      </c>
      <c r="AW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5"/>
      <c r="BA9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1" t="str">
        <f aca="false">IF(Tasks[[#This Row],[Task Name]]="","",IF(Tasks[[#This Row],[_Level]]&lt;=OutlineShowLevel,"Yes","No"))</f>
        <v/>
      </c>
      <c r="BE93" s="86" t="str">
        <f aca="false">IF(Tasks[[#This Row],[Task Name]]="","",IF(Tasks[[#This Row],[_IsSummary]],SUM(INDEX(Tasks[_LeafTotalWork],Tasks[[#This Row],[_Row]]+1):INDEX(Tasks[_LeafTotalWork],Tasks[[#This Row],[_Row]]+Tasks[[#This Row],[_Descendants]])),Tasks[[#This Row],[_LeafTotalWork]]))</f>
        <v/>
      </c>
      <c r="BF93" s="23"/>
      <c r="BG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3" s="21" t="str">
        <f aca="false">""</f>
        <v/>
      </c>
      <c r="BI93" s="87"/>
      <c r="BJ93" s="22"/>
      <c r="BK93" s="47" t="str">
        <f aca="false">IF(OR(Tasks[[#This Row],[Task Name]]="",Tasks[[#This Row],[Baseline Duration]]=""),"",Tasks[[#This Row],[_SpanDays]]-N(Tasks[[#This Row],[Baseline Duration]]))</f>
        <v/>
      </c>
      <c r="BL93" s="86" t="str">
        <f aca="false">IF(OR(Tasks[[#This Row],[Task Name]]="",Tasks[[#This Row],[Baseline Work]]=""),"",Tasks[[#This Row],[Work]]-N(Tasks[[#This Row],[Baseline Work]]))</f>
        <v/>
      </c>
      <c r="BM93" s="63" t="str">
        <f aca="false">IF(Tasks[[#This Row],[Task Name]]="","",IF(OR(TakeBaseline="Yes",N(Tasks[[#This Row],[Baseline Start]])=0),Tasks[[#This Row],[Start]],Tasks[[#This Row],[Baseline Start]]))</f>
        <v/>
      </c>
      <c r="BN93" s="63" t="str">
        <f aca="false">IF(Tasks[[#This Row],[Task Name]]="","",IF(OR(TakeBaseline="Yes",N(Tasks[[#This Row],[Baseline Finish]])=0),Tasks[[#This Row],[Finish]],Tasks[[#This Row],[Baseline Finish]]))</f>
        <v/>
      </c>
      <c r="BO93" s="21" t="str">
        <f aca="false">IF(Tasks[[#This Row],[Task Name]]="","",IF(OR(TakeBaseline="Yes",N(Tasks[[#This Row],[Baseline Duration]])=0),Tasks[[#This Row],[_SpanDays]],Tasks[[#This Row],[Baseline Duration]]))</f>
        <v/>
      </c>
      <c r="BP93" s="86" t="str">
        <f aca="false">IF(Tasks[[#This Row],[Task Name]]="","",IF(OR(TakeBaseline="Yes",N(Tasks[[#This Row],[Baseline Work]])=0),Tasks[[#This Row],[Work]],Tasks[[#This Row],[Baseline Work]]))</f>
        <v/>
      </c>
      <c r="BQ93" s="7"/>
      <c r="BR93" s="7"/>
      <c r="BS93" s="22"/>
      <c r="BT93" s="88"/>
      <c r="BU93" s="23"/>
      <c r="BV93" s="23"/>
      <c r="BW93" s="23"/>
      <c r="BX93" s="89" t="str">
        <f aca="false">IF(AND(Tasks[[#This Row],[_IsLeaf]]=1,ISNUMBER(Tasks[[#This Row],[Optimistic]]),ISNUMBER(Tasks[[#This Row],[Pessimistic]])),ROUND((Tasks[[#This Row],[Optimistic]]+4*N(Tasks[[#This Row],[_Days]])+Tasks[[#This Row],[Pessimistic]])/6,1),"")</f>
        <v/>
      </c>
      <c r="BY93" s="87"/>
      <c r="BZ93" s="87"/>
      <c r="CA93" s="22"/>
      <c r="CB93" s="43" t="str">
        <f aca="false">IF(Tasks[[#This Row],[Task Name]]="","",MAX(1,N(Tasks[[#This Row],[Level]])))</f>
        <v/>
      </c>
      <c r="CC93" s="43" t="n">
        <f aca="false">ROW()-ROW(Tasks[[#Headers],[ID]])</f>
        <v>88</v>
      </c>
      <c r="CD93" s="43" t="n">
        <f aca="false">IF(OR(Tasks[[#This Row],[Task Name]]="",Tasks[[#This Row],[_Level]]&lt;=1),0,IFERROR(LOOKUP(2,1/(Tasks[[#Headers],[_Level]]:Tasks[[#This Row],[_Level]]=Tasks[[#This Row],[_Level]]-1),ROW(Tasks[[#Headers],[_Level]]:Tasks[[#This Row],[_Level]])),0))</f>
        <v>0</v>
      </c>
      <c r="CE93" s="43" t="n">
        <f aca="false">IFERROR(N(INDEX(Tasks[_Level],Tasks[[#This Row],[_Row]]+1)),0)</f>
        <v>0</v>
      </c>
      <c r="CF93" s="90" t="b">
        <f aca="false">AND(Tasks[[#This Row],[Task Name]]&lt;&gt;"",Tasks[[#This Row],[_NextLevel]]&gt;Tasks[[#This Row],[_Level]])</f>
        <v>0</v>
      </c>
      <c r="CG93" s="43" t="n">
        <f aca="false">IF(Tasks[[#This Row],[_IsSummary]],COUNTIF(Tasks[WBS],Tasks[[#This Row],[WBS]]&amp;".*"),0)</f>
        <v>0</v>
      </c>
      <c r="CH93" s="43" t="n">
        <f aca="false">IF(AND(Tasks[[#This Row],[Task Name]]&lt;&gt;"",NOT(Tasks[[#This Row],[_IsSummary]])),1,0)</f>
        <v>0</v>
      </c>
      <c r="CI93" s="43" t="n">
        <f aca="false">IF(N(Tasks[[#This Row],[_Pred1UID]])=0,0,IFERROR(MATCH(Tasks[[#This Row],[_Pred1UID]],Tasks[UID],0),-1))</f>
        <v>0</v>
      </c>
      <c r="CJ93" s="43" t="n">
        <f aca="false">IF(N(Tasks[[#This Row],[_Pred2UID]])=0,0,IFERROR(MATCH(Tasks[[#This Row],[_Pred2UID]],Tasks[UID],0),-1))</f>
        <v>0</v>
      </c>
      <c r="CK93" s="43" t="n">
        <f aca="false">IF(N(Tasks[[#This Row],[_Pred3UID]])=0,0,IFERROR(MATCH(Tasks[[#This Row],[_Pred3UID]],Tasks[UID],0),-1))</f>
        <v>0</v>
      </c>
      <c r="CL93" s="43" t="n">
        <f aca="false">IF(N(Tasks[[#This Row],[_Pred4UID]])=0,0,IFERROR(MATCH(Tasks[[#This Row],[_Pred4UID]],Tasks[UID],0),-1))</f>
        <v>0</v>
      </c>
      <c r="CM9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3" s="91" t="n">
        <f aca="false">IF(OR(Tasks[[#This Row],[_ConstraintCode]]=2,Tasks[[#This Row],[_ConstraintCode]]=3,Tasks[[#This Row],[_ConstraintCode]]=4,Tasks[[#This Row],[_ConstraintCode]]=6),Tasks[[#This Row],[_ConstraintStart]],0)</f>
        <v>0</v>
      </c>
      <c r="CP93" s="91" t="n">
        <f aca="false">IF(OR(Tasks[[#This Row],[_ConstraintCode]]=2,Tasks[[#This Row],[_ConstraintCode]]=3,Tasks[[#This Row],[_ConstraintCode]]=5,Tasks[[#This Row],[_ConstraintCode]]=7),Tasks[[#This Row],[_ConstraintStart]],2958465)</f>
        <v>2958465</v>
      </c>
      <c r="CQ9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3" s="91" t="str">
        <f aca="false">IF(NOT(Tasks[[#This Row],[_IsLeaf]]=1),"",IF(N(Tasks[[#This Row],[_Days]])&lt;=0,Tasks[[#This Row],[_LeafCalcStart]],WORKDAY.INTL(Tasks[[#This Row],[_LeafCalcStart]],Tasks[[#This Row],[_Days]]-1,WorkWeek,Holidays)))</f>
        <v/>
      </c>
      <c r="CS9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3" s="43" t="str">
        <f aca="false">IF(Tasks[[#This Row],[_Predecessors]]="","",TRIM(MID(SUBSTITUTE(SUBSTITUTE(SUBSTITUTE(UPPER(Tasks[[#This Row],[_Predecessors]]),";",",")," ",""),",",REPT(" ",99)),1,99)))</f>
        <v/>
      </c>
      <c r="CV93" s="43" t="str">
        <f aca="false">IF(Tasks[[#This Row],[_Pred1Text]]="","",IFERROR(VALUE(LEFT(Tasks[[#This Row],[_Pred1Text]],MIN(FIND("F",Tasks[[#This Row],[_Pred1Text]]&amp;"F"),FIND("S",Tasks[[#This Row],[_Pred1Text]]&amp;"S"),FIND("+",Tasks[[#This Row],[_Pred1Text]]&amp;"+"),FIND("-",Tasks[[#This Row],[_Pred1Text]]&amp;"-"))-1)),""))</f>
        <v/>
      </c>
      <c r="CW9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3" s="43" t="str">
        <f aca="false">IF(Tasks[[#This Row],[_Pred1Text]]="","",TRIM(MID(SUBSTITUTE(SUBSTITUTE(SUBSTITUTE(UPPER(Tasks[[#This Row],[_Predecessors]]),";",",")," ",""),",",REPT(" ",99)),100,99)))</f>
        <v/>
      </c>
      <c r="CZ93" s="43" t="str">
        <f aca="false">IF(Tasks[[#This Row],[_Pred2Text]]="","",IFERROR(VALUE(LEFT(Tasks[[#This Row],[_Pred2Text]],MIN(FIND("F",Tasks[[#This Row],[_Pred2Text]]&amp;"F"),FIND("S",Tasks[[#This Row],[_Pred2Text]]&amp;"S"),FIND("+",Tasks[[#This Row],[_Pred2Text]]&amp;"+"),FIND("-",Tasks[[#This Row],[_Pred2Text]]&amp;"-"))-1)),""))</f>
        <v/>
      </c>
      <c r="DA9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3" s="43" t="str">
        <f aca="false">IF(Tasks[[#This Row],[_Pred2Text]]="","",TRIM(MID(SUBSTITUTE(SUBSTITUTE(SUBSTITUTE(UPPER(Tasks[[#This Row],[_Predecessors]]),";",",")," ",""),",",REPT(" ",99)),199,99)))</f>
        <v/>
      </c>
      <c r="DD93" s="43" t="str">
        <f aca="false">IF(Tasks[[#This Row],[_Pred3Text]]="","",IFERROR(VALUE(LEFT(Tasks[[#This Row],[_Pred3Text]],MIN(FIND("F",Tasks[[#This Row],[_Pred3Text]]&amp;"F"),FIND("S",Tasks[[#This Row],[_Pred3Text]]&amp;"S"),FIND("+",Tasks[[#This Row],[_Pred3Text]]&amp;"+"),FIND("-",Tasks[[#This Row],[_Pred3Text]]&amp;"-"))-1)),""))</f>
        <v/>
      </c>
      <c r="DE9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3" s="43" t="str">
        <f aca="false">IF(Tasks[[#This Row],[_Pred3Text]]="","",TRIM(MID(SUBSTITUTE(SUBSTITUTE(SUBSTITUTE(UPPER(Tasks[[#This Row],[_Predecessors]]),";",",")," ",""),",",REPT(" ",99)),298,99)))</f>
        <v/>
      </c>
      <c r="DH93" s="43" t="str">
        <f aca="false">IF(Tasks[[#This Row],[_Pred4Text]]="","",IFERROR(VALUE(LEFT(Tasks[[#This Row],[_Pred4Text]],MIN(FIND("F",Tasks[[#This Row],[_Pred4Text]]&amp;"F"),FIND("S",Tasks[[#This Row],[_Pred4Text]]&amp;"S"),FIND("+",Tasks[[#This Row],[_Pred4Text]]&amp;"+"),FIND("-",Tasks[[#This Row],[_Pred4Text]]&amp;"-"))-1)),""))</f>
        <v/>
      </c>
      <c r="DI9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3" s="43" t="str">
        <f aca="false">IF(OR(Tasks[[#This Row],[Task Name]]="",Tasks[[#This Row],[_Resources]]=""),"",TRIM(MID(SUBSTITUTE(Tasks[[#This Row],[_Resources]],",",REPT(" ",99)),1,99)))</f>
        <v/>
      </c>
      <c r="DL93" s="43" t="str">
        <f aca="false">IF(Tasks[[#This Row],[_Res1Text]]="","",TRIM(MID(SUBSTITUTE(Tasks[[#This Row],[_Resources]],",",REPT(" ",99)),100,99)))</f>
        <v/>
      </c>
      <c r="DM93" s="43" t="str">
        <f aca="false">IF(Tasks[[#This Row],[_Res2Text]]="","",TRIM(MID(SUBSTITUTE(Tasks[[#This Row],[_Resources]],",",REPT(" ",99)),199,99)))</f>
        <v/>
      </c>
      <c r="DN93" s="43" t="str">
        <f aca="false">IF(Tasks[[#This Row],[_Res3Text]]="","",TRIM(MID(SUBSTITUTE(Tasks[[#This Row],[_Resources]],",",REPT(" ",99)),298,99)))</f>
        <v/>
      </c>
      <c r="DO93" s="43" t="n">
        <f aca="false">IF(Tasks[[#This Row],[_Res1Text]]="",0,IFERROR(MATCH(TRIM(LEFT(Tasks[[#This Row],[_Res1Text]],FIND("[",Tasks[[#This Row],[_Res1Text]]&amp;"[")-1)),res_Name,0),IFERROR(MATCH(TRIM(LEFT(Tasks[[#This Row],[_Res1Text]],FIND("[",Tasks[[#This Row],[_Res1Text]]&amp;"[")-1)),res_Initials,0),0)))</f>
        <v>0</v>
      </c>
      <c r="DP93" s="43" t="n">
        <f aca="false">IF(Tasks[[#This Row],[_Res2Text]]="",0,IFERROR(MATCH(TRIM(LEFT(Tasks[[#This Row],[_Res2Text]],FIND("[",Tasks[[#This Row],[_Res2Text]]&amp;"[")-1)),res_Name,0),IFERROR(MATCH(TRIM(LEFT(Tasks[[#This Row],[_Res2Text]],FIND("[",Tasks[[#This Row],[_Res2Text]]&amp;"[")-1)),res_Initials,0),0)))</f>
        <v>0</v>
      </c>
      <c r="DQ93" s="43" t="n">
        <f aca="false">IF(Tasks[[#This Row],[_Res3Text]]="",0,IFERROR(MATCH(TRIM(LEFT(Tasks[[#This Row],[_Res3Text]],FIND("[",Tasks[[#This Row],[_Res3Text]]&amp;"[")-1)),res_Name,0),IFERROR(MATCH(TRIM(LEFT(Tasks[[#This Row],[_Res3Text]],FIND("[",Tasks[[#This Row],[_Res3Text]]&amp;"[")-1)),res_Initials,0),0)))</f>
        <v>0</v>
      </c>
      <c r="DR93" s="43" t="n">
        <f aca="false">IF(Tasks[[#This Row],[_Res4Text]]="",0,IFERROR(MATCH(TRIM(LEFT(Tasks[[#This Row],[_Res4Text]],FIND("[",Tasks[[#This Row],[_Res4Text]]&amp;"[")-1)),res_Name,0),IFERROR(MATCH(TRIM(LEFT(Tasks[[#This Row],[_Res4Text]],FIND("[",Tasks[[#This Row],[_Res4Text]]&amp;"[")-1)),res_Initials,0),0)))</f>
        <v>0</v>
      </c>
      <c r="DS93" s="43" t="str">
        <f aca="false">IF(Tasks[[#This Row],[_Res1Text]]="","",IF(Tasks[[#This Row],[_Res1Row]]&gt;0,INDEX(res_Name,Tasks[[#This Row],[_Res1Row]]),TRIM(LEFT(Tasks[[#This Row],[_Res1Text]],FIND("[",Tasks[[#This Row],[_Res1Text]]&amp;"[")-1))))</f>
        <v/>
      </c>
      <c r="DT9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3" s="43" t="n">
        <f aca="false">IF(NOT(Tasks[[#This Row],[_IsLeaf]]=1),0,(Tasks[[#This Row],[_Resource1]]&lt;&gt;"")+(Tasks[[#This Row],[_Res2]]&lt;&gt;"")+(Tasks[[#This Row],[_Res3]]&lt;&gt;"")+(Tasks[[#This Row],[_Res4]]&lt;&gt;""))</f>
        <v>0</v>
      </c>
      <c r="DV93" s="43" t="str">
        <f aca="false">IF(Tasks[[#This Row],[_Res2Text]]="","",IF(Tasks[[#This Row],[_Res2Row]]&gt;0,INDEX(res_Name,Tasks[[#This Row],[_Res2Row]]),TRIM(LEFT(Tasks[[#This Row],[_Res2Text]],FIND("[",Tasks[[#This Row],[_Res2Text]]&amp;"[")-1))))</f>
        <v/>
      </c>
      <c r="DW9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3" s="43" t="n">
        <f aca="false">IF(OR(NOT(Tasks[[#This Row],[_IsLeaf]]=1),Tasks[[#This Row],[_Res2Row]]=0),0,N(Tasks[[#This Row],[_Days]])*HoursPerDay*IF(Tasks[[#This Row],[_Res2Units]]="",DefaultUnits,Tasks[[#This Row],[_Res2Units]]))</f>
        <v>0</v>
      </c>
      <c r="DY93" s="43" t="n">
        <f aca="false">IF(AND(AND(Tasks[[#This Row],[_IsLeaf]]=1,Tasks[[#This Row],[_LeafTotalWork]]&gt;0),Tasks[[#This Row],[_Res2Work]]&gt;0),Tasks[[#This Row],[_Res2Work]]/(Tasks[[#This Row],[_FinishWorkday]]-Tasks[[#This Row],[_StartWorkday]]+1),0)</f>
        <v>0</v>
      </c>
      <c r="DZ93" s="43" t="n">
        <f aca="false">Tasks[[#This Row],[_Res2WorkPerWD]]*MAX(0,Tasks[[#This Row],[_StartWorkday]]-1)</f>
        <v>0</v>
      </c>
      <c r="EA93" s="43" t="n">
        <f aca="false">Tasks[[#This Row],[_Res2Work]]*Tasks[[#This Row],[_LeafProgress]]</f>
        <v>0</v>
      </c>
      <c r="EB93" s="43" t="str">
        <f aca="false">IF(Tasks[[#This Row],[_Res3Text]]="","",IF(Tasks[[#This Row],[_Res3Row]]&gt;0,INDEX(res_Name,Tasks[[#This Row],[_Res3Row]]),TRIM(LEFT(Tasks[[#This Row],[_Res3Text]],FIND("[",Tasks[[#This Row],[_Res3Text]]&amp;"[")-1))))</f>
        <v/>
      </c>
      <c r="EC9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3" s="43" t="n">
        <f aca="false">IF(OR(NOT(Tasks[[#This Row],[_IsLeaf]]=1),Tasks[[#This Row],[_Res3Row]]=0),0,N(Tasks[[#This Row],[_Days]])*HoursPerDay*IF(Tasks[[#This Row],[_Res3Units]]="",DefaultUnits,Tasks[[#This Row],[_Res3Units]]))</f>
        <v>0</v>
      </c>
      <c r="EE93" s="43" t="n">
        <f aca="false">IF(AND(AND(Tasks[[#This Row],[_IsLeaf]]=1,Tasks[[#This Row],[_LeafTotalWork]]&gt;0),Tasks[[#This Row],[_Res3Work]]&gt;0),Tasks[[#This Row],[_Res3Work]]/(Tasks[[#This Row],[_FinishWorkday]]-Tasks[[#This Row],[_StartWorkday]]+1),0)</f>
        <v>0</v>
      </c>
      <c r="EF93" s="43" t="n">
        <f aca="false">Tasks[[#This Row],[_Res3WorkPerWD]]*MAX(0,Tasks[[#This Row],[_StartWorkday]]-1)</f>
        <v>0</v>
      </c>
      <c r="EG93" s="43" t="n">
        <f aca="false">Tasks[[#This Row],[_Res3Work]]*Tasks[[#This Row],[_LeafProgress]]</f>
        <v>0</v>
      </c>
      <c r="EH93" s="43" t="str">
        <f aca="false">IF(Tasks[[#This Row],[_Res4Text]]="","",IF(Tasks[[#This Row],[_Res4Row]]&gt;0,INDEX(res_Name,Tasks[[#This Row],[_Res4Row]]),TRIM(LEFT(Tasks[[#This Row],[_Res4Text]],FIND("[",Tasks[[#This Row],[_Res4Text]]&amp;"[")-1))))</f>
        <v/>
      </c>
      <c r="EI9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3" s="43" t="n">
        <f aca="false">IF(OR(NOT(Tasks[[#This Row],[_IsLeaf]]=1),Tasks[[#This Row],[_Res4Row]]=0),0,N(Tasks[[#This Row],[_Days]])*HoursPerDay*IF(Tasks[[#This Row],[_Res4Units]]="",DefaultUnits,Tasks[[#This Row],[_Res4Units]]))</f>
        <v>0</v>
      </c>
      <c r="EK93" s="43" t="n">
        <f aca="false">IF(AND(AND(Tasks[[#This Row],[_IsLeaf]]=1,Tasks[[#This Row],[_LeafTotalWork]]&gt;0),Tasks[[#This Row],[_Res4Work]]&gt;0),Tasks[[#This Row],[_Res4Work]]/(Tasks[[#This Row],[_FinishWorkday]]-Tasks[[#This Row],[_StartWorkday]]+1),0)</f>
        <v>0</v>
      </c>
      <c r="EL93" s="43" t="n">
        <f aca="false">Tasks[[#This Row],[_Res4WorkPerWD]]*MAX(0,Tasks[[#This Row],[_StartWorkday]]-1)</f>
        <v>0</v>
      </c>
      <c r="EM93" s="43" t="n">
        <f aca="false">Tasks[[#This Row],[_Res4Work]]*Tasks[[#This Row],[_LeafProgress]]</f>
        <v>0</v>
      </c>
      <c r="EN93" s="43" t="n">
        <f aca="false">IF(ISNUMBER(Tasks[[#This Row],[% Complete]]),Tasks[[#This Row],[% Complete]],IF(Tasks[[#This Row],[Stage]]="",0,IFERROR(INDEX(stg_Pct,MATCH(Tasks[[#This Row],[Stage]],stg_Name,0)),0)))</f>
        <v>0</v>
      </c>
      <c r="EO93" s="43" t="n">
        <f aca="false">IF(NOT(Tasks[[#This Row],[_IsLeaf]]=1),0,IF(N(Tasks[[#This Row],[Actual Finish]])&gt;0,1,MIN(1,Tasks[[#This Row],[_Pct]])))</f>
        <v>0</v>
      </c>
      <c r="EP93" s="43" t="n">
        <f aca="false">IF(OR(NOT(Tasks[[#This Row],[_IsLeaf]]=1),Tasks[[#This Row],[_Res1Row]]=0),0,N(Tasks[[#This Row],[_Days]])*HoursPerDay*IF(Tasks[[#This Row],[_Units1]]="",DefaultUnits,Tasks[[#This Row],[_Units1]]))</f>
        <v>0</v>
      </c>
      <c r="EQ93" s="43" t="n">
        <f aca="false">Tasks[[#This Row],[_LeafWork]]+Tasks[[#This Row],[_Res2Work]]+Tasks[[#This Row],[_Res3Work]]+Tasks[[#This Row],[_Res4Work]]</f>
        <v>0</v>
      </c>
      <c r="ER9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3" s="43" t="n">
        <f aca="false">IF(NOT(Tasks[[#This Row],[_IsLeaf]]=1),0,MAX(_xlfn.MAXIFS(Tasks[_Row],Tasks[_Pred1UID],Tasks[[#This Row],[UID]]),_xlfn.MAXIFS(Tasks[_Row],Tasks[_Pred2UID],Tasks[[#This Row],[UID]]),_xlfn.MAXIFS(Tasks[_Row],Tasks[_Pred3UID],Tasks[[#This Row],[UID]]),_xlfn.MAXIFS(Tasks[_Row],Tasks[_Pred4UID],Tasks[[#This Row],[UID]])))</f>
        <v>0</v>
      </c>
      <c r="FA9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3" s="91" t="str">
        <f aca="false">IF(NOT(Tasks[[#This Row],[_IsLeaf]]=1),"",IF(N(Tasks[[#This Row],[_Days]])&lt;=0,Tasks[[#This Row],[_LeafLateFinish]],WORKDAY.INTL(Tasks[[#This Row],[_LeafLateFinish]],-(Tasks[[#This Row],[_Days]]-1),WorkWeek,Holidays)))</f>
        <v/>
      </c>
      <c r="FD9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3" s="90" t="b">
        <f aca="false">AND(Tasks[[#This Row],[_IsLeaf]]=1,Tasks[[#This Row],[_LeafProgress]]&lt;1,N(Tasks[[#This Row],[_LeafTotalSlack]])&lt;=CriticalSlackDays)</f>
        <v>0</v>
      </c>
      <c r="FF93" s="43" t="n">
        <f aca="false">IF(AND(Tasks[[#This Row],[_IsLeaf]]=1,Tasks[[#This Row],[_ConstraintCode]]=1,Tasks[[#This Row],[Mode]]&lt;&gt;"Manual",N(Tasks[[#This Row],[Actual Start]])=0),MAX(0,N(Tasks[[#This Row],[Free Slack]])),0)</f>
        <v>0</v>
      </c>
      <c r="FG93" s="91" t="str">
        <f aca="false">IF(NOT(Tasks[[#This Row],[_IsLeaf]]=1),"",IF(Tasks[[#This Row],[_AlapShift]]=0,Tasks[[#This Row],[_LeafCalcStart]],WORKDAY.INTL(Tasks[[#This Row],[_LeafCalcStart]],Tasks[[#This Row],[_AlapShift]],WorkWeek,Holidays)))</f>
        <v/>
      </c>
      <c r="FH93" s="91" t="str">
        <f aca="false">IF(NOT(Tasks[[#This Row],[_IsLeaf]]=1),"",IF(Tasks[[#This Row],[_AlapShift]]=0,Tasks[[#This Row],[_LeafCalcFinish]],WORKDAY.INTL(Tasks[[#This Row],[_LeafCalcFinish]],Tasks[[#This Row],[_AlapShift]],WorkWeek,Holidays)))</f>
        <v/>
      </c>
      <c r="FI93" s="91" t="str">
        <f aca="false">IF(NOT(Tasks[[#This Row],[_IsLeaf]]=1),"",IF(Tasks[[#This Row],[_AlapShift]]=0,Tasks[[#This Row],[_LeafFcstStart]],WORKDAY.INTL(Tasks[[#This Row],[_LeafFcstStart]],Tasks[[#This Row],[_AlapShift]],WorkWeek,Holidays)))</f>
        <v/>
      </c>
      <c r="FJ93" s="91" t="str">
        <f aca="false">IF(NOT(Tasks[[#This Row],[_IsLeaf]]=1),"",IF(Tasks[[#This Row],[_AlapShift]]=0,Tasks[[#This Row],[_LeafFcstFinish]],WORKDAY.INTL(Tasks[[#This Row],[_LeafFcstFinish]],Tasks[[#This Row],[_AlapShift]],WorkWeek,Holidays)))</f>
        <v/>
      </c>
      <c r="FK93" s="91" t="str">
        <f aca="false">IF(Tasks[[#This Row],[Task Name]]="","",IF(Tasks[[#This Row],[_IsSummary]],MIN(INDEX(Tasks[_ShownCalcStart],Tasks[[#This Row],[_Row]]+1):INDEX(Tasks[_ShownCalcStart],Tasks[[#This Row],[_Row]]+Tasks[[#This Row],[_Descendants]])),Tasks[[#This Row],[_ShownCalcStart]]))</f>
        <v/>
      </c>
      <c r="FL93" s="91" t="str">
        <f aca="false">IF(Tasks[[#This Row],[Task Name]]="","",IF(Tasks[[#This Row],[_IsSummary]],MAX(INDEX(Tasks[_ShownCalcFinish],Tasks[[#This Row],[_Row]]+1):INDEX(Tasks[_ShownCalcFinish],Tasks[[#This Row],[_Row]]+Tasks[[#This Row],[_Descendants]])),Tasks[[#This Row],[_ShownCalcFinish]]))</f>
        <v/>
      </c>
      <c r="FM9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3" s="43" t="n">
        <f aca="false">IF(AND(Tasks[[#This Row],[_IsLeaf]]=1,Tasks[[#This Row],[_LeafTotalWork]]&gt;0),NETWORKDAYS.INTL(ProjectStart,Tasks[[#This Row],[_ShownFcstStart]],WorkWeek,Holidays),0)</f>
        <v>0</v>
      </c>
      <c r="FZ93" s="43" t="n">
        <f aca="false">IF(AND(Tasks[[#This Row],[_IsLeaf]]=1,Tasks[[#This Row],[_LeafTotalWork]]&gt;0),MAX(Tasks[[#This Row],[_StartWorkday]],NETWORKDAYS.INTL(ProjectStart,Tasks[[#This Row],[_ShownFcstFinish]],WorkWeek,Holidays)),0)</f>
        <v>0</v>
      </c>
      <c r="GA93" s="43" t="n">
        <f aca="false">IF(AND(Tasks[[#This Row],[_IsLeaf]]=1,Tasks[[#This Row],[_LeafTotalWork]]&gt;0),Tasks[[#This Row],[_LeafWork]]/(Tasks[[#This Row],[_FinishWorkday]]-Tasks[[#This Row],[_StartWorkday]]+1),0)</f>
        <v>0</v>
      </c>
      <c r="GB93" s="43" t="n">
        <f aca="false">Tasks[[#This Row],[_WorkPerWorkday]]*(Tasks[[#This Row],[_StartWorkday]]-1)</f>
        <v>-0</v>
      </c>
      <c r="GC93" s="43" t="n">
        <f aca="false">IF(Tasks[[#This Row],[_IsLeaf]]=1,MAX(N(Tasks[[#This Row],[_Days]]),0.1),0)</f>
        <v>0</v>
      </c>
      <c r="GD93" s="43" t="n">
        <f aca="false">Tasks[[#This Row],[_WeightDur]]*Tasks[[#This Row],[_LeafProgress]]</f>
        <v>0</v>
      </c>
      <c r="GE93" s="43" t="n">
        <f aca="false">Tasks[[#This Row],[_WeightDur]]*Tasks[[#This Row],[_PlannedPct]]</f>
        <v>0</v>
      </c>
      <c r="GF9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3" s="43" t="str">
        <f aca="false">IF(AND(Tasks[[#This Row],[_IsLeaf]]=1,N(Tasks[[#This Row],[_Days]])=0,Tasks[[#This Row],[_LeafProgress]]&lt;1),Tasks[[#This Row],[_ShownFcstFinish]]+Tasks[[#This Row],[_Row]]/100000,"")</f>
        <v/>
      </c>
      <c r="GH9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3" s="43" t="str">
        <f aca="false">IF(Tasks[[#This Row],[Task Name]]="","",LEFT(Tasks[[#This Row],[WBS]],FIND(".",Tasks[[#This Row],[WBS]]&amp;".")-1))</f>
        <v/>
      </c>
      <c r="GJ93" s="43" t="str">
        <f aca="false">IF(AND(Tasks[[#This Row],[Task Name]]&lt;&gt;"",Tasks[[#This Row],[_Level]]=1),Tasks[[#This Row],[_Row]],"")</f>
        <v/>
      </c>
      <c r="GK93" s="43" t="str">
        <f aca="false">IF(AND(Tasks[[#This Row],[_IsLeaf]]=1,N(Tasks[[#This Row],[_Days]])=0),Tasks[[#This Row],[Planned Finish]]+Tasks[[#This Row],[_Row]]/100000,"")</f>
        <v/>
      </c>
      <c r="GL93" s="43" t="str">
        <f aca="false">IF(AND(Tasks[[#This Row],[_IsLeaf]]=1,Tasks[[#This Row],[_LeafProgress]]&lt;1,OR(N(Tasks[[#This Row],[Finish Var]])&gt;0,Tasks[[#This Row],[Status]]="Late Start")),MAX(0,Tasks[[#This Row],[Finish Var]])+1-Tasks[[#This Row],[_Row]]/1000000,"")</f>
        <v/>
      </c>
      <c r="GM93" s="43" t="str">
        <f aca="false">IF(AND(Tasks[[#This Row],[_IsLeaf]]=1,N(Tasks[[#This Row],[Actual Start]])=0,Tasks[[#This Row],[_ShownFcstStart]]&gt;=StatusDate,Tasks[[#This Row],[_ShownFcstStart]]&lt;=LookaheadEnd),Tasks[[#This Row],[_ShownFcstStart]]+Tasks[[#This Row],[_Row]]/100000,"")</f>
        <v/>
      </c>
      <c r="GN93" s="43" t="str">
        <f aca="false">IF(AND(Tasks[[#This Row],[_IsLeaf]]=1,Tasks[[#This Row],[_LeafProgress]]&lt;1,Tasks[[#This Row],[_ShownFcstFinish]]&gt;=StatusDate,Tasks[[#This Row],[_ShownFcstFinish]]&lt;=LookaheadEnd),Tasks[[#This Row],[_ShownFcstFinish]]+Tasks[[#This Row],[_Row]]/100000,"")</f>
        <v/>
      </c>
      <c r="GO93" s="43" t="str">
        <f aca="false">IF(Tasks[[#This Row],[_LeafCritical]],Tasks[[#This Row],[_ShownFcstStart]]+Tasks[[#This Row],[_Row]]/100000,"")</f>
        <v/>
      </c>
      <c r="GP93" s="43" t="n">
        <f aca="false">Tasks[[#This Row],[_LeafWork]]*Tasks[[#This Row],[_LeafProgress]]</f>
        <v>0</v>
      </c>
      <c r="GQ93" s="91" t="str">
        <f aca="false">IF(AND(Tasks[[#This Row],[_IsLeaf]]=1,Tasks[[#This Row],[_LeafProgress]]&gt;=1),IF(N(Tasks[[#This Row],[Actual Finish]])&gt;0,Tasks[[#This Row],[Actual Finish]],Tasks[[#This Row],[_ShownFcstFinish]]),"")</f>
        <v/>
      </c>
      <c r="GR93" s="43" t="n">
        <f aca="false">IF(Tasks[[#This Row],[_IsLeaf]]=1,N(Tasks[[#This Row],[Story Points]]),0)</f>
        <v>0</v>
      </c>
      <c r="GS93" s="43" t="str">
        <f aca="false">""</f>
        <v/>
      </c>
      <c r="GT93" s="90" t="b">
        <f aca="false">IF(Tasks[[#This Row],[Task Name]]="",FALSE(),AND(Tasks[[#This Row],[_IsLeaf]]=1,N(Tasks[[#This Row],[_Days]])=0))</f>
        <v>0</v>
      </c>
      <c r="GU93" s="91" t="n">
        <f aca="false">IF(Tasks[[#This Row],[Task Name]]="",0,IF(AND(Tasks[[#This Row],[_IsLeaf]]=1,NOT(Tasks[[#This Row],[_IsMilestone]]),N(Tasks[[#This Row],[Progress]])&gt;0),Tasks[[#This Row],[Start]],0))</f>
        <v>0</v>
      </c>
      <c r="GV93" s="91" t="n">
        <f aca="false">IF(Tasks[[#This Row],[_DoneFrom]]=0,0,IF(Tasks[[#This Row],[Progress]]&gt;=1,Tasks[[#This Row],[Finish]],MAX(Tasks[[#This Row],[_DoneFrom]],Tasks[[#This Row],[Start]]+ROUND((Tasks[[#This Row],[Finish]]-Tasks[[#This Row],[Start]]+1)*Tasks[[#This Row],[Progress]],0)-1)))</f>
        <v>0</v>
      </c>
      <c r="GW93" s="91" t="n">
        <f aca="false">IF(Tasks[[#This Row],[Task Name]]="",0,IF(OR(NOT(Tasks[[#This Row],[_IsLeaf]]=1),Tasks[[#This Row],[_IsMilestone]],N(Tasks[[#This Row],[Progress]])&gt;=1),0,IF(Tasks[[#This Row],[_DoneTo]]&gt;0,Tasks[[#This Row],[_DoneTo]]+1,Tasks[[#This Row],[Start]])))</f>
        <v>0</v>
      </c>
      <c r="GX93" s="91" t="n">
        <f aca="false">IF(Tasks[[#This Row],[_RemFrom]]=0,0,Tasks[[#This Row],[Finish]])</f>
        <v>0</v>
      </c>
      <c r="GY93" s="90" t="b">
        <f aca="false">IF(Tasks[[#This Row],[Task Name]]="",FALSE(),OR(NOT(BaselineSet),N(Tasks[[#This Row],[Baseline Start]])&gt;0))</f>
        <v>0</v>
      </c>
      <c r="GZ9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3" s="92" t="str">
        <f aca="false">IF(Tasks[[#This Row],[_IsLeaf]]=1,Tasks[[#This Row],[_Row]],"")</f>
        <v/>
      </c>
      <c r="HD93" s="92" t="str">
        <f aca="false">IFERROR(INDEX(Tasks[UID],SMALL(Tasks[_PickKey],Tasks[[#This Row],[_Row]]))&amp;" "&amp;INDEX(Tasks[Task Name],SMALL(Tasks[_PickKey],Tasks[[#This Row],[_Row]])),"")</f>
        <v/>
      </c>
      <c r="HE93" s="43" t="str">
        <f aca="false">IF(Tasks[[#This Row],[Task Name]]="","",IF(Tasks[[#This Row],[_IsSummary]],NETWORKDAYS.INTL(Tasks[[#This Row],[Start]],Tasks[[#This Row],[Finish]],WorkWeek,Holidays),N(Tasks[[#This Row],[_Days]])))</f>
        <v/>
      </c>
      <c r="HF93" s="43" t="n">
        <f aca="false">IF(Tasks[[#This Row],[Expected]]="",0,((Tasks[[#This Row],[Pessimistic]]-Tasks[[#This Row],[Optimistic]])/6)^2)</f>
        <v>0</v>
      </c>
      <c r="HG93" s="43" t="n">
        <f aca="false">IF(Tasks[[#This Row],[Expected]]="",0,Tasks[[#This Row],[Expected]]-N(Tasks[[#This Row],[_Days]]))</f>
        <v>0</v>
      </c>
    </row>
    <row r="94" customFormat="false" ht="15" hidden="false" customHeight="false" outlineLevel="0" collapsed="false">
      <c r="A94" s="21" t="str">
        <f aca="false">IF(Tasks[[#This Row],[Task Name]]="","",COUNTA(Tasks[[#Headers],[Task Name]]:Tasks[[#This Row],[Task Name]])-1)</f>
        <v/>
      </c>
      <c r="B94" s="22" t="n">
        <v>102</v>
      </c>
      <c r="C94" s="22"/>
      <c r="D94" s="23"/>
      <c r="E94" s="22"/>
      <c r="F94" s="23"/>
      <c r="G94" s="22"/>
      <c r="H94" s="22"/>
      <c r="I94" s="23"/>
      <c r="J94" s="22"/>
      <c r="K94" s="22"/>
      <c r="L94" s="23"/>
      <c r="M94" s="22"/>
      <c r="N94" s="22"/>
      <c r="O94" s="23"/>
      <c r="P94" s="22"/>
      <c r="Q94" s="22"/>
      <c r="R94" s="23"/>
      <c r="S94" s="23"/>
      <c r="T94" s="84"/>
      <c r="U94" s="23"/>
      <c r="V94" s="84"/>
      <c r="W94" s="23"/>
      <c r="X94" s="84"/>
      <c r="Y94" s="23"/>
      <c r="Z94" s="84"/>
      <c r="AA94" s="23"/>
      <c r="AB94" s="23"/>
      <c r="AC94" s="7"/>
      <c r="AD94" s="7"/>
      <c r="AE94" s="63" t="str">
        <f aca="false">IF(Tasks[[#This Row],[Task Name]]="","",IF(Tasks[[#This Row],[_IsSummary]],MIN(INDEX(Tasks[_ShownFcstStart],Tasks[[#This Row],[_Row]]+1):INDEX(Tasks[_ShownFcstStart],Tasks[[#This Row],[_Row]]+Tasks[[#This Row],[_Descendants]])),Tasks[[#This Row],[_ShownFcstStart]]))</f>
        <v/>
      </c>
      <c r="AF94" s="63" t="str">
        <f aca="false">IF(Tasks[[#This Row],[Task Name]]="","",IF(Tasks[[#This Row],[_IsSummary]],MAX(INDEX(Tasks[_ShownFcstFinish],Tasks[[#This Row],[_Row]]+1):INDEX(Tasks[_ShownFcstFinish],Tasks[[#This Row],[_Row]]+Tasks[[#This Row],[_Descendants]])),Tasks[[#This Row],[_ShownFcstFinish]]))</f>
        <v/>
      </c>
      <c r="AG94" s="21" t="str">
        <f aca="false">""</f>
        <v/>
      </c>
      <c r="AH94" s="23"/>
      <c r="AI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4" s="7"/>
      <c r="AK94" s="22"/>
      <c r="AL94" s="23"/>
      <c r="AM94" s="7"/>
      <c r="AN94" s="47" t="str">
        <f aca="false">IF(Tasks[[#This Row],[Task Name]]="","",IF(Tasks[[#This Row],[Finish]]&gt;=Tasks[[#This Row],[Planned Finish]],NETWORKDAYS.INTL(Tasks[[#This Row],[Planned Finish]],Tasks[[#This Row],[Finish]],WorkWeek,Holidays)-1,1-NETWORKDAYS.INTL(Tasks[[#This Row],[Finish]],Tasks[[#This Row],[Planned Finish]],WorkWeek,Holidays)))</f>
        <v/>
      </c>
      <c r="AO94" s="21" t="str">
        <f aca="false">IF(Tasks[[#This Row],[Task Name]]="","",IF(Tasks[[#This Row],[Progress]]&gt;=1,"Complete",IF(OR(N(Tasks[[#This Row],[Actual Start]])&gt;0,Tasks[[#This Row],[Progress]]&gt;0),IF(Tasks[[#This Row],[Finish Var]]&gt;0,"Behind","In Progress"),IF(Tasks[[#This Row],[Planned Start]]&lt;StatusDate,"Late Start","Not Started"))))</f>
        <v/>
      </c>
      <c r="AP94" s="21" t="str">
        <f aca="false">IF(Tasks[[#This Row],[Task Name]]="","",IF(IF(Tasks[[#This Row],[_IsSummary]],COUNTIF(INDEX(Tasks[_LeafCritical],Tasks[[#This Row],[_Row]]+1):INDEX(Tasks[_LeafCritical],Tasks[[#This Row],[_Row]]+Tasks[[#This Row],[_Descendants]]),TRUE())&gt;0,Tasks[[#This Row],[_LeafCritical]]),"Yes",""))</f>
        <v/>
      </c>
      <c r="AQ94" s="63" t="str">
        <f aca="false">IF(Tasks[[#This Row],[Task Name]]="","",IF(N(Tasks[[#This Row],[Baseline Start]])&gt;0,Tasks[[#This Row],[Baseline Start]],Tasks[[#This Row],[_CalcStart]]))</f>
        <v/>
      </c>
      <c r="AR94" s="63" t="str">
        <f aca="false">IF(Tasks[[#This Row],[Task Name]]="","",IF(N(Tasks[[#This Row],[Baseline Finish]])&gt;0,Tasks[[#This Row],[Baseline Finish]],Tasks[[#This Row],[_CalcFinish]]))</f>
        <v/>
      </c>
      <c r="AS94" s="47" t="str">
        <f aca="false">IF(Tasks[[#This Row],[Task Name]]="","",IF(Tasks[[#This Row],[Start]]&gt;=Tasks[[#This Row],[Planned Start]],NETWORKDAYS.INTL(Tasks[[#This Row],[Planned Start]],Tasks[[#This Row],[Start]],WorkWeek,Holidays)-1,1-NETWORKDAYS.INTL(Tasks[[#This Row],[Start]],Tasks[[#This Row],[Planned Start]],WorkWeek,Holidays)))</f>
        <v/>
      </c>
      <c r="AT94" s="63" t="str">
        <f aca="false">IF(Tasks[[#This Row],[Task Name]]="","",IF(Tasks[[#This Row],[_IsSummary]],MIN(INDEX(Tasks[_LeafLateStart],Tasks[[#This Row],[_Row]]+1):INDEX(Tasks[_LeafLateStart],Tasks[[#This Row],[_Row]]+Tasks[[#This Row],[_Descendants]])),Tasks[[#This Row],[_LeafLateStart]]))</f>
        <v/>
      </c>
      <c r="AU94" s="63" t="str">
        <f aca="false">IF(Tasks[[#This Row],[Task Name]]="","",IF(Tasks[[#This Row],[_IsSummary]],MAX(INDEX(Tasks[_LeafLateFinish],Tasks[[#This Row],[_Row]]+1):INDEX(Tasks[_LeafLateFinish],Tasks[[#This Row],[_Row]]+Tasks[[#This Row],[_Descendants]])),Tasks[[#This Row],[_LeafLateFinish]]))</f>
        <v/>
      </c>
      <c r="AV94" s="47" t="str">
        <f aca="false">IF(Tasks[[#This Row],[Task Name]]="","",IF(Tasks[[#This Row],[_IsSummary]],MIN(INDEX(Tasks[_LeafTotalSlack],Tasks[[#This Row],[_Row]]+1):INDEX(Tasks[_LeafTotalSlack],Tasks[[#This Row],[_Row]]+Tasks[[#This Row],[_Descendants]])),Tasks[[#This Row],[_LeafTotalSlack]]))</f>
        <v/>
      </c>
      <c r="AW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5"/>
      <c r="BA9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1" t="str">
        <f aca="false">IF(Tasks[[#This Row],[Task Name]]="","",IF(Tasks[[#This Row],[_Level]]&lt;=OutlineShowLevel,"Yes","No"))</f>
        <v/>
      </c>
      <c r="BE94" s="86" t="str">
        <f aca="false">IF(Tasks[[#This Row],[Task Name]]="","",IF(Tasks[[#This Row],[_IsSummary]],SUM(INDEX(Tasks[_LeafTotalWork],Tasks[[#This Row],[_Row]]+1):INDEX(Tasks[_LeafTotalWork],Tasks[[#This Row],[_Row]]+Tasks[[#This Row],[_Descendants]])),Tasks[[#This Row],[_LeafTotalWork]]))</f>
        <v/>
      </c>
      <c r="BF94" s="23"/>
      <c r="BG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4" s="21" t="str">
        <f aca="false">""</f>
        <v/>
      </c>
      <c r="BI94" s="87"/>
      <c r="BJ94" s="22"/>
      <c r="BK94" s="47" t="str">
        <f aca="false">IF(OR(Tasks[[#This Row],[Task Name]]="",Tasks[[#This Row],[Baseline Duration]]=""),"",Tasks[[#This Row],[_SpanDays]]-N(Tasks[[#This Row],[Baseline Duration]]))</f>
        <v/>
      </c>
      <c r="BL94" s="86" t="str">
        <f aca="false">IF(OR(Tasks[[#This Row],[Task Name]]="",Tasks[[#This Row],[Baseline Work]]=""),"",Tasks[[#This Row],[Work]]-N(Tasks[[#This Row],[Baseline Work]]))</f>
        <v/>
      </c>
      <c r="BM94" s="63" t="str">
        <f aca="false">IF(Tasks[[#This Row],[Task Name]]="","",IF(OR(TakeBaseline="Yes",N(Tasks[[#This Row],[Baseline Start]])=0),Tasks[[#This Row],[Start]],Tasks[[#This Row],[Baseline Start]]))</f>
        <v/>
      </c>
      <c r="BN94" s="63" t="str">
        <f aca="false">IF(Tasks[[#This Row],[Task Name]]="","",IF(OR(TakeBaseline="Yes",N(Tasks[[#This Row],[Baseline Finish]])=0),Tasks[[#This Row],[Finish]],Tasks[[#This Row],[Baseline Finish]]))</f>
        <v/>
      </c>
      <c r="BO94" s="21" t="str">
        <f aca="false">IF(Tasks[[#This Row],[Task Name]]="","",IF(OR(TakeBaseline="Yes",N(Tasks[[#This Row],[Baseline Duration]])=0),Tasks[[#This Row],[_SpanDays]],Tasks[[#This Row],[Baseline Duration]]))</f>
        <v/>
      </c>
      <c r="BP94" s="86" t="str">
        <f aca="false">IF(Tasks[[#This Row],[Task Name]]="","",IF(OR(TakeBaseline="Yes",N(Tasks[[#This Row],[Baseline Work]])=0),Tasks[[#This Row],[Work]],Tasks[[#This Row],[Baseline Work]]))</f>
        <v/>
      </c>
      <c r="BQ94" s="7"/>
      <c r="BR94" s="7"/>
      <c r="BS94" s="22"/>
      <c r="BT94" s="88"/>
      <c r="BU94" s="23"/>
      <c r="BV94" s="23"/>
      <c r="BW94" s="23"/>
      <c r="BX94" s="89" t="str">
        <f aca="false">IF(AND(Tasks[[#This Row],[_IsLeaf]]=1,ISNUMBER(Tasks[[#This Row],[Optimistic]]),ISNUMBER(Tasks[[#This Row],[Pessimistic]])),ROUND((Tasks[[#This Row],[Optimistic]]+4*N(Tasks[[#This Row],[_Days]])+Tasks[[#This Row],[Pessimistic]])/6,1),"")</f>
        <v/>
      </c>
      <c r="BY94" s="87"/>
      <c r="BZ94" s="87"/>
      <c r="CA94" s="22"/>
      <c r="CB94" s="43" t="str">
        <f aca="false">IF(Tasks[[#This Row],[Task Name]]="","",MAX(1,N(Tasks[[#This Row],[Level]])))</f>
        <v/>
      </c>
      <c r="CC94" s="43" t="n">
        <f aca="false">ROW()-ROW(Tasks[[#Headers],[ID]])</f>
        <v>89</v>
      </c>
      <c r="CD94" s="43" t="n">
        <f aca="false">IF(OR(Tasks[[#This Row],[Task Name]]="",Tasks[[#This Row],[_Level]]&lt;=1),0,IFERROR(LOOKUP(2,1/(Tasks[[#Headers],[_Level]]:Tasks[[#This Row],[_Level]]=Tasks[[#This Row],[_Level]]-1),ROW(Tasks[[#Headers],[_Level]]:Tasks[[#This Row],[_Level]])),0))</f>
        <v>0</v>
      </c>
      <c r="CE94" s="43" t="n">
        <f aca="false">IFERROR(N(INDEX(Tasks[_Level],Tasks[[#This Row],[_Row]]+1)),0)</f>
        <v>0</v>
      </c>
      <c r="CF94" s="90" t="b">
        <f aca="false">AND(Tasks[[#This Row],[Task Name]]&lt;&gt;"",Tasks[[#This Row],[_NextLevel]]&gt;Tasks[[#This Row],[_Level]])</f>
        <v>0</v>
      </c>
      <c r="CG94" s="43" t="n">
        <f aca="false">IF(Tasks[[#This Row],[_IsSummary]],COUNTIF(Tasks[WBS],Tasks[[#This Row],[WBS]]&amp;".*"),0)</f>
        <v>0</v>
      </c>
      <c r="CH94" s="43" t="n">
        <f aca="false">IF(AND(Tasks[[#This Row],[Task Name]]&lt;&gt;"",NOT(Tasks[[#This Row],[_IsSummary]])),1,0)</f>
        <v>0</v>
      </c>
      <c r="CI94" s="43" t="n">
        <f aca="false">IF(N(Tasks[[#This Row],[_Pred1UID]])=0,0,IFERROR(MATCH(Tasks[[#This Row],[_Pred1UID]],Tasks[UID],0),-1))</f>
        <v>0</v>
      </c>
      <c r="CJ94" s="43" t="n">
        <f aca="false">IF(N(Tasks[[#This Row],[_Pred2UID]])=0,0,IFERROR(MATCH(Tasks[[#This Row],[_Pred2UID]],Tasks[UID],0),-1))</f>
        <v>0</v>
      </c>
      <c r="CK94" s="43" t="n">
        <f aca="false">IF(N(Tasks[[#This Row],[_Pred3UID]])=0,0,IFERROR(MATCH(Tasks[[#This Row],[_Pred3UID]],Tasks[UID],0),-1))</f>
        <v>0</v>
      </c>
      <c r="CL94" s="43" t="n">
        <f aca="false">IF(N(Tasks[[#This Row],[_Pred4UID]])=0,0,IFERROR(MATCH(Tasks[[#This Row],[_Pred4UID]],Tasks[UID],0),-1))</f>
        <v>0</v>
      </c>
      <c r="CM9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4" s="91" t="n">
        <f aca="false">IF(OR(Tasks[[#This Row],[_ConstraintCode]]=2,Tasks[[#This Row],[_ConstraintCode]]=3,Tasks[[#This Row],[_ConstraintCode]]=4,Tasks[[#This Row],[_ConstraintCode]]=6),Tasks[[#This Row],[_ConstraintStart]],0)</f>
        <v>0</v>
      </c>
      <c r="CP94" s="91" t="n">
        <f aca="false">IF(OR(Tasks[[#This Row],[_ConstraintCode]]=2,Tasks[[#This Row],[_ConstraintCode]]=3,Tasks[[#This Row],[_ConstraintCode]]=5,Tasks[[#This Row],[_ConstraintCode]]=7),Tasks[[#This Row],[_ConstraintStart]],2958465)</f>
        <v>2958465</v>
      </c>
      <c r="CQ9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4" s="91" t="str">
        <f aca="false">IF(NOT(Tasks[[#This Row],[_IsLeaf]]=1),"",IF(N(Tasks[[#This Row],[_Days]])&lt;=0,Tasks[[#This Row],[_LeafCalcStart]],WORKDAY.INTL(Tasks[[#This Row],[_LeafCalcStart]],Tasks[[#This Row],[_Days]]-1,WorkWeek,Holidays)))</f>
        <v/>
      </c>
      <c r="CS9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4" s="43" t="str">
        <f aca="false">IF(Tasks[[#This Row],[_Predecessors]]="","",TRIM(MID(SUBSTITUTE(SUBSTITUTE(SUBSTITUTE(UPPER(Tasks[[#This Row],[_Predecessors]]),";",",")," ",""),",",REPT(" ",99)),1,99)))</f>
        <v/>
      </c>
      <c r="CV94" s="43" t="str">
        <f aca="false">IF(Tasks[[#This Row],[_Pred1Text]]="","",IFERROR(VALUE(LEFT(Tasks[[#This Row],[_Pred1Text]],MIN(FIND("F",Tasks[[#This Row],[_Pred1Text]]&amp;"F"),FIND("S",Tasks[[#This Row],[_Pred1Text]]&amp;"S"),FIND("+",Tasks[[#This Row],[_Pred1Text]]&amp;"+"),FIND("-",Tasks[[#This Row],[_Pred1Text]]&amp;"-"))-1)),""))</f>
        <v/>
      </c>
      <c r="CW9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4" s="43" t="str">
        <f aca="false">IF(Tasks[[#This Row],[_Pred1Text]]="","",TRIM(MID(SUBSTITUTE(SUBSTITUTE(SUBSTITUTE(UPPER(Tasks[[#This Row],[_Predecessors]]),";",",")," ",""),",",REPT(" ",99)),100,99)))</f>
        <v/>
      </c>
      <c r="CZ94" s="43" t="str">
        <f aca="false">IF(Tasks[[#This Row],[_Pred2Text]]="","",IFERROR(VALUE(LEFT(Tasks[[#This Row],[_Pred2Text]],MIN(FIND("F",Tasks[[#This Row],[_Pred2Text]]&amp;"F"),FIND("S",Tasks[[#This Row],[_Pred2Text]]&amp;"S"),FIND("+",Tasks[[#This Row],[_Pred2Text]]&amp;"+"),FIND("-",Tasks[[#This Row],[_Pred2Text]]&amp;"-"))-1)),""))</f>
        <v/>
      </c>
      <c r="DA9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4" s="43" t="str">
        <f aca="false">IF(Tasks[[#This Row],[_Pred2Text]]="","",TRIM(MID(SUBSTITUTE(SUBSTITUTE(SUBSTITUTE(UPPER(Tasks[[#This Row],[_Predecessors]]),";",",")," ",""),",",REPT(" ",99)),199,99)))</f>
        <v/>
      </c>
      <c r="DD94" s="43" t="str">
        <f aca="false">IF(Tasks[[#This Row],[_Pred3Text]]="","",IFERROR(VALUE(LEFT(Tasks[[#This Row],[_Pred3Text]],MIN(FIND("F",Tasks[[#This Row],[_Pred3Text]]&amp;"F"),FIND("S",Tasks[[#This Row],[_Pred3Text]]&amp;"S"),FIND("+",Tasks[[#This Row],[_Pred3Text]]&amp;"+"),FIND("-",Tasks[[#This Row],[_Pred3Text]]&amp;"-"))-1)),""))</f>
        <v/>
      </c>
      <c r="DE9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4" s="43" t="str">
        <f aca="false">IF(Tasks[[#This Row],[_Pred3Text]]="","",TRIM(MID(SUBSTITUTE(SUBSTITUTE(SUBSTITUTE(UPPER(Tasks[[#This Row],[_Predecessors]]),";",",")," ",""),",",REPT(" ",99)),298,99)))</f>
        <v/>
      </c>
      <c r="DH94" s="43" t="str">
        <f aca="false">IF(Tasks[[#This Row],[_Pred4Text]]="","",IFERROR(VALUE(LEFT(Tasks[[#This Row],[_Pred4Text]],MIN(FIND("F",Tasks[[#This Row],[_Pred4Text]]&amp;"F"),FIND("S",Tasks[[#This Row],[_Pred4Text]]&amp;"S"),FIND("+",Tasks[[#This Row],[_Pred4Text]]&amp;"+"),FIND("-",Tasks[[#This Row],[_Pred4Text]]&amp;"-"))-1)),""))</f>
        <v/>
      </c>
      <c r="DI9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4" s="43" t="str">
        <f aca="false">IF(OR(Tasks[[#This Row],[Task Name]]="",Tasks[[#This Row],[_Resources]]=""),"",TRIM(MID(SUBSTITUTE(Tasks[[#This Row],[_Resources]],",",REPT(" ",99)),1,99)))</f>
        <v/>
      </c>
      <c r="DL94" s="43" t="str">
        <f aca="false">IF(Tasks[[#This Row],[_Res1Text]]="","",TRIM(MID(SUBSTITUTE(Tasks[[#This Row],[_Resources]],",",REPT(" ",99)),100,99)))</f>
        <v/>
      </c>
      <c r="DM94" s="43" t="str">
        <f aca="false">IF(Tasks[[#This Row],[_Res2Text]]="","",TRIM(MID(SUBSTITUTE(Tasks[[#This Row],[_Resources]],",",REPT(" ",99)),199,99)))</f>
        <v/>
      </c>
      <c r="DN94" s="43" t="str">
        <f aca="false">IF(Tasks[[#This Row],[_Res3Text]]="","",TRIM(MID(SUBSTITUTE(Tasks[[#This Row],[_Resources]],",",REPT(" ",99)),298,99)))</f>
        <v/>
      </c>
      <c r="DO94" s="43" t="n">
        <f aca="false">IF(Tasks[[#This Row],[_Res1Text]]="",0,IFERROR(MATCH(TRIM(LEFT(Tasks[[#This Row],[_Res1Text]],FIND("[",Tasks[[#This Row],[_Res1Text]]&amp;"[")-1)),res_Name,0),IFERROR(MATCH(TRIM(LEFT(Tasks[[#This Row],[_Res1Text]],FIND("[",Tasks[[#This Row],[_Res1Text]]&amp;"[")-1)),res_Initials,0),0)))</f>
        <v>0</v>
      </c>
      <c r="DP94" s="43" t="n">
        <f aca="false">IF(Tasks[[#This Row],[_Res2Text]]="",0,IFERROR(MATCH(TRIM(LEFT(Tasks[[#This Row],[_Res2Text]],FIND("[",Tasks[[#This Row],[_Res2Text]]&amp;"[")-1)),res_Name,0),IFERROR(MATCH(TRIM(LEFT(Tasks[[#This Row],[_Res2Text]],FIND("[",Tasks[[#This Row],[_Res2Text]]&amp;"[")-1)),res_Initials,0),0)))</f>
        <v>0</v>
      </c>
      <c r="DQ94" s="43" t="n">
        <f aca="false">IF(Tasks[[#This Row],[_Res3Text]]="",0,IFERROR(MATCH(TRIM(LEFT(Tasks[[#This Row],[_Res3Text]],FIND("[",Tasks[[#This Row],[_Res3Text]]&amp;"[")-1)),res_Name,0),IFERROR(MATCH(TRIM(LEFT(Tasks[[#This Row],[_Res3Text]],FIND("[",Tasks[[#This Row],[_Res3Text]]&amp;"[")-1)),res_Initials,0),0)))</f>
        <v>0</v>
      </c>
      <c r="DR94" s="43" t="n">
        <f aca="false">IF(Tasks[[#This Row],[_Res4Text]]="",0,IFERROR(MATCH(TRIM(LEFT(Tasks[[#This Row],[_Res4Text]],FIND("[",Tasks[[#This Row],[_Res4Text]]&amp;"[")-1)),res_Name,0),IFERROR(MATCH(TRIM(LEFT(Tasks[[#This Row],[_Res4Text]],FIND("[",Tasks[[#This Row],[_Res4Text]]&amp;"[")-1)),res_Initials,0),0)))</f>
        <v>0</v>
      </c>
      <c r="DS94" s="43" t="str">
        <f aca="false">IF(Tasks[[#This Row],[_Res1Text]]="","",IF(Tasks[[#This Row],[_Res1Row]]&gt;0,INDEX(res_Name,Tasks[[#This Row],[_Res1Row]]),TRIM(LEFT(Tasks[[#This Row],[_Res1Text]],FIND("[",Tasks[[#This Row],[_Res1Text]]&amp;"[")-1))))</f>
        <v/>
      </c>
      <c r="DT9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4" s="43" t="n">
        <f aca="false">IF(NOT(Tasks[[#This Row],[_IsLeaf]]=1),0,(Tasks[[#This Row],[_Resource1]]&lt;&gt;"")+(Tasks[[#This Row],[_Res2]]&lt;&gt;"")+(Tasks[[#This Row],[_Res3]]&lt;&gt;"")+(Tasks[[#This Row],[_Res4]]&lt;&gt;""))</f>
        <v>0</v>
      </c>
      <c r="DV94" s="43" t="str">
        <f aca="false">IF(Tasks[[#This Row],[_Res2Text]]="","",IF(Tasks[[#This Row],[_Res2Row]]&gt;0,INDEX(res_Name,Tasks[[#This Row],[_Res2Row]]),TRIM(LEFT(Tasks[[#This Row],[_Res2Text]],FIND("[",Tasks[[#This Row],[_Res2Text]]&amp;"[")-1))))</f>
        <v/>
      </c>
      <c r="DW9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4" s="43" t="n">
        <f aca="false">IF(OR(NOT(Tasks[[#This Row],[_IsLeaf]]=1),Tasks[[#This Row],[_Res2Row]]=0),0,N(Tasks[[#This Row],[_Days]])*HoursPerDay*IF(Tasks[[#This Row],[_Res2Units]]="",DefaultUnits,Tasks[[#This Row],[_Res2Units]]))</f>
        <v>0</v>
      </c>
      <c r="DY94" s="43" t="n">
        <f aca="false">IF(AND(AND(Tasks[[#This Row],[_IsLeaf]]=1,Tasks[[#This Row],[_LeafTotalWork]]&gt;0),Tasks[[#This Row],[_Res2Work]]&gt;0),Tasks[[#This Row],[_Res2Work]]/(Tasks[[#This Row],[_FinishWorkday]]-Tasks[[#This Row],[_StartWorkday]]+1),0)</f>
        <v>0</v>
      </c>
      <c r="DZ94" s="43" t="n">
        <f aca="false">Tasks[[#This Row],[_Res2WorkPerWD]]*MAX(0,Tasks[[#This Row],[_StartWorkday]]-1)</f>
        <v>0</v>
      </c>
      <c r="EA94" s="43" t="n">
        <f aca="false">Tasks[[#This Row],[_Res2Work]]*Tasks[[#This Row],[_LeafProgress]]</f>
        <v>0</v>
      </c>
      <c r="EB94" s="43" t="str">
        <f aca="false">IF(Tasks[[#This Row],[_Res3Text]]="","",IF(Tasks[[#This Row],[_Res3Row]]&gt;0,INDEX(res_Name,Tasks[[#This Row],[_Res3Row]]),TRIM(LEFT(Tasks[[#This Row],[_Res3Text]],FIND("[",Tasks[[#This Row],[_Res3Text]]&amp;"[")-1))))</f>
        <v/>
      </c>
      <c r="EC9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4" s="43" t="n">
        <f aca="false">IF(OR(NOT(Tasks[[#This Row],[_IsLeaf]]=1),Tasks[[#This Row],[_Res3Row]]=0),0,N(Tasks[[#This Row],[_Days]])*HoursPerDay*IF(Tasks[[#This Row],[_Res3Units]]="",DefaultUnits,Tasks[[#This Row],[_Res3Units]]))</f>
        <v>0</v>
      </c>
      <c r="EE94" s="43" t="n">
        <f aca="false">IF(AND(AND(Tasks[[#This Row],[_IsLeaf]]=1,Tasks[[#This Row],[_LeafTotalWork]]&gt;0),Tasks[[#This Row],[_Res3Work]]&gt;0),Tasks[[#This Row],[_Res3Work]]/(Tasks[[#This Row],[_FinishWorkday]]-Tasks[[#This Row],[_StartWorkday]]+1),0)</f>
        <v>0</v>
      </c>
      <c r="EF94" s="43" t="n">
        <f aca="false">Tasks[[#This Row],[_Res3WorkPerWD]]*MAX(0,Tasks[[#This Row],[_StartWorkday]]-1)</f>
        <v>0</v>
      </c>
      <c r="EG94" s="43" t="n">
        <f aca="false">Tasks[[#This Row],[_Res3Work]]*Tasks[[#This Row],[_LeafProgress]]</f>
        <v>0</v>
      </c>
      <c r="EH94" s="43" t="str">
        <f aca="false">IF(Tasks[[#This Row],[_Res4Text]]="","",IF(Tasks[[#This Row],[_Res4Row]]&gt;0,INDEX(res_Name,Tasks[[#This Row],[_Res4Row]]),TRIM(LEFT(Tasks[[#This Row],[_Res4Text]],FIND("[",Tasks[[#This Row],[_Res4Text]]&amp;"[")-1))))</f>
        <v/>
      </c>
      <c r="EI9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4" s="43" t="n">
        <f aca="false">IF(OR(NOT(Tasks[[#This Row],[_IsLeaf]]=1),Tasks[[#This Row],[_Res4Row]]=0),0,N(Tasks[[#This Row],[_Days]])*HoursPerDay*IF(Tasks[[#This Row],[_Res4Units]]="",DefaultUnits,Tasks[[#This Row],[_Res4Units]]))</f>
        <v>0</v>
      </c>
      <c r="EK94" s="43" t="n">
        <f aca="false">IF(AND(AND(Tasks[[#This Row],[_IsLeaf]]=1,Tasks[[#This Row],[_LeafTotalWork]]&gt;0),Tasks[[#This Row],[_Res4Work]]&gt;0),Tasks[[#This Row],[_Res4Work]]/(Tasks[[#This Row],[_FinishWorkday]]-Tasks[[#This Row],[_StartWorkday]]+1),0)</f>
        <v>0</v>
      </c>
      <c r="EL94" s="43" t="n">
        <f aca="false">Tasks[[#This Row],[_Res4WorkPerWD]]*MAX(0,Tasks[[#This Row],[_StartWorkday]]-1)</f>
        <v>0</v>
      </c>
      <c r="EM94" s="43" t="n">
        <f aca="false">Tasks[[#This Row],[_Res4Work]]*Tasks[[#This Row],[_LeafProgress]]</f>
        <v>0</v>
      </c>
      <c r="EN94" s="43" t="n">
        <f aca="false">IF(ISNUMBER(Tasks[[#This Row],[% Complete]]),Tasks[[#This Row],[% Complete]],IF(Tasks[[#This Row],[Stage]]="",0,IFERROR(INDEX(stg_Pct,MATCH(Tasks[[#This Row],[Stage]],stg_Name,0)),0)))</f>
        <v>0</v>
      </c>
      <c r="EO94" s="43" t="n">
        <f aca="false">IF(NOT(Tasks[[#This Row],[_IsLeaf]]=1),0,IF(N(Tasks[[#This Row],[Actual Finish]])&gt;0,1,MIN(1,Tasks[[#This Row],[_Pct]])))</f>
        <v>0</v>
      </c>
      <c r="EP94" s="43" t="n">
        <f aca="false">IF(OR(NOT(Tasks[[#This Row],[_IsLeaf]]=1),Tasks[[#This Row],[_Res1Row]]=0),0,N(Tasks[[#This Row],[_Days]])*HoursPerDay*IF(Tasks[[#This Row],[_Units1]]="",DefaultUnits,Tasks[[#This Row],[_Units1]]))</f>
        <v>0</v>
      </c>
      <c r="EQ94" s="43" t="n">
        <f aca="false">Tasks[[#This Row],[_LeafWork]]+Tasks[[#This Row],[_Res2Work]]+Tasks[[#This Row],[_Res3Work]]+Tasks[[#This Row],[_Res4Work]]</f>
        <v>0</v>
      </c>
      <c r="ER9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4" s="43" t="n">
        <f aca="false">IF(NOT(Tasks[[#This Row],[_IsLeaf]]=1),0,MAX(_xlfn.MAXIFS(Tasks[_Row],Tasks[_Pred1UID],Tasks[[#This Row],[UID]]),_xlfn.MAXIFS(Tasks[_Row],Tasks[_Pred2UID],Tasks[[#This Row],[UID]]),_xlfn.MAXIFS(Tasks[_Row],Tasks[_Pred3UID],Tasks[[#This Row],[UID]]),_xlfn.MAXIFS(Tasks[_Row],Tasks[_Pred4UID],Tasks[[#This Row],[UID]])))</f>
        <v>0</v>
      </c>
      <c r="FA9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4" s="91" t="str">
        <f aca="false">IF(NOT(Tasks[[#This Row],[_IsLeaf]]=1),"",IF(N(Tasks[[#This Row],[_Days]])&lt;=0,Tasks[[#This Row],[_LeafLateFinish]],WORKDAY.INTL(Tasks[[#This Row],[_LeafLateFinish]],-(Tasks[[#This Row],[_Days]]-1),WorkWeek,Holidays)))</f>
        <v/>
      </c>
      <c r="FD9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4" s="90" t="b">
        <f aca="false">AND(Tasks[[#This Row],[_IsLeaf]]=1,Tasks[[#This Row],[_LeafProgress]]&lt;1,N(Tasks[[#This Row],[_LeafTotalSlack]])&lt;=CriticalSlackDays)</f>
        <v>0</v>
      </c>
      <c r="FF94" s="43" t="n">
        <f aca="false">IF(AND(Tasks[[#This Row],[_IsLeaf]]=1,Tasks[[#This Row],[_ConstraintCode]]=1,Tasks[[#This Row],[Mode]]&lt;&gt;"Manual",N(Tasks[[#This Row],[Actual Start]])=0),MAX(0,N(Tasks[[#This Row],[Free Slack]])),0)</f>
        <v>0</v>
      </c>
      <c r="FG94" s="91" t="str">
        <f aca="false">IF(NOT(Tasks[[#This Row],[_IsLeaf]]=1),"",IF(Tasks[[#This Row],[_AlapShift]]=0,Tasks[[#This Row],[_LeafCalcStart]],WORKDAY.INTL(Tasks[[#This Row],[_LeafCalcStart]],Tasks[[#This Row],[_AlapShift]],WorkWeek,Holidays)))</f>
        <v/>
      </c>
      <c r="FH94" s="91" t="str">
        <f aca="false">IF(NOT(Tasks[[#This Row],[_IsLeaf]]=1),"",IF(Tasks[[#This Row],[_AlapShift]]=0,Tasks[[#This Row],[_LeafCalcFinish]],WORKDAY.INTL(Tasks[[#This Row],[_LeafCalcFinish]],Tasks[[#This Row],[_AlapShift]],WorkWeek,Holidays)))</f>
        <v/>
      </c>
      <c r="FI94" s="91" t="str">
        <f aca="false">IF(NOT(Tasks[[#This Row],[_IsLeaf]]=1),"",IF(Tasks[[#This Row],[_AlapShift]]=0,Tasks[[#This Row],[_LeafFcstStart]],WORKDAY.INTL(Tasks[[#This Row],[_LeafFcstStart]],Tasks[[#This Row],[_AlapShift]],WorkWeek,Holidays)))</f>
        <v/>
      </c>
      <c r="FJ94" s="91" t="str">
        <f aca="false">IF(NOT(Tasks[[#This Row],[_IsLeaf]]=1),"",IF(Tasks[[#This Row],[_AlapShift]]=0,Tasks[[#This Row],[_LeafFcstFinish]],WORKDAY.INTL(Tasks[[#This Row],[_LeafFcstFinish]],Tasks[[#This Row],[_AlapShift]],WorkWeek,Holidays)))</f>
        <v/>
      </c>
      <c r="FK94" s="91" t="str">
        <f aca="false">IF(Tasks[[#This Row],[Task Name]]="","",IF(Tasks[[#This Row],[_IsSummary]],MIN(INDEX(Tasks[_ShownCalcStart],Tasks[[#This Row],[_Row]]+1):INDEX(Tasks[_ShownCalcStart],Tasks[[#This Row],[_Row]]+Tasks[[#This Row],[_Descendants]])),Tasks[[#This Row],[_ShownCalcStart]]))</f>
        <v/>
      </c>
      <c r="FL94" s="91" t="str">
        <f aca="false">IF(Tasks[[#This Row],[Task Name]]="","",IF(Tasks[[#This Row],[_IsSummary]],MAX(INDEX(Tasks[_ShownCalcFinish],Tasks[[#This Row],[_Row]]+1):INDEX(Tasks[_ShownCalcFinish],Tasks[[#This Row],[_Row]]+Tasks[[#This Row],[_Descendants]])),Tasks[[#This Row],[_ShownCalcFinish]]))</f>
        <v/>
      </c>
      <c r="FM9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4" s="43" t="n">
        <f aca="false">IF(AND(Tasks[[#This Row],[_IsLeaf]]=1,Tasks[[#This Row],[_LeafTotalWork]]&gt;0),NETWORKDAYS.INTL(ProjectStart,Tasks[[#This Row],[_ShownFcstStart]],WorkWeek,Holidays),0)</f>
        <v>0</v>
      </c>
      <c r="FZ94" s="43" t="n">
        <f aca="false">IF(AND(Tasks[[#This Row],[_IsLeaf]]=1,Tasks[[#This Row],[_LeafTotalWork]]&gt;0),MAX(Tasks[[#This Row],[_StartWorkday]],NETWORKDAYS.INTL(ProjectStart,Tasks[[#This Row],[_ShownFcstFinish]],WorkWeek,Holidays)),0)</f>
        <v>0</v>
      </c>
      <c r="GA94" s="43" t="n">
        <f aca="false">IF(AND(Tasks[[#This Row],[_IsLeaf]]=1,Tasks[[#This Row],[_LeafTotalWork]]&gt;0),Tasks[[#This Row],[_LeafWork]]/(Tasks[[#This Row],[_FinishWorkday]]-Tasks[[#This Row],[_StartWorkday]]+1),0)</f>
        <v>0</v>
      </c>
      <c r="GB94" s="43" t="n">
        <f aca="false">Tasks[[#This Row],[_WorkPerWorkday]]*(Tasks[[#This Row],[_StartWorkday]]-1)</f>
        <v>-0</v>
      </c>
      <c r="GC94" s="43" t="n">
        <f aca="false">IF(Tasks[[#This Row],[_IsLeaf]]=1,MAX(N(Tasks[[#This Row],[_Days]]),0.1),0)</f>
        <v>0</v>
      </c>
      <c r="GD94" s="43" t="n">
        <f aca="false">Tasks[[#This Row],[_WeightDur]]*Tasks[[#This Row],[_LeafProgress]]</f>
        <v>0</v>
      </c>
      <c r="GE94" s="43" t="n">
        <f aca="false">Tasks[[#This Row],[_WeightDur]]*Tasks[[#This Row],[_PlannedPct]]</f>
        <v>0</v>
      </c>
      <c r="GF9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4" s="43" t="str">
        <f aca="false">IF(AND(Tasks[[#This Row],[_IsLeaf]]=1,N(Tasks[[#This Row],[_Days]])=0,Tasks[[#This Row],[_LeafProgress]]&lt;1),Tasks[[#This Row],[_ShownFcstFinish]]+Tasks[[#This Row],[_Row]]/100000,"")</f>
        <v/>
      </c>
      <c r="GH9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4" s="43" t="str">
        <f aca="false">IF(Tasks[[#This Row],[Task Name]]="","",LEFT(Tasks[[#This Row],[WBS]],FIND(".",Tasks[[#This Row],[WBS]]&amp;".")-1))</f>
        <v/>
      </c>
      <c r="GJ94" s="43" t="str">
        <f aca="false">IF(AND(Tasks[[#This Row],[Task Name]]&lt;&gt;"",Tasks[[#This Row],[_Level]]=1),Tasks[[#This Row],[_Row]],"")</f>
        <v/>
      </c>
      <c r="GK94" s="43" t="str">
        <f aca="false">IF(AND(Tasks[[#This Row],[_IsLeaf]]=1,N(Tasks[[#This Row],[_Days]])=0),Tasks[[#This Row],[Planned Finish]]+Tasks[[#This Row],[_Row]]/100000,"")</f>
        <v/>
      </c>
      <c r="GL94" s="43" t="str">
        <f aca="false">IF(AND(Tasks[[#This Row],[_IsLeaf]]=1,Tasks[[#This Row],[_LeafProgress]]&lt;1,OR(N(Tasks[[#This Row],[Finish Var]])&gt;0,Tasks[[#This Row],[Status]]="Late Start")),MAX(0,Tasks[[#This Row],[Finish Var]])+1-Tasks[[#This Row],[_Row]]/1000000,"")</f>
        <v/>
      </c>
      <c r="GM94" s="43" t="str">
        <f aca="false">IF(AND(Tasks[[#This Row],[_IsLeaf]]=1,N(Tasks[[#This Row],[Actual Start]])=0,Tasks[[#This Row],[_ShownFcstStart]]&gt;=StatusDate,Tasks[[#This Row],[_ShownFcstStart]]&lt;=LookaheadEnd),Tasks[[#This Row],[_ShownFcstStart]]+Tasks[[#This Row],[_Row]]/100000,"")</f>
        <v/>
      </c>
      <c r="GN94" s="43" t="str">
        <f aca="false">IF(AND(Tasks[[#This Row],[_IsLeaf]]=1,Tasks[[#This Row],[_LeafProgress]]&lt;1,Tasks[[#This Row],[_ShownFcstFinish]]&gt;=StatusDate,Tasks[[#This Row],[_ShownFcstFinish]]&lt;=LookaheadEnd),Tasks[[#This Row],[_ShownFcstFinish]]+Tasks[[#This Row],[_Row]]/100000,"")</f>
        <v/>
      </c>
      <c r="GO94" s="43" t="str">
        <f aca="false">IF(Tasks[[#This Row],[_LeafCritical]],Tasks[[#This Row],[_ShownFcstStart]]+Tasks[[#This Row],[_Row]]/100000,"")</f>
        <v/>
      </c>
      <c r="GP94" s="43" t="n">
        <f aca="false">Tasks[[#This Row],[_LeafWork]]*Tasks[[#This Row],[_LeafProgress]]</f>
        <v>0</v>
      </c>
      <c r="GQ94" s="91" t="str">
        <f aca="false">IF(AND(Tasks[[#This Row],[_IsLeaf]]=1,Tasks[[#This Row],[_LeafProgress]]&gt;=1),IF(N(Tasks[[#This Row],[Actual Finish]])&gt;0,Tasks[[#This Row],[Actual Finish]],Tasks[[#This Row],[_ShownFcstFinish]]),"")</f>
        <v/>
      </c>
      <c r="GR94" s="43" t="n">
        <f aca="false">IF(Tasks[[#This Row],[_IsLeaf]]=1,N(Tasks[[#This Row],[Story Points]]),0)</f>
        <v>0</v>
      </c>
      <c r="GS94" s="43" t="str">
        <f aca="false">""</f>
        <v/>
      </c>
      <c r="GT94" s="90" t="b">
        <f aca="false">IF(Tasks[[#This Row],[Task Name]]="",FALSE(),AND(Tasks[[#This Row],[_IsLeaf]]=1,N(Tasks[[#This Row],[_Days]])=0))</f>
        <v>0</v>
      </c>
      <c r="GU94" s="91" t="n">
        <f aca="false">IF(Tasks[[#This Row],[Task Name]]="",0,IF(AND(Tasks[[#This Row],[_IsLeaf]]=1,NOT(Tasks[[#This Row],[_IsMilestone]]),N(Tasks[[#This Row],[Progress]])&gt;0),Tasks[[#This Row],[Start]],0))</f>
        <v>0</v>
      </c>
      <c r="GV94" s="91" t="n">
        <f aca="false">IF(Tasks[[#This Row],[_DoneFrom]]=0,0,IF(Tasks[[#This Row],[Progress]]&gt;=1,Tasks[[#This Row],[Finish]],MAX(Tasks[[#This Row],[_DoneFrom]],Tasks[[#This Row],[Start]]+ROUND((Tasks[[#This Row],[Finish]]-Tasks[[#This Row],[Start]]+1)*Tasks[[#This Row],[Progress]],0)-1)))</f>
        <v>0</v>
      </c>
      <c r="GW94" s="91" t="n">
        <f aca="false">IF(Tasks[[#This Row],[Task Name]]="",0,IF(OR(NOT(Tasks[[#This Row],[_IsLeaf]]=1),Tasks[[#This Row],[_IsMilestone]],N(Tasks[[#This Row],[Progress]])&gt;=1),0,IF(Tasks[[#This Row],[_DoneTo]]&gt;0,Tasks[[#This Row],[_DoneTo]]+1,Tasks[[#This Row],[Start]])))</f>
        <v>0</v>
      </c>
      <c r="GX94" s="91" t="n">
        <f aca="false">IF(Tasks[[#This Row],[_RemFrom]]=0,0,Tasks[[#This Row],[Finish]])</f>
        <v>0</v>
      </c>
      <c r="GY94" s="90" t="b">
        <f aca="false">IF(Tasks[[#This Row],[Task Name]]="",FALSE(),OR(NOT(BaselineSet),N(Tasks[[#This Row],[Baseline Start]])&gt;0))</f>
        <v>0</v>
      </c>
      <c r="GZ9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4" s="92" t="str">
        <f aca="false">IF(Tasks[[#This Row],[_IsLeaf]]=1,Tasks[[#This Row],[_Row]],"")</f>
        <v/>
      </c>
      <c r="HD94" s="92" t="str">
        <f aca="false">IFERROR(INDEX(Tasks[UID],SMALL(Tasks[_PickKey],Tasks[[#This Row],[_Row]]))&amp;" "&amp;INDEX(Tasks[Task Name],SMALL(Tasks[_PickKey],Tasks[[#This Row],[_Row]])),"")</f>
        <v/>
      </c>
      <c r="HE94" s="43" t="str">
        <f aca="false">IF(Tasks[[#This Row],[Task Name]]="","",IF(Tasks[[#This Row],[_IsSummary]],NETWORKDAYS.INTL(Tasks[[#This Row],[Start]],Tasks[[#This Row],[Finish]],WorkWeek,Holidays),N(Tasks[[#This Row],[_Days]])))</f>
        <v/>
      </c>
      <c r="HF94" s="43" t="n">
        <f aca="false">IF(Tasks[[#This Row],[Expected]]="",0,((Tasks[[#This Row],[Pessimistic]]-Tasks[[#This Row],[Optimistic]])/6)^2)</f>
        <v>0</v>
      </c>
      <c r="HG94" s="43" t="n">
        <f aca="false">IF(Tasks[[#This Row],[Expected]]="",0,Tasks[[#This Row],[Expected]]-N(Tasks[[#This Row],[_Days]]))</f>
        <v>0</v>
      </c>
    </row>
    <row r="95" customFormat="false" ht="15" hidden="false" customHeight="false" outlineLevel="0" collapsed="false">
      <c r="A95" s="21" t="str">
        <f aca="false">IF(Tasks[[#This Row],[Task Name]]="","",COUNTA(Tasks[[#Headers],[Task Name]]:Tasks[[#This Row],[Task Name]])-1)</f>
        <v/>
      </c>
      <c r="B95" s="22" t="n">
        <v>103</v>
      </c>
      <c r="C95" s="22"/>
      <c r="D95" s="23"/>
      <c r="E95" s="22"/>
      <c r="F95" s="23"/>
      <c r="G95" s="22"/>
      <c r="H95" s="22"/>
      <c r="I95" s="23"/>
      <c r="J95" s="22"/>
      <c r="K95" s="22"/>
      <c r="L95" s="23"/>
      <c r="M95" s="22"/>
      <c r="N95" s="22"/>
      <c r="O95" s="23"/>
      <c r="P95" s="22"/>
      <c r="Q95" s="22"/>
      <c r="R95" s="23"/>
      <c r="S95" s="23"/>
      <c r="T95" s="84"/>
      <c r="U95" s="23"/>
      <c r="V95" s="84"/>
      <c r="W95" s="23"/>
      <c r="X95" s="84"/>
      <c r="Y95" s="23"/>
      <c r="Z95" s="84"/>
      <c r="AA95" s="23"/>
      <c r="AB95" s="23"/>
      <c r="AC95" s="7"/>
      <c r="AD95" s="7"/>
      <c r="AE95" s="63" t="str">
        <f aca="false">IF(Tasks[[#This Row],[Task Name]]="","",IF(Tasks[[#This Row],[_IsSummary]],MIN(INDEX(Tasks[_ShownFcstStart],Tasks[[#This Row],[_Row]]+1):INDEX(Tasks[_ShownFcstStart],Tasks[[#This Row],[_Row]]+Tasks[[#This Row],[_Descendants]])),Tasks[[#This Row],[_ShownFcstStart]]))</f>
        <v/>
      </c>
      <c r="AF95" s="63" t="str">
        <f aca="false">IF(Tasks[[#This Row],[Task Name]]="","",IF(Tasks[[#This Row],[_IsSummary]],MAX(INDEX(Tasks[_ShownFcstFinish],Tasks[[#This Row],[_Row]]+1):INDEX(Tasks[_ShownFcstFinish],Tasks[[#This Row],[_Row]]+Tasks[[#This Row],[_Descendants]])),Tasks[[#This Row],[_ShownFcstFinish]]))</f>
        <v/>
      </c>
      <c r="AG95" s="21" t="str">
        <f aca="false">""</f>
        <v/>
      </c>
      <c r="AH95" s="23"/>
      <c r="AI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5" s="7"/>
      <c r="AK95" s="22"/>
      <c r="AL95" s="23"/>
      <c r="AM95" s="7"/>
      <c r="AN95" s="47" t="str">
        <f aca="false">IF(Tasks[[#This Row],[Task Name]]="","",IF(Tasks[[#This Row],[Finish]]&gt;=Tasks[[#This Row],[Planned Finish]],NETWORKDAYS.INTL(Tasks[[#This Row],[Planned Finish]],Tasks[[#This Row],[Finish]],WorkWeek,Holidays)-1,1-NETWORKDAYS.INTL(Tasks[[#This Row],[Finish]],Tasks[[#This Row],[Planned Finish]],WorkWeek,Holidays)))</f>
        <v/>
      </c>
      <c r="AO95" s="21" t="str">
        <f aca="false">IF(Tasks[[#This Row],[Task Name]]="","",IF(Tasks[[#This Row],[Progress]]&gt;=1,"Complete",IF(OR(N(Tasks[[#This Row],[Actual Start]])&gt;0,Tasks[[#This Row],[Progress]]&gt;0),IF(Tasks[[#This Row],[Finish Var]]&gt;0,"Behind","In Progress"),IF(Tasks[[#This Row],[Planned Start]]&lt;StatusDate,"Late Start","Not Started"))))</f>
        <v/>
      </c>
      <c r="AP95" s="21" t="str">
        <f aca="false">IF(Tasks[[#This Row],[Task Name]]="","",IF(IF(Tasks[[#This Row],[_IsSummary]],COUNTIF(INDEX(Tasks[_LeafCritical],Tasks[[#This Row],[_Row]]+1):INDEX(Tasks[_LeafCritical],Tasks[[#This Row],[_Row]]+Tasks[[#This Row],[_Descendants]]),TRUE())&gt;0,Tasks[[#This Row],[_LeafCritical]]),"Yes",""))</f>
        <v/>
      </c>
      <c r="AQ95" s="63" t="str">
        <f aca="false">IF(Tasks[[#This Row],[Task Name]]="","",IF(N(Tasks[[#This Row],[Baseline Start]])&gt;0,Tasks[[#This Row],[Baseline Start]],Tasks[[#This Row],[_CalcStart]]))</f>
        <v/>
      </c>
      <c r="AR95" s="63" t="str">
        <f aca="false">IF(Tasks[[#This Row],[Task Name]]="","",IF(N(Tasks[[#This Row],[Baseline Finish]])&gt;0,Tasks[[#This Row],[Baseline Finish]],Tasks[[#This Row],[_CalcFinish]]))</f>
        <v/>
      </c>
      <c r="AS95" s="47" t="str">
        <f aca="false">IF(Tasks[[#This Row],[Task Name]]="","",IF(Tasks[[#This Row],[Start]]&gt;=Tasks[[#This Row],[Planned Start]],NETWORKDAYS.INTL(Tasks[[#This Row],[Planned Start]],Tasks[[#This Row],[Start]],WorkWeek,Holidays)-1,1-NETWORKDAYS.INTL(Tasks[[#This Row],[Start]],Tasks[[#This Row],[Planned Start]],WorkWeek,Holidays)))</f>
        <v/>
      </c>
      <c r="AT95" s="63" t="str">
        <f aca="false">IF(Tasks[[#This Row],[Task Name]]="","",IF(Tasks[[#This Row],[_IsSummary]],MIN(INDEX(Tasks[_LeafLateStart],Tasks[[#This Row],[_Row]]+1):INDEX(Tasks[_LeafLateStart],Tasks[[#This Row],[_Row]]+Tasks[[#This Row],[_Descendants]])),Tasks[[#This Row],[_LeafLateStart]]))</f>
        <v/>
      </c>
      <c r="AU95" s="63" t="str">
        <f aca="false">IF(Tasks[[#This Row],[Task Name]]="","",IF(Tasks[[#This Row],[_IsSummary]],MAX(INDEX(Tasks[_LeafLateFinish],Tasks[[#This Row],[_Row]]+1):INDEX(Tasks[_LeafLateFinish],Tasks[[#This Row],[_Row]]+Tasks[[#This Row],[_Descendants]])),Tasks[[#This Row],[_LeafLateFinish]]))</f>
        <v/>
      </c>
      <c r="AV95" s="47" t="str">
        <f aca="false">IF(Tasks[[#This Row],[Task Name]]="","",IF(Tasks[[#This Row],[_IsSummary]],MIN(INDEX(Tasks[_LeafTotalSlack],Tasks[[#This Row],[_Row]]+1):INDEX(Tasks[_LeafTotalSlack],Tasks[[#This Row],[_Row]]+Tasks[[#This Row],[_Descendants]])),Tasks[[#This Row],[_LeafTotalSlack]]))</f>
        <v/>
      </c>
      <c r="AW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5"/>
      <c r="BA9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1" t="str">
        <f aca="false">IF(Tasks[[#This Row],[Task Name]]="","",IF(Tasks[[#This Row],[_Level]]&lt;=OutlineShowLevel,"Yes","No"))</f>
        <v/>
      </c>
      <c r="BE95" s="86" t="str">
        <f aca="false">IF(Tasks[[#This Row],[Task Name]]="","",IF(Tasks[[#This Row],[_IsSummary]],SUM(INDEX(Tasks[_LeafTotalWork],Tasks[[#This Row],[_Row]]+1):INDEX(Tasks[_LeafTotalWork],Tasks[[#This Row],[_Row]]+Tasks[[#This Row],[_Descendants]])),Tasks[[#This Row],[_LeafTotalWork]]))</f>
        <v/>
      </c>
      <c r="BF95" s="23"/>
      <c r="BG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5" s="21" t="str">
        <f aca="false">""</f>
        <v/>
      </c>
      <c r="BI95" s="87"/>
      <c r="BJ95" s="22"/>
      <c r="BK95" s="47" t="str">
        <f aca="false">IF(OR(Tasks[[#This Row],[Task Name]]="",Tasks[[#This Row],[Baseline Duration]]=""),"",Tasks[[#This Row],[_SpanDays]]-N(Tasks[[#This Row],[Baseline Duration]]))</f>
        <v/>
      </c>
      <c r="BL95" s="86" t="str">
        <f aca="false">IF(OR(Tasks[[#This Row],[Task Name]]="",Tasks[[#This Row],[Baseline Work]]=""),"",Tasks[[#This Row],[Work]]-N(Tasks[[#This Row],[Baseline Work]]))</f>
        <v/>
      </c>
      <c r="BM95" s="63" t="str">
        <f aca="false">IF(Tasks[[#This Row],[Task Name]]="","",IF(OR(TakeBaseline="Yes",N(Tasks[[#This Row],[Baseline Start]])=0),Tasks[[#This Row],[Start]],Tasks[[#This Row],[Baseline Start]]))</f>
        <v/>
      </c>
      <c r="BN95" s="63" t="str">
        <f aca="false">IF(Tasks[[#This Row],[Task Name]]="","",IF(OR(TakeBaseline="Yes",N(Tasks[[#This Row],[Baseline Finish]])=0),Tasks[[#This Row],[Finish]],Tasks[[#This Row],[Baseline Finish]]))</f>
        <v/>
      </c>
      <c r="BO95" s="21" t="str">
        <f aca="false">IF(Tasks[[#This Row],[Task Name]]="","",IF(OR(TakeBaseline="Yes",N(Tasks[[#This Row],[Baseline Duration]])=0),Tasks[[#This Row],[_SpanDays]],Tasks[[#This Row],[Baseline Duration]]))</f>
        <v/>
      </c>
      <c r="BP95" s="86" t="str">
        <f aca="false">IF(Tasks[[#This Row],[Task Name]]="","",IF(OR(TakeBaseline="Yes",N(Tasks[[#This Row],[Baseline Work]])=0),Tasks[[#This Row],[Work]],Tasks[[#This Row],[Baseline Work]]))</f>
        <v/>
      </c>
      <c r="BQ95" s="7"/>
      <c r="BR95" s="7"/>
      <c r="BS95" s="22"/>
      <c r="BT95" s="88"/>
      <c r="BU95" s="23"/>
      <c r="BV95" s="23"/>
      <c r="BW95" s="23"/>
      <c r="BX95" s="89" t="str">
        <f aca="false">IF(AND(Tasks[[#This Row],[_IsLeaf]]=1,ISNUMBER(Tasks[[#This Row],[Optimistic]]),ISNUMBER(Tasks[[#This Row],[Pessimistic]])),ROUND((Tasks[[#This Row],[Optimistic]]+4*N(Tasks[[#This Row],[_Days]])+Tasks[[#This Row],[Pessimistic]])/6,1),"")</f>
        <v/>
      </c>
      <c r="BY95" s="87"/>
      <c r="BZ95" s="87"/>
      <c r="CA95" s="22"/>
      <c r="CB95" s="43" t="str">
        <f aca="false">IF(Tasks[[#This Row],[Task Name]]="","",MAX(1,N(Tasks[[#This Row],[Level]])))</f>
        <v/>
      </c>
      <c r="CC95" s="43" t="n">
        <f aca="false">ROW()-ROW(Tasks[[#Headers],[ID]])</f>
        <v>90</v>
      </c>
      <c r="CD95" s="43" t="n">
        <f aca="false">IF(OR(Tasks[[#This Row],[Task Name]]="",Tasks[[#This Row],[_Level]]&lt;=1),0,IFERROR(LOOKUP(2,1/(Tasks[[#Headers],[_Level]]:Tasks[[#This Row],[_Level]]=Tasks[[#This Row],[_Level]]-1),ROW(Tasks[[#Headers],[_Level]]:Tasks[[#This Row],[_Level]])),0))</f>
        <v>0</v>
      </c>
      <c r="CE95" s="43" t="n">
        <f aca="false">IFERROR(N(INDEX(Tasks[_Level],Tasks[[#This Row],[_Row]]+1)),0)</f>
        <v>0</v>
      </c>
      <c r="CF95" s="90" t="b">
        <f aca="false">AND(Tasks[[#This Row],[Task Name]]&lt;&gt;"",Tasks[[#This Row],[_NextLevel]]&gt;Tasks[[#This Row],[_Level]])</f>
        <v>0</v>
      </c>
      <c r="CG95" s="43" t="n">
        <f aca="false">IF(Tasks[[#This Row],[_IsSummary]],COUNTIF(Tasks[WBS],Tasks[[#This Row],[WBS]]&amp;".*"),0)</f>
        <v>0</v>
      </c>
      <c r="CH95" s="43" t="n">
        <f aca="false">IF(AND(Tasks[[#This Row],[Task Name]]&lt;&gt;"",NOT(Tasks[[#This Row],[_IsSummary]])),1,0)</f>
        <v>0</v>
      </c>
      <c r="CI95" s="43" t="n">
        <f aca="false">IF(N(Tasks[[#This Row],[_Pred1UID]])=0,0,IFERROR(MATCH(Tasks[[#This Row],[_Pred1UID]],Tasks[UID],0),-1))</f>
        <v>0</v>
      </c>
      <c r="CJ95" s="43" t="n">
        <f aca="false">IF(N(Tasks[[#This Row],[_Pred2UID]])=0,0,IFERROR(MATCH(Tasks[[#This Row],[_Pred2UID]],Tasks[UID],0),-1))</f>
        <v>0</v>
      </c>
      <c r="CK95" s="43" t="n">
        <f aca="false">IF(N(Tasks[[#This Row],[_Pred3UID]])=0,0,IFERROR(MATCH(Tasks[[#This Row],[_Pred3UID]],Tasks[UID],0),-1))</f>
        <v>0</v>
      </c>
      <c r="CL95" s="43" t="n">
        <f aca="false">IF(N(Tasks[[#This Row],[_Pred4UID]])=0,0,IFERROR(MATCH(Tasks[[#This Row],[_Pred4UID]],Tasks[UID],0),-1))</f>
        <v>0</v>
      </c>
      <c r="CM9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5" s="91" t="n">
        <f aca="false">IF(OR(Tasks[[#This Row],[_ConstraintCode]]=2,Tasks[[#This Row],[_ConstraintCode]]=3,Tasks[[#This Row],[_ConstraintCode]]=4,Tasks[[#This Row],[_ConstraintCode]]=6),Tasks[[#This Row],[_ConstraintStart]],0)</f>
        <v>0</v>
      </c>
      <c r="CP95" s="91" t="n">
        <f aca="false">IF(OR(Tasks[[#This Row],[_ConstraintCode]]=2,Tasks[[#This Row],[_ConstraintCode]]=3,Tasks[[#This Row],[_ConstraintCode]]=5,Tasks[[#This Row],[_ConstraintCode]]=7),Tasks[[#This Row],[_ConstraintStart]],2958465)</f>
        <v>2958465</v>
      </c>
      <c r="CQ9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5" s="91" t="str">
        <f aca="false">IF(NOT(Tasks[[#This Row],[_IsLeaf]]=1),"",IF(N(Tasks[[#This Row],[_Days]])&lt;=0,Tasks[[#This Row],[_LeafCalcStart]],WORKDAY.INTL(Tasks[[#This Row],[_LeafCalcStart]],Tasks[[#This Row],[_Days]]-1,WorkWeek,Holidays)))</f>
        <v/>
      </c>
      <c r="CS9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5" s="43" t="str">
        <f aca="false">IF(Tasks[[#This Row],[_Predecessors]]="","",TRIM(MID(SUBSTITUTE(SUBSTITUTE(SUBSTITUTE(UPPER(Tasks[[#This Row],[_Predecessors]]),";",",")," ",""),",",REPT(" ",99)),1,99)))</f>
        <v/>
      </c>
      <c r="CV95" s="43" t="str">
        <f aca="false">IF(Tasks[[#This Row],[_Pred1Text]]="","",IFERROR(VALUE(LEFT(Tasks[[#This Row],[_Pred1Text]],MIN(FIND("F",Tasks[[#This Row],[_Pred1Text]]&amp;"F"),FIND("S",Tasks[[#This Row],[_Pred1Text]]&amp;"S"),FIND("+",Tasks[[#This Row],[_Pred1Text]]&amp;"+"),FIND("-",Tasks[[#This Row],[_Pred1Text]]&amp;"-"))-1)),""))</f>
        <v/>
      </c>
      <c r="CW9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5" s="43" t="str">
        <f aca="false">IF(Tasks[[#This Row],[_Pred1Text]]="","",TRIM(MID(SUBSTITUTE(SUBSTITUTE(SUBSTITUTE(UPPER(Tasks[[#This Row],[_Predecessors]]),";",",")," ",""),",",REPT(" ",99)),100,99)))</f>
        <v/>
      </c>
      <c r="CZ95" s="43" t="str">
        <f aca="false">IF(Tasks[[#This Row],[_Pred2Text]]="","",IFERROR(VALUE(LEFT(Tasks[[#This Row],[_Pred2Text]],MIN(FIND("F",Tasks[[#This Row],[_Pred2Text]]&amp;"F"),FIND("S",Tasks[[#This Row],[_Pred2Text]]&amp;"S"),FIND("+",Tasks[[#This Row],[_Pred2Text]]&amp;"+"),FIND("-",Tasks[[#This Row],[_Pred2Text]]&amp;"-"))-1)),""))</f>
        <v/>
      </c>
      <c r="DA9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5" s="43" t="str">
        <f aca="false">IF(Tasks[[#This Row],[_Pred2Text]]="","",TRIM(MID(SUBSTITUTE(SUBSTITUTE(SUBSTITUTE(UPPER(Tasks[[#This Row],[_Predecessors]]),";",",")," ",""),",",REPT(" ",99)),199,99)))</f>
        <v/>
      </c>
      <c r="DD95" s="43" t="str">
        <f aca="false">IF(Tasks[[#This Row],[_Pred3Text]]="","",IFERROR(VALUE(LEFT(Tasks[[#This Row],[_Pred3Text]],MIN(FIND("F",Tasks[[#This Row],[_Pred3Text]]&amp;"F"),FIND("S",Tasks[[#This Row],[_Pred3Text]]&amp;"S"),FIND("+",Tasks[[#This Row],[_Pred3Text]]&amp;"+"),FIND("-",Tasks[[#This Row],[_Pred3Text]]&amp;"-"))-1)),""))</f>
        <v/>
      </c>
      <c r="DE9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5" s="43" t="str">
        <f aca="false">IF(Tasks[[#This Row],[_Pred3Text]]="","",TRIM(MID(SUBSTITUTE(SUBSTITUTE(SUBSTITUTE(UPPER(Tasks[[#This Row],[_Predecessors]]),";",",")," ",""),",",REPT(" ",99)),298,99)))</f>
        <v/>
      </c>
      <c r="DH95" s="43" t="str">
        <f aca="false">IF(Tasks[[#This Row],[_Pred4Text]]="","",IFERROR(VALUE(LEFT(Tasks[[#This Row],[_Pred4Text]],MIN(FIND("F",Tasks[[#This Row],[_Pred4Text]]&amp;"F"),FIND("S",Tasks[[#This Row],[_Pred4Text]]&amp;"S"),FIND("+",Tasks[[#This Row],[_Pred4Text]]&amp;"+"),FIND("-",Tasks[[#This Row],[_Pred4Text]]&amp;"-"))-1)),""))</f>
        <v/>
      </c>
      <c r="DI9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5" s="43" t="str">
        <f aca="false">IF(OR(Tasks[[#This Row],[Task Name]]="",Tasks[[#This Row],[_Resources]]=""),"",TRIM(MID(SUBSTITUTE(Tasks[[#This Row],[_Resources]],",",REPT(" ",99)),1,99)))</f>
        <v/>
      </c>
      <c r="DL95" s="43" t="str">
        <f aca="false">IF(Tasks[[#This Row],[_Res1Text]]="","",TRIM(MID(SUBSTITUTE(Tasks[[#This Row],[_Resources]],",",REPT(" ",99)),100,99)))</f>
        <v/>
      </c>
      <c r="DM95" s="43" t="str">
        <f aca="false">IF(Tasks[[#This Row],[_Res2Text]]="","",TRIM(MID(SUBSTITUTE(Tasks[[#This Row],[_Resources]],",",REPT(" ",99)),199,99)))</f>
        <v/>
      </c>
      <c r="DN95" s="43" t="str">
        <f aca="false">IF(Tasks[[#This Row],[_Res3Text]]="","",TRIM(MID(SUBSTITUTE(Tasks[[#This Row],[_Resources]],",",REPT(" ",99)),298,99)))</f>
        <v/>
      </c>
      <c r="DO95" s="43" t="n">
        <f aca="false">IF(Tasks[[#This Row],[_Res1Text]]="",0,IFERROR(MATCH(TRIM(LEFT(Tasks[[#This Row],[_Res1Text]],FIND("[",Tasks[[#This Row],[_Res1Text]]&amp;"[")-1)),res_Name,0),IFERROR(MATCH(TRIM(LEFT(Tasks[[#This Row],[_Res1Text]],FIND("[",Tasks[[#This Row],[_Res1Text]]&amp;"[")-1)),res_Initials,0),0)))</f>
        <v>0</v>
      </c>
      <c r="DP95" s="43" t="n">
        <f aca="false">IF(Tasks[[#This Row],[_Res2Text]]="",0,IFERROR(MATCH(TRIM(LEFT(Tasks[[#This Row],[_Res2Text]],FIND("[",Tasks[[#This Row],[_Res2Text]]&amp;"[")-1)),res_Name,0),IFERROR(MATCH(TRIM(LEFT(Tasks[[#This Row],[_Res2Text]],FIND("[",Tasks[[#This Row],[_Res2Text]]&amp;"[")-1)),res_Initials,0),0)))</f>
        <v>0</v>
      </c>
      <c r="DQ95" s="43" t="n">
        <f aca="false">IF(Tasks[[#This Row],[_Res3Text]]="",0,IFERROR(MATCH(TRIM(LEFT(Tasks[[#This Row],[_Res3Text]],FIND("[",Tasks[[#This Row],[_Res3Text]]&amp;"[")-1)),res_Name,0),IFERROR(MATCH(TRIM(LEFT(Tasks[[#This Row],[_Res3Text]],FIND("[",Tasks[[#This Row],[_Res3Text]]&amp;"[")-1)),res_Initials,0),0)))</f>
        <v>0</v>
      </c>
      <c r="DR95" s="43" t="n">
        <f aca="false">IF(Tasks[[#This Row],[_Res4Text]]="",0,IFERROR(MATCH(TRIM(LEFT(Tasks[[#This Row],[_Res4Text]],FIND("[",Tasks[[#This Row],[_Res4Text]]&amp;"[")-1)),res_Name,0),IFERROR(MATCH(TRIM(LEFT(Tasks[[#This Row],[_Res4Text]],FIND("[",Tasks[[#This Row],[_Res4Text]]&amp;"[")-1)),res_Initials,0),0)))</f>
        <v>0</v>
      </c>
      <c r="DS95" s="43" t="str">
        <f aca="false">IF(Tasks[[#This Row],[_Res1Text]]="","",IF(Tasks[[#This Row],[_Res1Row]]&gt;0,INDEX(res_Name,Tasks[[#This Row],[_Res1Row]]),TRIM(LEFT(Tasks[[#This Row],[_Res1Text]],FIND("[",Tasks[[#This Row],[_Res1Text]]&amp;"[")-1))))</f>
        <v/>
      </c>
      <c r="DT9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5" s="43" t="n">
        <f aca="false">IF(NOT(Tasks[[#This Row],[_IsLeaf]]=1),0,(Tasks[[#This Row],[_Resource1]]&lt;&gt;"")+(Tasks[[#This Row],[_Res2]]&lt;&gt;"")+(Tasks[[#This Row],[_Res3]]&lt;&gt;"")+(Tasks[[#This Row],[_Res4]]&lt;&gt;""))</f>
        <v>0</v>
      </c>
      <c r="DV95" s="43" t="str">
        <f aca="false">IF(Tasks[[#This Row],[_Res2Text]]="","",IF(Tasks[[#This Row],[_Res2Row]]&gt;0,INDEX(res_Name,Tasks[[#This Row],[_Res2Row]]),TRIM(LEFT(Tasks[[#This Row],[_Res2Text]],FIND("[",Tasks[[#This Row],[_Res2Text]]&amp;"[")-1))))</f>
        <v/>
      </c>
      <c r="DW9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5" s="43" t="n">
        <f aca="false">IF(OR(NOT(Tasks[[#This Row],[_IsLeaf]]=1),Tasks[[#This Row],[_Res2Row]]=0),0,N(Tasks[[#This Row],[_Days]])*HoursPerDay*IF(Tasks[[#This Row],[_Res2Units]]="",DefaultUnits,Tasks[[#This Row],[_Res2Units]]))</f>
        <v>0</v>
      </c>
      <c r="DY95" s="43" t="n">
        <f aca="false">IF(AND(AND(Tasks[[#This Row],[_IsLeaf]]=1,Tasks[[#This Row],[_LeafTotalWork]]&gt;0),Tasks[[#This Row],[_Res2Work]]&gt;0),Tasks[[#This Row],[_Res2Work]]/(Tasks[[#This Row],[_FinishWorkday]]-Tasks[[#This Row],[_StartWorkday]]+1),0)</f>
        <v>0</v>
      </c>
      <c r="DZ95" s="43" t="n">
        <f aca="false">Tasks[[#This Row],[_Res2WorkPerWD]]*MAX(0,Tasks[[#This Row],[_StartWorkday]]-1)</f>
        <v>0</v>
      </c>
      <c r="EA95" s="43" t="n">
        <f aca="false">Tasks[[#This Row],[_Res2Work]]*Tasks[[#This Row],[_LeafProgress]]</f>
        <v>0</v>
      </c>
      <c r="EB95" s="43" t="str">
        <f aca="false">IF(Tasks[[#This Row],[_Res3Text]]="","",IF(Tasks[[#This Row],[_Res3Row]]&gt;0,INDEX(res_Name,Tasks[[#This Row],[_Res3Row]]),TRIM(LEFT(Tasks[[#This Row],[_Res3Text]],FIND("[",Tasks[[#This Row],[_Res3Text]]&amp;"[")-1))))</f>
        <v/>
      </c>
      <c r="EC9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5" s="43" t="n">
        <f aca="false">IF(OR(NOT(Tasks[[#This Row],[_IsLeaf]]=1),Tasks[[#This Row],[_Res3Row]]=0),0,N(Tasks[[#This Row],[_Days]])*HoursPerDay*IF(Tasks[[#This Row],[_Res3Units]]="",DefaultUnits,Tasks[[#This Row],[_Res3Units]]))</f>
        <v>0</v>
      </c>
      <c r="EE95" s="43" t="n">
        <f aca="false">IF(AND(AND(Tasks[[#This Row],[_IsLeaf]]=1,Tasks[[#This Row],[_LeafTotalWork]]&gt;0),Tasks[[#This Row],[_Res3Work]]&gt;0),Tasks[[#This Row],[_Res3Work]]/(Tasks[[#This Row],[_FinishWorkday]]-Tasks[[#This Row],[_StartWorkday]]+1),0)</f>
        <v>0</v>
      </c>
      <c r="EF95" s="43" t="n">
        <f aca="false">Tasks[[#This Row],[_Res3WorkPerWD]]*MAX(0,Tasks[[#This Row],[_StartWorkday]]-1)</f>
        <v>0</v>
      </c>
      <c r="EG95" s="43" t="n">
        <f aca="false">Tasks[[#This Row],[_Res3Work]]*Tasks[[#This Row],[_LeafProgress]]</f>
        <v>0</v>
      </c>
      <c r="EH95" s="43" t="str">
        <f aca="false">IF(Tasks[[#This Row],[_Res4Text]]="","",IF(Tasks[[#This Row],[_Res4Row]]&gt;0,INDEX(res_Name,Tasks[[#This Row],[_Res4Row]]),TRIM(LEFT(Tasks[[#This Row],[_Res4Text]],FIND("[",Tasks[[#This Row],[_Res4Text]]&amp;"[")-1))))</f>
        <v/>
      </c>
      <c r="EI9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5" s="43" t="n">
        <f aca="false">IF(OR(NOT(Tasks[[#This Row],[_IsLeaf]]=1),Tasks[[#This Row],[_Res4Row]]=0),0,N(Tasks[[#This Row],[_Days]])*HoursPerDay*IF(Tasks[[#This Row],[_Res4Units]]="",DefaultUnits,Tasks[[#This Row],[_Res4Units]]))</f>
        <v>0</v>
      </c>
      <c r="EK95" s="43" t="n">
        <f aca="false">IF(AND(AND(Tasks[[#This Row],[_IsLeaf]]=1,Tasks[[#This Row],[_LeafTotalWork]]&gt;0),Tasks[[#This Row],[_Res4Work]]&gt;0),Tasks[[#This Row],[_Res4Work]]/(Tasks[[#This Row],[_FinishWorkday]]-Tasks[[#This Row],[_StartWorkday]]+1),0)</f>
        <v>0</v>
      </c>
      <c r="EL95" s="43" t="n">
        <f aca="false">Tasks[[#This Row],[_Res4WorkPerWD]]*MAX(0,Tasks[[#This Row],[_StartWorkday]]-1)</f>
        <v>0</v>
      </c>
      <c r="EM95" s="43" t="n">
        <f aca="false">Tasks[[#This Row],[_Res4Work]]*Tasks[[#This Row],[_LeafProgress]]</f>
        <v>0</v>
      </c>
      <c r="EN95" s="43" t="n">
        <f aca="false">IF(ISNUMBER(Tasks[[#This Row],[% Complete]]),Tasks[[#This Row],[% Complete]],IF(Tasks[[#This Row],[Stage]]="",0,IFERROR(INDEX(stg_Pct,MATCH(Tasks[[#This Row],[Stage]],stg_Name,0)),0)))</f>
        <v>0</v>
      </c>
      <c r="EO95" s="43" t="n">
        <f aca="false">IF(NOT(Tasks[[#This Row],[_IsLeaf]]=1),0,IF(N(Tasks[[#This Row],[Actual Finish]])&gt;0,1,MIN(1,Tasks[[#This Row],[_Pct]])))</f>
        <v>0</v>
      </c>
      <c r="EP95" s="43" t="n">
        <f aca="false">IF(OR(NOT(Tasks[[#This Row],[_IsLeaf]]=1),Tasks[[#This Row],[_Res1Row]]=0),0,N(Tasks[[#This Row],[_Days]])*HoursPerDay*IF(Tasks[[#This Row],[_Units1]]="",DefaultUnits,Tasks[[#This Row],[_Units1]]))</f>
        <v>0</v>
      </c>
      <c r="EQ95" s="43" t="n">
        <f aca="false">Tasks[[#This Row],[_LeafWork]]+Tasks[[#This Row],[_Res2Work]]+Tasks[[#This Row],[_Res3Work]]+Tasks[[#This Row],[_Res4Work]]</f>
        <v>0</v>
      </c>
      <c r="ER9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5" s="43" t="n">
        <f aca="false">IF(NOT(Tasks[[#This Row],[_IsLeaf]]=1),0,MAX(_xlfn.MAXIFS(Tasks[_Row],Tasks[_Pred1UID],Tasks[[#This Row],[UID]]),_xlfn.MAXIFS(Tasks[_Row],Tasks[_Pred2UID],Tasks[[#This Row],[UID]]),_xlfn.MAXIFS(Tasks[_Row],Tasks[_Pred3UID],Tasks[[#This Row],[UID]]),_xlfn.MAXIFS(Tasks[_Row],Tasks[_Pred4UID],Tasks[[#This Row],[UID]])))</f>
        <v>0</v>
      </c>
      <c r="FA9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5" s="91" t="str">
        <f aca="false">IF(NOT(Tasks[[#This Row],[_IsLeaf]]=1),"",IF(N(Tasks[[#This Row],[_Days]])&lt;=0,Tasks[[#This Row],[_LeafLateFinish]],WORKDAY.INTL(Tasks[[#This Row],[_LeafLateFinish]],-(Tasks[[#This Row],[_Days]]-1),WorkWeek,Holidays)))</f>
        <v/>
      </c>
      <c r="FD9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5" s="90" t="b">
        <f aca="false">AND(Tasks[[#This Row],[_IsLeaf]]=1,Tasks[[#This Row],[_LeafProgress]]&lt;1,N(Tasks[[#This Row],[_LeafTotalSlack]])&lt;=CriticalSlackDays)</f>
        <v>0</v>
      </c>
      <c r="FF95" s="43" t="n">
        <f aca="false">IF(AND(Tasks[[#This Row],[_IsLeaf]]=1,Tasks[[#This Row],[_ConstraintCode]]=1,Tasks[[#This Row],[Mode]]&lt;&gt;"Manual",N(Tasks[[#This Row],[Actual Start]])=0),MAX(0,N(Tasks[[#This Row],[Free Slack]])),0)</f>
        <v>0</v>
      </c>
      <c r="FG95" s="91" t="str">
        <f aca="false">IF(NOT(Tasks[[#This Row],[_IsLeaf]]=1),"",IF(Tasks[[#This Row],[_AlapShift]]=0,Tasks[[#This Row],[_LeafCalcStart]],WORKDAY.INTL(Tasks[[#This Row],[_LeafCalcStart]],Tasks[[#This Row],[_AlapShift]],WorkWeek,Holidays)))</f>
        <v/>
      </c>
      <c r="FH95" s="91" t="str">
        <f aca="false">IF(NOT(Tasks[[#This Row],[_IsLeaf]]=1),"",IF(Tasks[[#This Row],[_AlapShift]]=0,Tasks[[#This Row],[_LeafCalcFinish]],WORKDAY.INTL(Tasks[[#This Row],[_LeafCalcFinish]],Tasks[[#This Row],[_AlapShift]],WorkWeek,Holidays)))</f>
        <v/>
      </c>
      <c r="FI95" s="91" t="str">
        <f aca="false">IF(NOT(Tasks[[#This Row],[_IsLeaf]]=1),"",IF(Tasks[[#This Row],[_AlapShift]]=0,Tasks[[#This Row],[_LeafFcstStart]],WORKDAY.INTL(Tasks[[#This Row],[_LeafFcstStart]],Tasks[[#This Row],[_AlapShift]],WorkWeek,Holidays)))</f>
        <v/>
      </c>
      <c r="FJ95" s="91" t="str">
        <f aca="false">IF(NOT(Tasks[[#This Row],[_IsLeaf]]=1),"",IF(Tasks[[#This Row],[_AlapShift]]=0,Tasks[[#This Row],[_LeafFcstFinish]],WORKDAY.INTL(Tasks[[#This Row],[_LeafFcstFinish]],Tasks[[#This Row],[_AlapShift]],WorkWeek,Holidays)))</f>
        <v/>
      </c>
      <c r="FK95" s="91" t="str">
        <f aca="false">IF(Tasks[[#This Row],[Task Name]]="","",IF(Tasks[[#This Row],[_IsSummary]],MIN(INDEX(Tasks[_ShownCalcStart],Tasks[[#This Row],[_Row]]+1):INDEX(Tasks[_ShownCalcStart],Tasks[[#This Row],[_Row]]+Tasks[[#This Row],[_Descendants]])),Tasks[[#This Row],[_ShownCalcStart]]))</f>
        <v/>
      </c>
      <c r="FL95" s="91" t="str">
        <f aca="false">IF(Tasks[[#This Row],[Task Name]]="","",IF(Tasks[[#This Row],[_IsSummary]],MAX(INDEX(Tasks[_ShownCalcFinish],Tasks[[#This Row],[_Row]]+1):INDEX(Tasks[_ShownCalcFinish],Tasks[[#This Row],[_Row]]+Tasks[[#This Row],[_Descendants]])),Tasks[[#This Row],[_ShownCalcFinish]]))</f>
        <v/>
      </c>
      <c r="FM9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5" s="43" t="n">
        <f aca="false">IF(AND(Tasks[[#This Row],[_IsLeaf]]=1,Tasks[[#This Row],[_LeafTotalWork]]&gt;0),NETWORKDAYS.INTL(ProjectStart,Tasks[[#This Row],[_ShownFcstStart]],WorkWeek,Holidays),0)</f>
        <v>0</v>
      </c>
      <c r="FZ95" s="43" t="n">
        <f aca="false">IF(AND(Tasks[[#This Row],[_IsLeaf]]=1,Tasks[[#This Row],[_LeafTotalWork]]&gt;0),MAX(Tasks[[#This Row],[_StartWorkday]],NETWORKDAYS.INTL(ProjectStart,Tasks[[#This Row],[_ShownFcstFinish]],WorkWeek,Holidays)),0)</f>
        <v>0</v>
      </c>
      <c r="GA95" s="43" t="n">
        <f aca="false">IF(AND(Tasks[[#This Row],[_IsLeaf]]=1,Tasks[[#This Row],[_LeafTotalWork]]&gt;0),Tasks[[#This Row],[_LeafWork]]/(Tasks[[#This Row],[_FinishWorkday]]-Tasks[[#This Row],[_StartWorkday]]+1),0)</f>
        <v>0</v>
      </c>
      <c r="GB95" s="43" t="n">
        <f aca="false">Tasks[[#This Row],[_WorkPerWorkday]]*(Tasks[[#This Row],[_StartWorkday]]-1)</f>
        <v>-0</v>
      </c>
      <c r="GC95" s="43" t="n">
        <f aca="false">IF(Tasks[[#This Row],[_IsLeaf]]=1,MAX(N(Tasks[[#This Row],[_Days]]),0.1),0)</f>
        <v>0</v>
      </c>
      <c r="GD95" s="43" t="n">
        <f aca="false">Tasks[[#This Row],[_WeightDur]]*Tasks[[#This Row],[_LeafProgress]]</f>
        <v>0</v>
      </c>
      <c r="GE95" s="43" t="n">
        <f aca="false">Tasks[[#This Row],[_WeightDur]]*Tasks[[#This Row],[_PlannedPct]]</f>
        <v>0</v>
      </c>
      <c r="GF9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5" s="43" t="str">
        <f aca="false">IF(AND(Tasks[[#This Row],[_IsLeaf]]=1,N(Tasks[[#This Row],[_Days]])=0,Tasks[[#This Row],[_LeafProgress]]&lt;1),Tasks[[#This Row],[_ShownFcstFinish]]+Tasks[[#This Row],[_Row]]/100000,"")</f>
        <v/>
      </c>
      <c r="GH9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5" s="43" t="str">
        <f aca="false">IF(Tasks[[#This Row],[Task Name]]="","",LEFT(Tasks[[#This Row],[WBS]],FIND(".",Tasks[[#This Row],[WBS]]&amp;".")-1))</f>
        <v/>
      </c>
      <c r="GJ95" s="43" t="str">
        <f aca="false">IF(AND(Tasks[[#This Row],[Task Name]]&lt;&gt;"",Tasks[[#This Row],[_Level]]=1),Tasks[[#This Row],[_Row]],"")</f>
        <v/>
      </c>
      <c r="GK95" s="43" t="str">
        <f aca="false">IF(AND(Tasks[[#This Row],[_IsLeaf]]=1,N(Tasks[[#This Row],[_Days]])=0),Tasks[[#This Row],[Planned Finish]]+Tasks[[#This Row],[_Row]]/100000,"")</f>
        <v/>
      </c>
      <c r="GL95" s="43" t="str">
        <f aca="false">IF(AND(Tasks[[#This Row],[_IsLeaf]]=1,Tasks[[#This Row],[_LeafProgress]]&lt;1,OR(N(Tasks[[#This Row],[Finish Var]])&gt;0,Tasks[[#This Row],[Status]]="Late Start")),MAX(0,Tasks[[#This Row],[Finish Var]])+1-Tasks[[#This Row],[_Row]]/1000000,"")</f>
        <v/>
      </c>
      <c r="GM95" s="43" t="str">
        <f aca="false">IF(AND(Tasks[[#This Row],[_IsLeaf]]=1,N(Tasks[[#This Row],[Actual Start]])=0,Tasks[[#This Row],[_ShownFcstStart]]&gt;=StatusDate,Tasks[[#This Row],[_ShownFcstStart]]&lt;=LookaheadEnd),Tasks[[#This Row],[_ShownFcstStart]]+Tasks[[#This Row],[_Row]]/100000,"")</f>
        <v/>
      </c>
      <c r="GN95" s="43" t="str">
        <f aca="false">IF(AND(Tasks[[#This Row],[_IsLeaf]]=1,Tasks[[#This Row],[_LeafProgress]]&lt;1,Tasks[[#This Row],[_ShownFcstFinish]]&gt;=StatusDate,Tasks[[#This Row],[_ShownFcstFinish]]&lt;=LookaheadEnd),Tasks[[#This Row],[_ShownFcstFinish]]+Tasks[[#This Row],[_Row]]/100000,"")</f>
        <v/>
      </c>
      <c r="GO95" s="43" t="str">
        <f aca="false">IF(Tasks[[#This Row],[_LeafCritical]],Tasks[[#This Row],[_ShownFcstStart]]+Tasks[[#This Row],[_Row]]/100000,"")</f>
        <v/>
      </c>
      <c r="GP95" s="43" t="n">
        <f aca="false">Tasks[[#This Row],[_LeafWork]]*Tasks[[#This Row],[_LeafProgress]]</f>
        <v>0</v>
      </c>
      <c r="GQ95" s="91" t="str">
        <f aca="false">IF(AND(Tasks[[#This Row],[_IsLeaf]]=1,Tasks[[#This Row],[_LeafProgress]]&gt;=1),IF(N(Tasks[[#This Row],[Actual Finish]])&gt;0,Tasks[[#This Row],[Actual Finish]],Tasks[[#This Row],[_ShownFcstFinish]]),"")</f>
        <v/>
      </c>
      <c r="GR95" s="43" t="n">
        <f aca="false">IF(Tasks[[#This Row],[_IsLeaf]]=1,N(Tasks[[#This Row],[Story Points]]),0)</f>
        <v>0</v>
      </c>
      <c r="GS95" s="43" t="str">
        <f aca="false">""</f>
        <v/>
      </c>
      <c r="GT95" s="90" t="b">
        <f aca="false">IF(Tasks[[#This Row],[Task Name]]="",FALSE(),AND(Tasks[[#This Row],[_IsLeaf]]=1,N(Tasks[[#This Row],[_Days]])=0))</f>
        <v>0</v>
      </c>
      <c r="GU95" s="91" t="n">
        <f aca="false">IF(Tasks[[#This Row],[Task Name]]="",0,IF(AND(Tasks[[#This Row],[_IsLeaf]]=1,NOT(Tasks[[#This Row],[_IsMilestone]]),N(Tasks[[#This Row],[Progress]])&gt;0),Tasks[[#This Row],[Start]],0))</f>
        <v>0</v>
      </c>
      <c r="GV95" s="91" t="n">
        <f aca="false">IF(Tasks[[#This Row],[_DoneFrom]]=0,0,IF(Tasks[[#This Row],[Progress]]&gt;=1,Tasks[[#This Row],[Finish]],MAX(Tasks[[#This Row],[_DoneFrom]],Tasks[[#This Row],[Start]]+ROUND((Tasks[[#This Row],[Finish]]-Tasks[[#This Row],[Start]]+1)*Tasks[[#This Row],[Progress]],0)-1)))</f>
        <v>0</v>
      </c>
      <c r="GW95" s="91" t="n">
        <f aca="false">IF(Tasks[[#This Row],[Task Name]]="",0,IF(OR(NOT(Tasks[[#This Row],[_IsLeaf]]=1),Tasks[[#This Row],[_IsMilestone]],N(Tasks[[#This Row],[Progress]])&gt;=1),0,IF(Tasks[[#This Row],[_DoneTo]]&gt;0,Tasks[[#This Row],[_DoneTo]]+1,Tasks[[#This Row],[Start]])))</f>
        <v>0</v>
      </c>
      <c r="GX95" s="91" t="n">
        <f aca="false">IF(Tasks[[#This Row],[_RemFrom]]=0,0,Tasks[[#This Row],[Finish]])</f>
        <v>0</v>
      </c>
      <c r="GY95" s="90" t="b">
        <f aca="false">IF(Tasks[[#This Row],[Task Name]]="",FALSE(),OR(NOT(BaselineSet),N(Tasks[[#This Row],[Baseline Start]])&gt;0))</f>
        <v>0</v>
      </c>
      <c r="GZ9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5" s="92" t="str">
        <f aca="false">IF(Tasks[[#This Row],[_IsLeaf]]=1,Tasks[[#This Row],[_Row]],"")</f>
        <v/>
      </c>
      <c r="HD95" s="92" t="str">
        <f aca="false">IFERROR(INDEX(Tasks[UID],SMALL(Tasks[_PickKey],Tasks[[#This Row],[_Row]]))&amp;" "&amp;INDEX(Tasks[Task Name],SMALL(Tasks[_PickKey],Tasks[[#This Row],[_Row]])),"")</f>
        <v/>
      </c>
      <c r="HE95" s="43" t="str">
        <f aca="false">IF(Tasks[[#This Row],[Task Name]]="","",IF(Tasks[[#This Row],[_IsSummary]],NETWORKDAYS.INTL(Tasks[[#This Row],[Start]],Tasks[[#This Row],[Finish]],WorkWeek,Holidays),N(Tasks[[#This Row],[_Days]])))</f>
        <v/>
      </c>
      <c r="HF95" s="43" t="n">
        <f aca="false">IF(Tasks[[#This Row],[Expected]]="",0,((Tasks[[#This Row],[Pessimistic]]-Tasks[[#This Row],[Optimistic]])/6)^2)</f>
        <v>0</v>
      </c>
      <c r="HG95" s="43" t="n">
        <f aca="false">IF(Tasks[[#This Row],[Expected]]="",0,Tasks[[#This Row],[Expected]]-N(Tasks[[#This Row],[_Days]]))</f>
        <v>0</v>
      </c>
    </row>
    <row r="96" customFormat="false" ht="15" hidden="false" customHeight="false" outlineLevel="0" collapsed="false">
      <c r="A96" s="21" t="str">
        <f aca="false">IF(Tasks[[#This Row],[Task Name]]="","",COUNTA(Tasks[[#Headers],[Task Name]]:Tasks[[#This Row],[Task Name]])-1)</f>
        <v/>
      </c>
      <c r="B96" s="22" t="n">
        <v>104</v>
      </c>
      <c r="C96" s="22"/>
      <c r="D96" s="23"/>
      <c r="E96" s="22"/>
      <c r="F96" s="23"/>
      <c r="G96" s="22"/>
      <c r="H96" s="22"/>
      <c r="I96" s="23"/>
      <c r="J96" s="22"/>
      <c r="K96" s="22"/>
      <c r="L96" s="23"/>
      <c r="M96" s="22"/>
      <c r="N96" s="22"/>
      <c r="O96" s="23"/>
      <c r="P96" s="22"/>
      <c r="Q96" s="22"/>
      <c r="R96" s="23"/>
      <c r="S96" s="23"/>
      <c r="T96" s="84"/>
      <c r="U96" s="23"/>
      <c r="V96" s="84"/>
      <c r="W96" s="23"/>
      <c r="X96" s="84"/>
      <c r="Y96" s="23"/>
      <c r="Z96" s="84"/>
      <c r="AA96" s="23"/>
      <c r="AB96" s="23"/>
      <c r="AC96" s="7"/>
      <c r="AD96" s="7"/>
      <c r="AE96" s="63" t="str">
        <f aca="false">IF(Tasks[[#This Row],[Task Name]]="","",IF(Tasks[[#This Row],[_IsSummary]],MIN(INDEX(Tasks[_ShownFcstStart],Tasks[[#This Row],[_Row]]+1):INDEX(Tasks[_ShownFcstStart],Tasks[[#This Row],[_Row]]+Tasks[[#This Row],[_Descendants]])),Tasks[[#This Row],[_ShownFcstStart]]))</f>
        <v/>
      </c>
      <c r="AF96" s="63" t="str">
        <f aca="false">IF(Tasks[[#This Row],[Task Name]]="","",IF(Tasks[[#This Row],[_IsSummary]],MAX(INDEX(Tasks[_ShownFcstFinish],Tasks[[#This Row],[_Row]]+1):INDEX(Tasks[_ShownFcstFinish],Tasks[[#This Row],[_Row]]+Tasks[[#This Row],[_Descendants]])),Tasks[[#This Row],[_ShownFcstFinish]]))</f>
        <v/>
      </c>
      <c r="AG96" s="21" t="str">
        <f aca="false">""</f>
        <v/>
      </c>
      <c r="AH96" s="23"/>
      <c r="AI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6" s="7"/>
      <c r="AK96" s="22"/>
      <c r="AL96" s="23"/>
      <c r="AM96" s="7"/>
      <c r="AN96" s="47" t="str">
        <f aca="false">IF(Tasks[[#This Row],[Task Name]]="","",IF(Tasks[[#This Row],[Finish]]&gt;=Tasks[[#This Row],[Planned Finish]],NETWORKDAYS.INTL(Tasks[[#This Row],[Planned Finish]],Tasks[[#This Row],[Finish]],WorkWeek,Holidays)-1,1-NETWORKDAYS.INTL(Tasks[[#This Row],[Finish]],Tasks[[#This Row],[Planned Finish]],WorkWeek,Holidays)))</f>
        <v/>
      </c>
      <c r="AO96" s="21" t="str">
        <f aca="false">IF(Tasks[[#This Row],[Task Name]]="","",IF(Tasks[[#This Row],[Progress]]&gt;=1,"Complete",IF(OR(N(Tasks[[#This Row],[Actual Start]])&gt;0,Tasks[[#This Row],[Progress]]&gt;0),IF(Tasks[[#This Row],[Finish Var]]&gt;0,"Behind","In Progress"),IF(Tasks[[#This Row],[Planned Start]]&lt;StatusDate,"Late Start","Not Started"))))</f>
        <v/>
      </c>
      <c r="AP96" s="21" t="str">
        <f aca="false">IF(Tasks[[#This Row],[Task Name]]="","",IF(IF(Tasks[[#This Row],[_IsSummary]],COUNTIF(INDEX(Tasks[_LeafCritical],Tasks[[#This Row],[_Row]]+1):INDEX(Tasks[_LeafCritical],Tasks[[#This Row],[_Row]]+Tasks[[#This Row],[_Descendants]]),TRUE())&gt;0,Tasks[[#This Row],[_LeafCritical]]),"Yes",""))</f>
        <v/>
      </c>
      <c r="AQ96" s="63" t="str">
        <f aca="false">IF(Tasks[[#This Row],[Task Name]]="","",IF(N(Tasks[[#This Row],[Baseline Start]])&gt;0,Tasks[[#This Row],[Baseline Start]],Tasks[[#This Row],[_CalcStart]]))</f>
        <v/>
      </c>
      <c r="AR96" s="63" t="str">
        <f aca="false">IF(Tasks[[#This Row],[Task Name]]="","",IF(N(Tasks[[#This Row],[Baseline Finish]])&gt;0,Tasks[[#This Row],[Baseline Finish]],Tasks[[#This Row],[_CalcFinish]]))</f>
        <v/>
      </c>
      <c r="AS96" s="47" t="str">
        <f aca="false">IF(Tasks[[#This Row],[Task Name]]="","",IF(Tasks[[#This Row],[Start]]&gt;=Tasks[[#This Row],[Planned Start]],NETWORKDAYS.INTL(Tasks[[#This Row],[Planned Start]],Tasks[[#This Row],[Start]],WorkWeek,Holidays)-1,1-NETWORKDAYS.INTL(Tasks[[#This Row],[Start]],Tasks[[#This Row],[Planned Start]],WorkWeek,Holidays)))</f>
        <v/>
      </c>
      <c r="AT96" s="63" t="str">
        <f aca="false">IF(Tasks[[#This Row],[Task Name]]="","",IF(Tasks[[#This Row],[_IsSummary]],MIN(INDEX(Tasks[_LeafLateStart],Tasks[[#This Row],[_Row]]+1):INDEX(Tasks[_LeafLateStart],Tasks[[#This Row],[_Row]]+Tasks[[#This Row],[_Descendants]])),Tasks[[#This Row],[_LeafLateStart]]))</f>
        <v/>
      </c>
      <c r="AU96" s="63" t="str">
        <f aca="false">IF(Tasks[[#This Row],[Task Name]]="","",IF(Tasks[[#This Row],[_IsSummary]],MAX(INDEX(Tasks[_LeafLateFinish],Tasks[[#This Row],[_Row]]+1):INDEX(Tasks[_LeafLateFinish],Tasks[[#This Row],[_Row]]+Tasks[[#This Row],[_Descendants]])),Tasks[[#This Row],[_LeafLateFinish]]))</f>
        <v/>
      </c>
      <c r="AV96" s="47" t="str">
        <f aca="false">IF(Tasks[[#This Row],[Task Name]]="","",IF(Tasks[[#This Row],[_IsSummary]],MIN(INDEX(Tasks[_LeafTotalSlack],Tasks[[#This Row],[_Row]]+1):INDEX(Tasks[_LeafTotalSlack],Tasks[[#This Row],[_Row]]+Tasks[[#This Row],[_Descendants]])),Tasks[[#This Row],[_LeafTotalSlack]]))</f>
        <v/>
      </c>
      <c r="AW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5"/>
      <c r="BA9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1" t="str">
        <f aca="false">IF(Tasks[[#This Row],[Task Name]]="","",IF(Tasks[[#This Row],[_Level]]&lt;=OutlineShowLevel,"Yes","No"))</f>
        <v/>
      </c>
      <c r="BE96" s="86" t="str">
        <f aca="false">IF(Tasks[[#This Row],[Task Name]]="","",IF(Tasks[[#This Row],[_IsSummary]],SUM(INDEX(Tasks[_LeafTotalWork],Tasks[[#This Row],[_Row]]+1):INDEX(Tasks[_LeafTotalWork],Tasks[[#This Row],[_Row]]+Tasks[[#This Row],[_Descendants]])),Tasks[[#This Row],[_LeafTotalWork]]))</f>
        <v/>
      </c>
      <c r="BF96" s="23"/>
      <c r="BG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6" s="21" t="str">
        <f aca="false">""</f>
        <v/>
      </c>
      <c r="BI96" s="87"/>
      <c r="BJ96" s="22"/>
      <c r="BK96" s="47" t="str">
        <f aca="false">IF(OR(Tasks[[#This Row],[Task Name]]="",Tasks[[#This Row],[Baseline Duration]]=""),"",Tasks[[#This Row],[_SpanDays]]-N(Tasks[[#This Row],[Baseline Duration]]))</f>
        <v/>
      </c>
      <c r="BL96" s="86" t="str">
        <f aca="false">IF(OR(Tasks[[#This Row],[Task Name]]="",Tasks[[#This Row],[Baseline Work]]=""),"",Tasks[[#This Row],[Work]]-N(Tasks[[#This Row],[Baseline Work]]))</f>
        <v/>
      </c>
      <c r="BM96" s="63" t="str">
        <f aca="false">IF(Tasks[[#This Row],[Task Name]]="","",IF(OR(TakeBaseline="Yes",N(Tasks[[#This Row],[Baseline Start]])=0),Tasks[[#This Row],[Start]],Tasks[[#This Row],[Baseline Start]]))</f>
        <v/>
      </c>
      <c r="BN96" s="63" t="str">
        <f aca="false">IF(Tasks[[#This Row],[Task Name]]="","",IF(OR(TakeBaseline="Yes",N(Tasks[[#This Row],[Baseline Finish]])=0),Tasks[[#This Row],[Finish]],Tasks[[#This Row],[Baseline Finish]]))</f>
        <v/>
      </c>
      <c r="BO96" s="21" t="str">
        <f aca="false">IF(Tasks[[#This Row],[Task Name]]="","",IF(OR(TakeBaseline="Yes",N(Tasks[[#This Row],[Baseline Duration]])=0),Tasks[[#This Row],[_SpanDays]],Tasks[[#This Row],[Baseline Duration]]))</f>
        <v/>
      </c>
      <c r="BP96" s="86" t="str">
        <f aca="false">IF(Tasks[[#This Row],[Task Name]]="","",IF(OR(TakeBaseline="Yes",N(Tasks[[#This Row],[Baseline Work]])=0),Tasks[[#This Row],[Work]],Tasks[[#This Row],[Baseline Work]]))</f>
        <v/>
      </c>
      <c r="BQ96" s="7"/>
      <c r="BR96" s="7"/>
      <c r="BS96" s="22"/>
      <c r="BT96" s="88"/>
      <c r="BU96" s="23"/>
      <c r="BV96" s="23"/>
      <c r="BW96" s="23"/>
      <c r="BX96" s="89" t="str">
        <f aca="false">IF(AND(Tasks[[#This Row],[_IsLeaf]]=1,ISNUMBER(Tasks[[#This Row],[Optimistic]]),ISNUMBER(Tasks[[#This Row],[Pessimistic]])),ROUND((Tasks[[#This Row],[Optimistic]]+4*N(Tasks[[#This Row],[_Days]])+Tasks[[#This Row],[Pessimistic]])/6,1),"")</f>
        <v/>
      </c>
      <c r="BY96" s="87"/>
      <c r="BZ96" s="87"/>
      <c r="CA96" s="22"/>
      <c r="CB96" s="43" t="str">
        <f aca="false">IF(Tasks[[#This Row],[Task Name]]="","",MAX(1,N(Tasks[[#This Row],[Level]])))</f>
        <v/>
      </c>
      <c r="CC96" s="43" t="n">
        <f aca="false">ROW()-ROW(Tasks[[#Headers],[ID]])</f>
        <v>91</v>
      </c>
      <c r="CD96" s="43" t="n">
        <f aca="false">IF(OR(Tasks[[#This Row],[Task Name]]="",Tasks[[#This Row],[_Level]]&lt;=1),0,IFERROR(LOOKUP(2,1/(Tasks[[#Headers],[_Level]]:Tasks[[#This Row],[_Level]]=Tasks[[#This Row],[_Level]]-1),ROW(Tasks[[#Headers],[_Level]]:Tasks[[#This Row],[_Level]])),0))</f>
        <v>0</v>
      </c>
      <c r="CE96" s="43" t="n">
        <f aca="false">IFERROR(N(INDEX(Tasks[_Level],Tasks[[#This Row],[_Row]]+1)),0)</f>
        <v>0</v>
      </c>
      <c r="CF96" s="90" t="b">
        <f aca="false">AND(Tasks[[#This Row],[Task Name]]&lt;&gt;"",Tasks[[#This Row],[_NextLevel]]&gt;Tasks[[#This Row],[_Level]])</f>
        <v>0</v>
      </c>
      <c r="CG96" s="43" t="n">
        <f aca="false">IF(Tasks[[#This Row],[_IsSummary]],COUNTIF(Tasks[WBS],Tasks[[#This Row],[WBS]]&amp;".*"),0)</f>
        <v>0</v>
      </c>
      <c r="CH96" s="43" t="n">
        <f aca="false">IF(AND(Tasks[[#This Row],[Task Name]]&lt;&gt;"",NOT(Tasks[[#This Row],[_IsSummary]])),1,0)</f>
        <v>0</v>
      </c>
      <c r="CI96" s="43" t="n">
        <f aca="false">IF(N(Tasks[[#This Row],[_Pred1UID]])=0,0,IFERROR(MATCH(Tasks[[#This Row],[_Pred1UID]],Tasks[UID],0),-1))</f>
        <v>0</v>
      </c>
      <c r="CJ96" s="43" t="n">
        <f aca="false">IF(N(Tasks[[#This Row],[_Pred2UID]])=0,0,IFERROR(MATCH(Tasks[[#This Row],[_Pred2UID]],Tasks[UID],0),-1))</f>
        <v>0</v>
      </c>
      <c r="CK96" s="43" t="n">
        <f aca="false">IF(N(Tasks[[#This Row],[_Pred3UID]])=0,0,IFERROR(MATCH(Tasks[[#This Row],[_Pred3UID]],Tasks[UID],0),-1))</f>
        <v>0</v>
      </c>
      <c r="CL96" s="43" t="n">
        <f aca="false">IF(N(Tasks[[#This Row],[_Pred4UID]])=0,0,IFERROR(MATCH(Tasks[[#This Row],[_Pred4UID]],Tasks[UID],0),-1))</f>
        <v>0</v>
      </c>
      <c r="CM9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6" s="91" t="n">
        <f aca="false">IF(OR(Tasks[[#This Row],[_ConstraintCode]]=2,Tasks[[#This Row],[_ConstraintCode]]=3,Tasks[[#This Row],[_ConstraintCode]]=4,Tasks[[#This Row],[_ConstraintCode]]=6),Tasks[[#This Row],[_ConstraintStart]],0)</f>
        <v>0</v>
      </c>
      <c r="CP96" s="91" t="n">
        <f aca="false">IF(OR(Tasks[[#This Row],[_ConstraintCode]]=2,Tasks[[#This Row],[_ConstraintCode]]=3,Tasks[[#This Row],[_ConstraintCode]]=5,Tasks[[#This Row],[_ConstraintCode]]=7),Tasks[[#This Row],[_ConstraintStart]],2958465)</f>
        <v>2958465</v>
      </c>
      <c r="CQ9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6" s="91" t="str">
        <f aca="false">IF(NOT(Tasks[[#This Row],[_IsLeaf]]=1),"",IF(N(Tasks[[#This Row],[_Days]])&lt;=0,Tasks[[#This Row],[_LeafCalcStart]],WORKDAY.INTL(Tasks[[#This Row],[_LeafCalcStart]],Tasks[[#This Row],[_Days]]-1,WorkWeek,Holidays)))</f>
        <v/>
      </c>
      <c r="CS9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6" s="43" t="str">
        <f aca="false">IF(Tasks[[#This Row],[_Predecessors]]="","",TRIM(MID(SUBSTITUTE(SUBSTITUTE(SUBSTITUTE(UPPER(Tasks[[#This Row],[_Predecessors]]),";",",")," ",""),",",REPT(" ",99)),1,99)))</f>
        <v/>
      </c>
      <c r="CV96" s="43" t="str">
        <f aca="false">IF(Tasks[[#This Row],[_Pred1Text]]="","",IFERROR(VALUE(LEFT(Tasks[[#This Row],[_Pred1Text]],MIN(FIND("F",Tasks[[#This Row],[_Pred1Text]]&amp;"F"),FIND("S",Tasks[[#This Row],[_Pred1Text]]&amp;"S"),FIND("+",Tasks[[#This Row],[_Pred1Text]]&amp;"+"),FIND("-",Tasks[[#This Row],[_Pred1Text]]&amp;"-"))-1)),""))</f>
        <v/>
      </c>
      <c r="CW9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6" s="43" t="str">
        <f aca="false">IF(Tasks[[#This Row],[_Pred1Text]]="","",TRIM(MID(SUBSTITUTE(SUBSTITUTE(SUBSTITUTE(UPPER(Tasks[[#This Row],[_Predecessors]]),";",",")," ",""),",",REPT(" ",99)),100,99)))</f>
        <v/>
      </c>
      <c r="CZ96" s="43" t="str">
        <f aca="false">IF(Tasks[[#This Row],[_Pred2Text]]="","",IFERROR(VALUE(LEFT(Tasks[[#This Row],[_Pred2Text]],MIN(FIND("F",Tasks[[#This Row],[_Pred2Text]]&amp;"F"),FIND("S",Tasks[[#This Row],[_Pred2Text]]&amp;"S"),FIND("+",Tasks[[#This Row],[_Pred2Text]]&amp;"+"),FIND("-",Tasks[[#This Row],[_Pred2Text]]&amp;"-"))-1)),""))</f>
        <v/>
      </c>
      <c r="DA9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6" s="43" t="str">
        <f aca="false">IF(Tasks[[#This Row],[_Pred2Text]]="","",TRIM(MID(SUBSTITUTE(SUBSTITUTE(SUBSTITUTE(UPPER(Tasks[[#This Row],[_Predecessors]]),";",",")," ",""),",",REPT(" ",99)),199,99)))</f>
        <v/>
      </c>
      <c r="DD96" s="43" t="str">
        <f aca="false">IF(Tasks[[#This Row],[_Pred3Text]]="","",IFERROR(VALUE(LEFT(Tasks[[#This Row],[_Pred3Text]],MIN(FIND("F",Tasks[[#This Row],[_Pred3Text]]&amp;"F"),FIND("S",Tasks[[#This Row],[_Pred3Text]]&amp;"S"),FIND("+",Tasks[[#This Row],[_Pred3Text]]&amp;"+"),FIND("-",Tasks[[#This Row],[_Pred3Text]]&amp;"-"))-1)),""))</f>
        <v/>
      </c>
      <c r="DE9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6" s="43" t="str">
        <f aca="false">IF(Tasks[[#This Row],[_Pred3Text]]="","",TRIM(MID(SUBSTITUTE(SUBSTITUTE(SUBSTITUTE(UPPER(Tasks[[#This Row],[_Predecessors]]),";",",")," ",""),",",REPT(" ",99)),298,99)))</f>
        <v/>
      </c>
      <c r="DH96" s="43" t="str">
        <f aca="false">IF(Tasks[[#This Row],[_Pred4Text]]="","",IFERROR(VALUE(LEFT(Tasks[[#This Row],[_Pred4Text]],MIN(FIND("F",Tasks[[#This Row],[_Pred4Text]]&amp;"F"),FIND("S",Tasks[[#This Row],[_Pred4Text]]&amp;"S"),FIND("+",Tasks[[#This Row],[_Pred4Text]]&amp;"+"),FIND("-",Tasks[[#This Row],[_Pred4Text]]&amp;"-"))-1)),""))</f>
        <v/>
      </c>
      <c r="DI9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6" s="43" t="str">
        <f aca="false">IF(OR(Tasks[[#This Row],[Task Name]]="",Tasks[[#This Row],[_Resources]]=""),"",TRIM(MID(SUBSTITUTE(Tasks[[#This Row],[_Resources]],",",REPT(" ",99)),1,99)))</f>
        <v/>
      </c>
      <c r="DL96" s="43" t="str">
        <f aca="false">IF(Tasks[[#This Row],[_Res1Text]]="","",TRIM(MID(SUBSTITUTE(Tasks[[#This Row],[_Resources]],",",REPT(" ",99)),100,99)))</f>
        <v/>
      </c>
      <c r="DM96" s="43" t="str">
        <f aca="false">IF(Tasks[[#This Row],[_Res2Text]]="","",TRIM(MID(SUBSTITUTE(Tasks[[#This Row],[_Resources]],",",REPT(" ",99)),199,99)))</f>
        <v/>
      </c>
      <c r="DN96" s="43" t="str">
        <f aca="false">IF(Tasks[[#This Row],[_Res3Text]]="","",TRIM(MID(SUBSTITUTE(Tasks[[#This Row],[_Resources]],",",REPT(" ",99)),298,99)))</f>
        <v/>
      </c>
      <c r="DO96" s="43" t="n">
        <f aca="false">IF(Tasks[[#This Row],[_Res1Text]]="",0,IFERROR(MATCH(TRIM(LEFT(Tasks[[#This Row],[_Res1Text]],FIND("[",Tasks[[#This Row],[_Res1Text]]&amp;"[")-1)),res_Name,0),IFERROR(MATCH(TRIM(LEFT(Tasks[[#This Row],[_Res1Text]],FIND("[",Tasks[[#This Row],[_Res1Text]]&amp;"[")-1)),res_Initials,0),0)))</f>
        <v>0</v>
      </c>
      <c r="DP96" s="43" t="n">
        <f aca="false">IF(Tasks[[#This Row],[_Res2Text]]="",0,IFERROR(MATCH(TRIM(LEFT(Tasks[[#This Row],[_Res2Text]],FIND("[",Tasks[[#This Row],[_Res2Text]]&amp;"[")-1)),res_Name,0),IFERROR(MATCH(TRIM(LEFT(Tasks[[#This Row],[_Res2Text]],FIND("[",Tasks[[#This Row],[_Res2Text]]&amp;"[")-1)),res_Initials,0),0)))</f>
        <v>0</v>
      </c>
      <c r="DQ96" s="43" t="n">
        <f aca="false">IF(Tasks[[#This Row],[_Res3Text]]="",0,IFERROR(MATCH(TRIM(LEFT(Tasks[[#This Row],[_Res3Text]],FIND("[",Tasks[[#This Row],[_Res3Text]]&amp;"[")-1)),res_Name,0),IFERROR(MATCH(TRIM(LEFT(Tasks[[#This Row],[_Res3Text]],FIND("[",Tasks[[#This Row],[_Res3Text]]&amp;"[")-1)),res_Initials,0),0)))</f>
        <v>0</v>
      </c>
      <c r="DR96" s="43" t="n">
        <f aca="false">IF(Tasks[[#This Row],[_Res4Text]]="",0,IFERROR(MATCH(TRIM(LEFT(Tasks[[#This Row],[_Res4Text]],FIND("[",Tasks[[#This Row],[_Res4Text]]&amp;"[")-1)),res_Name,0),IFERROR(MATCH(TRIM(LEFT(Tasks[[#This Row],[_Res4Text]],FIND("[",Tasks[[#This Row],[_Res4Text]]&amp;"[")-1)),res_Initials,0),0)))</f>
        <v>0</v>
      </c>
      <c r="DS96" s="43" t="str">
        <f aca="false">IF(Tasks[[#This Row],[_Res1Text]]="","",IF(Tasks[[#This Row],[_Res1Row]]&gt;0,INDEX(res_Name,Tasks[[#This Row],[_Res1Row]]),TRIM(LEFT(Tasks[[#This Row],[_Res1Text]],FIND("[",Tasks[[#This Row],[_Res1Text]]&amp;"[")-1))))</f>
        <v/>
      </c>
      <c r="DT9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6" s="43" t="n">
        <f aca="false">IF(NOT(Tasks[[#This Row],[_IsLeaf]]=1),0,(Tasks[[#This Row],[_Resource1]]&lt;&gt;"")+(Tasks[[#This Row],[_Res2]]&lt;&gt;"")+(Tasks[[#This Row],[_Res3]]&lt;&gt;"")+(Tasks[[#This Row],[_Res4]]&lt;&gt;""))</f>
        <v>0</v>
      </c>
      <c r="DV96" s="43" t="str">
        <f aca="false">IF(Tasks[[#This Row],[_Res2Text]]="","",IF(Tasks[[#This Row],[_Res2Row]]&gt;0,INDEX(res_Name,Tasks[[#This Row],[_Res2Row]]),TRIM(LEFT(Tasks[[#This Row],[_Res2Text]],FIND("[",Tasks[[#This Row],[_Res2Text]]&amp;"[")-1))))</f>
        <v/>
      </c>
      <c r="DW9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6" s="43" t="n">
        <f aca="false">IF(OR(NOT(Tasks[[#This Row],[_IsLeaf]]=1),Tasks[[#This Row],[_Res2Row]]=0),0,N(Tasks[[#This Row],[_Days]])*HoursPerDay*IF(Tasks[[#This Row],[_Res2Units]]="",DefaultUnits,Tasks[[#This Row],[_Res2Units]]))</f>
        <v>0</v>
      </c>
      <c r="DY96" s="43" t="n">
        <f aca="false">IF(AND(AND(Tasks[[#This Row],[_IsLeaf]]=1,Tasks[[#This Row],[_LeafTotalWork]]&gt;0),Tasks[[#This Row],[_Res2Work]]&gt;0),Tasks[[#This Row],[_Res2Work]]/(Tasks[[#This Row],[_FinishWorkday]]-Tasks[[#This Row],[_StartWorkday]]+1),0)</f>
        <v>0</v>
      </c>
      <c r="DZ96" s="43" t="n">
        <f aca="false">Tasks[[#This Row],[_Res2WorkPerWD]]*MAX(0,Tasks[[#This Row],[_StartWorkday]]-1)</f>
        <v>0</v>
      </c>
      <c r="EA96" s="43" t="n">
        <f aca="false">Tasks[[#This Row],[_Res2Work]]*Tasks[[#This Row],[_LeafProgress]]</f>
        <v>0</v>
      </c>
      <c r="EB96" s="43" t="str">
        <f aca="false">IF(Tasks[[#This Row],[_Res3Text]]="","",IF(Tasks[[#This Row],[_Res3Row]]&gt;0,INDEX(res_Name,Tasks[[#This Row],[_Res3Row]]),TRIM(LEFT(Tasks[[#This Row],[_Res3Text]],FIND("[",Tasks[[#This Row],[_Res3Text]]&amp;"[")-1))))</f>
        <v/>
      </c>
      <c r="EC9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6" s="43" t="n">
        <f aca="false">IF(OR(NOT(Tasks[[#This Row],[_IsLeaf]]=1),Tasks[[#This Row],[_Res3Row]]=0),0,N(Tasks[[#This Row],[_Days]])*HoursPerDay*IF(Tasks[[#This Row],[_Res3Units]]="",DefaultUnits,Tasks[[#This Row],[_Res3Units]]))</f>
        <v>0</v>
      </c>
      <c r="EE96" s="43" t="n">
        <f aca="false">IF(AND(AND(Tasks[[#This Row],[_IsLeaf]]=1,Tasks[[#This Row],[_LeafTotalWork]]&gt;0),Tasks[[#This Row],[_Res3Work]]&gt;0),Tasks[[#This Row],[_Res3Work]]/(Tasks[[#This Row],[_FinishWorkday]]-Tasks[[#This Row],[_StartWorkday]]+1),0)</f>
        <v>0</v>
      </c>
      <c r="EF96" s="43" t="n">
        <f aca="false">Tasks[[#This Row],[_Res3WorkPerWD]]*MAX(0,Tasks[[#This Row],[_StartWorkday]]-1)</f>
        <v>0</v>
      </c>
      <c r="EG96" s="43" t="n">
        <f aca="false">Tasks[[#This Row],[_Res3Work]]*Tasks[[#This Row],[_LeafProgress]]</f>
        <v>0</v>
      </c>
      <c r="EH96" s="43" t="str">
        <f aca="false">IF(Tasks[[#This Row],[_Res4Text]]="","",IF(Tasks[[#This Row],[_Res4Row]]&gt;0,INDEX(res_Name,Tasks[[#This Row],[_Res4Row]]),TRIM(LEFT(Tasks[[#This Row],[_Res4Text]],FIND("[",Tasks[[#This Row],[_Res4Text]]&amp;"[")-1))))</f>
        <v/>
      </c>
      <c r="EI9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6" s="43" t="n">
        <f aca="false">IF(OR(NOT(Tasks[[#This Row],[_IsLeaf]]=1),Tasks[[#This Row],[_Res4Row]]=0),0,N(Tasks[[#This Row],[_Days]])*HoursPerDay*IF(Tasks[[#This Row],[_Res4Units]]="",DefaultUnits,Tasks[[#This Row],[_Res4Units]]))</f>
        <v>0</v>
      </c>
      <c r="EK96" s="43" t="n">
        <f aca="false">IF(AND(AND(Tasks[[#This Row],[_IsLeaf]]=1,Tasks[[#This Row],[_LeafTotalWork]]&gt;0),Tasks[[#This Row],[_Res4Work]]&gt;0),Tasks[[#This Row],[_Res4Work]]/(Tasks[[#This Row],[_FinishWorkday]]-Tasks[[#This Row],[_StartWorkday]]+1),0)</f>
        <v>0</v>
      </c>
      <c r="EL96" s="43" t="n">
        <f aca="false">Tasks[[#This Row],[_Res4WorkPerWD]]*MAX(0,Tasks[[#This Row],[_StartWorkday]]-1)</f>
        <v>0</v>
      </c>
      <c r="EM96" s="43" t="n">
        <f aca="false">Tasks[[#This Row],[_Res4Work]]*Tasks[[#This Row],[_LeafProgress]]</f>
        <v>0</v>
      </c>
      <c r="EN96" s="43" t="n">
        <f aca="false">IF(ISNUMBER(Tasks[[#This Row],[% Complete]]),Tasks[[#This Row],[% Complete]],IF(Tasks[[#This Row],[Stage]]="",0,IFERROR(INDEX(stg_Pct,MATCH(Tasks[[#This Row],[Stage]],stg_Name,0)),0)))</f>
        <v>0</v>
      </c>
      <c r="EO96" s="43" t="n">
        <f aca="false">IF(NOT(Tasks[[#This Row],[_IsLeaf]]=1),0,IF(N(Tasks[[#This Row],[Actual Finish]])&gt;0,1,MIN(1,Tasks[[#This Row],[_Pct]])))</f>
        <v>0</v>
      </c>
      <c r="EP96" s="43" t="n">
        <f aca="false">IF(OR(NOT(Tasks[[#This Row],[_IsLeaf]]=1),Tasks[[#This Row],[_Res1Row]]=0),0,N(Tasks[[#This Row],[_Days]])*HoursPerDay*IF(Tasks[[#This Row],[_Units1]]="",DefaultUnits,Tasks[[#This Row],[_Units1]]))</f>
        <v>0</v>
      </c>
      <c r="EQ96" s="43" t="n">
        <f aca="false">Tasks[[#This Row],[_LeafWork]]+Tasks[[#This Row],[_Res2Work]]+Tasks[[#This Row],[_Res3Work]]+Tasks[[#This Row],[_Res4Work]]</f>
        <v>0</v>
      </c>
      <c r="ER9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6" s="43" t="n">
        <f aca="false">IF(NOT(Tasks[[#This Row],[_IsLeaf]]=1),0,MAX(_xlfn.MAXIFS(Tasks[_Row],Tasks[_Pred1UID],Tasks[[#This Row],[UID]]),_xlfn.MAXIFS(Tasks[_Row],Tasks[_Pred2UID],Tasks[[#This Row],[UID]]),_xlfn.MAXIFS(Tasks[_Row],Tasks[_Pred3UID],Tasks[[#This Row],[UID]]),_xlfn.MAXIFS(Tasks[_Row],Tasks[_Pred4UID],Tasks[[#This Row],[UID]])))</f>
        <v>0</v>
      </c>
      <c r="FA9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6" s="91" t="str">
        <f aca="false">IF(NOT(Tasks[[#This Row],[_IsLeaf]]=1),"",IF(N(Tasks[[#This Row],[_Days]])&lt;=0,Tasks[[#This Row],[_LeafLateFinish]],WORKDAY.INTL(Tasks[[#This Row],[_LeafLateFinish]],-(Tasks[[#This Row],[_Days]]-1),WorkWeek,Holidays)))</f>
        <v/>
      </c>
      <c r="FD9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6" s="90" t="b">
        <f aca="false">AND(Tasks[[#This Row],[_IsLeaf]]=1,Tasks[[#This Row],[_LeafProgress]]&lt;1,N(Tasks[[#This Row],[_LeafTotalSlack]])&lt;=CriticalSlackDays)</f>
        <v>0</v>
      </c>
      <c r="FF96" s="43" t="n">
        <f aca="false">IF(AND(Tasks[[#This Row],[_IsLeaf]]=1,Tasks[[#This Row],[_ConstraintCode]]=1,Tasks[[#This Row],[Mode]]&lt;&gt;"Manual",N(Tasks[[#This Row],[Actual Start]])=0),MAX(0,N(Tasks[[#This Row],[Free Slack]])),0)</f>
        <v>0</v>
      </c>
      <c r="FG96" s="91" t="str">
        <f aca="false">IF(NOT(Tasks[[#This Row],[_IsLeaf]]=1),"",IF(Tasks[[#This Row],[_AlapShift]]=0,Tasks[[#This Row],[_LeafCalcStart]],WORKDAY.INTL(Tasks[[#This Row],[_LeafCalcStart]],Tasks[[#This Row],[_AlapShift]],WorkWeek,Holidays)))</f>
        <v/>
      </c>
      <c r="FH96" s="91" t="str">
        <f aca="false">IF(NOT(Tasks[[#This Row],[_IsLeaf]]=1),"",IF(Tasks[[#This Row],[_AlapShift]]=0,Tasks[[#This Row],[_LeafCalcFinish]],WORKDAY.INTL(Tasks[[#This Row],[_LeafCalcFinish]],Tasks[[#This Row],[_AlapShift]],WorkWeek,Holidays)))</f>
        <v/>
      </c>
      <c r="FI96" s="91" t="str">
        <f aca="false">IF(NOT(Tasks[[#This Row],[_IsLeaf]]=1),"",IF(Tasks[[#This Row],[_AlapShift]]=0,Tasks[[#This Row],[_LeafFcstStart]],WORKDAY.INTL(Tasks[[#This Row],[_LeafFcstStart]],Tasks[[#This Row],[_AlapShift]],WorkWeek,Holidays)))</f>
        <v/>
      </c>
      <c r="FJ96" s="91" t="str">
        <f aca="false">IF(NOT(Tasks[[#This Row],[_IsLeaf]]=1),"",IF(Tasks[[#This Row],[_AlapShift]]=0,Tasks[[#This Row],[_LeafFcstFinish]],WORKDAY.INTL(Tasks[[#This Row],[_LeafFcstFinish]],Tasks[[#This Row],[_AlapShift]],WorkWeek,Holidays)))</f>
        <v/>
      </c>
      <c r="FK96" s="91" t="str">
        <f aca="false">IF(Tasks[[#This Row],[Task Name]]="","",IF(Tasks[[#This Row],[_IsSummary]],MIN(INDEX(Tasks[_ShownCalcStart],Tasks[[#This Row],[_Row]]+1):INDEX(Tasks[_ShownCalcStart],Tasks[[#This Row],[_Row]]+Tasks[[#This Row],[_Descendants]])),Tasks[[#This Row],[_ShownCalcStart]]))</f>
        <v/>
      </c>
      <c r="FL96" s="91" t="str">
        <f aca="false">IF(Tasks[[#This Row],[Task Name]]="","",IF(Tasks[[#This Row],[_IsSummary]],MAX(INDEX(Tasks[_ShownCalcFinish],Tasks[[#This Row],[_Row]]+1):INDEX(Tasks[_ShownCalcFinish],Tasks[[#This Row],[_Row]]+Tasks[[#This Row],[_Descendants]])),Tasks[[#This Row],[_ShownCalcFinish]]))</f>
        <v/>
      </c>
      <c r="FM9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6" s="43" t="n">
        <f aca="false">IF(AND(Tasks[[#This Row],[_IsLeaf]]=1,Tasks[[#This Row],[_LeafTotalWork]]&gt;0),NETWORKDAYS.INTL(ProjectStart,Tasks[[#This Row],[_ShownFcstStart]],WorkWeek,Holidays),0)</f>
        <v>0</v>
      </c>
      <c r="FZ96" s="43" t="n">
        <f aca="false">IF(AND(Tasks[[#This Row],[_IsLeaf]]=1,Tasks[[#This Row],[_LeafTotalWork]]&gt;0),MAX(Tasks[[#This Row],[_StartWorkday]],NETWORKDAYS.INTL(ProjectStart,Tasks[[#This Row],[_ShownFcstFinish]],WorkWeek,Holidays)),0)</f>
        <v>0</v>
      </c>
      <c r="GA96" s="43" t="n">
        <f aca="false">IF(AND(Tasks[[#This Row],[_IsLeaf]]=1,Tasks[[#This Row],[_LeafTotalWork]]&gt;0),Tasks[[#This Row],[_LeafWork]]/(Tasks[[#This Row],[_FinishWorkday]]-Tasks[[#This Row],[_StartWorkday]]+1),0)</f>
        <v>0</v>
      </c>
      <c r="GB96" s="43" t="n">
        <f aca="false">Tasks[[#This Row],[_WorkPerWorkday]]*(Tasks[[#This Row],[_StartWorkday]]-1)</f>
        <v>-0</v>
      </c>
      <c r="GC96" s="43" t="n">
        <f aca="false">IF(Tasks[[#This Row],[_IsLeaf]]=1,MAX(N(Tasks[[#This Row],[_Days]]),0.1),0)</f>
        <v>0</v>
      </c>
      <c r="GD96" s="43" t="n">
        <f aca="false">Tasks[[#This Row],[_WeightDur]]*Tasks[[#This Row],[_LeafProgress]]</f>
        <v>0</v>
      </c>
      <c r="GE96" s="43" t="n">
        <f aca="false">Tasks[[#This Row],[_WeightDur]]*Tasks[[#This Row],[_PlannedPct]]</f>
        <v>0</v>
      </c>
      <c r="GF9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6" s="43" t="str">
        <f aca="false">IF(AND(Tasks[[#This Row],[_IsLeaf]]=1,N(Tasks[[#This Row],[_Days]])=0,Tasks[[#This Row],[_LeafProgress]]&lt;1),Tasks[[#This Row],[_ShownFcstFinish]]+Tasks[[#This Row],[_Row]]/100000,"")</f>
        <v/>
      </c>
      <c r="GH9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6" s="43" t="str">
        <f aca="false">IF(Tasks[[#This Row],[Task Name]]="","",LEFT(Tasks[[#This Row],[WBS]],FIND(".",Tasks[[#This Row],[WBS]]&amp;".")-1))</f>
        <v/>
      </c>
      <c r="GJ96" s="43" t="str">
        <f aca="false">IF(AND(Tasks[[#This Row],[Task Name]]&lt;&gt;"",Tasks[[#This Row],[_Level]]=1),Tasks[[#This Row],[_Row]],"")</f>
        <v/>
      </c>
      <c r="GK96" s="43" t="str">
        <f aca="false">IF(AND(Tasks[[#This Row],[_IsLeaf]]=1,N(Tasks[[#This Row],[_Days]])=0),Tasks[[#This Row],[Planned Finish]]+Tasks[[#This Row],[_Row]]/100000,"")</f>
        <v/>
      </c>
      <c r="GL96" s="43" t="str">
        <f aca="false">IF(AND(Tasks[[#This Row],[_IsLeaf]]=1,Tasks[[#This Row],[_LeafProgress]]&lt;1,OR(N(Tasks[[#This Row],[Finish Var]])&gt;0,Tasks[[#This Row],[Status]]="Late Start")),MAX(0,Tasks[[#This Row],[Finish Var]])+1-Tasks[[#This Row],[_Row]]/1000000,"")</f>
        <v/>
      </c>
      <c r="GM96" s="43" t="str">
        <f aca="false">IF(AND(Tasks[[#This Row],[_IsLeaf]]=1,N(Tasks[[#This Row],[Actual Start]])=0,Tasks[[#This Row],[_ShownFcstStart]]&gt;=StatusDate,Tasks[[#This Row],[_ShownFcstStart]]&lt;=LookaheadEnd),Tasks[[#This Row],[_ShownFcstStart]]+Tasks[[#This Row],[_Row]]/100000,"")</f>
        <v/>
      </c>
      <c r="GN96" s="43" t="str">
        <f aca="false">IF(AND(Tasks[[#This Row],[_IsLeaf]]=1,Tasks[[#This Row],[_LeafProgress]]&lt;1,Tasks[[#This Row],[_ShownFcstFinish]]&gt;=StatusDate,Tasks[[#This Row],[_ShownFcstFinish]]&lt;=LookaheadEnd),Tasks[[#This Row],[_ShownFcstFinish]]+Tasks[[#This Row],[_Row]]/100000,"")</f>
        <v/>
      </c>
      <c r="GO96" s="43" t="str">
        <f aca="false">IF(Tasks[[#This Row],[_LeafCritical]],Tasks[[#This Row],[_ShownFcstStart]]+Tasks[[#This Row],[_Row]]/100000,"")</f>
        <v/>
      </c>
      <c r="GP96" s="43" t="n">
        <f aca="false">Tasks[[#This Row],[_LeafWork]]*Tasks[[#This Row],[_LeafProgress]]</f>
        <v>0</v>
      </c>
      <c r="GQ96" s="91" t="str">
        <f aca="false">IF(AND(Tasks[[#This Row],[_IsLeaf]]=1,Tasks[[#This Row],[_LeafProgress]]&gt;=1),IF(N(Tasks[[#This Row],[Actual Finish]])&gt;0,Tasks[[#This Row],[Actual Finish]],Tasks[[#This Row],[_ShownFcstFinish]]),"")</f>
        <v/>
      </c>
      <c r="GR96" s="43" t="n">
        <f aca="false">IF(Tasks[[#This Row],[_IsLeaf]]=1,N(Tasks[[#This Row],[Story Points]]),0)</f>
        <v>0</v>
      </c>
      <c r="GS96" s="43" t="str">
        <f aca="false">""</f>
        <v/>
      </c>
      <c r="GT96" s="90" t="b">
        <f aca="false">IF(Tasks[[#This Row],[Task Name]]="",FALSE(),AND(Tasks[[#This Row],[_IsLeaf]]=1,N(Tasks[[#This Row],[_Days]])=0))</f>
        <v>0</v>
      </c>
      <c r="GU96" s="91" t="n">
        <f aca="false">IF(Tasks[[#This Row],[Task Name]]="",0,IF(AND(Tasks[[#This Row],[_IsLeaf]]=1,NOT(Tasks[[#This Row],[_IsMilestone]]),N(Tasks[[#This Row],[Progress]])&gt;0),Tasks[[#This Row],[Start]],0))</f>
        <v>0</v>
      </c>
      <c r="GV96" s="91" t="n">
        <f aca="false">IF(Tasks[[#This Row],[_DoneFrom]]=0,0,IF(Tasks[[#This Row],[Progress]]&gt;=1,Tasks[[#This Row],[Finish]],MAX(Tasks[[#This Row],[_DoneFrom]],Tasks[[#This Row],[Start]]+ROUND((Tasks[[#This Row],[Finish]]-Tasks[[#This Row],[Start]]+1)*Tasks[[#This Row],[Progress]],0)-1)))</f>
        <v>0</v>
      </c>
      <c r="GW96" s="91" t="n">
        <f aca="false">IF(Tasks[[#This Row],[Task Name]]="",0,IF(OR(NOT(Tasks[[#This Row],[_IsLeaf]]=1),Tasks[[#This Row],[_IsMilestone]],N(Tasks[[#This Row],[Progress]])&gt;=1),0,IF(Tasks[[#This Row],[_DoneTo]]&gt;0,Tasks[[#This Row],[_DoneTo]]+1,Tasks[[#This Row],[Start]])))</f>
        <v>0</v>
      </c>
      <c r="GX96" s="91" t="n">
        <f aca="false">IF(Tasks[[#This Row],[_RemFrom]]=0,0,Tasks[[#This Row],[Finish]])</f>
        <v>0</v>
      </c>
      <c r="GY96" s="90" t="b">
        <f aca="false">IF(Tasks[[#This Row],[Task Name]]="",FALSE(),OR(NOT(BaselineSet),N(Tasks[[#This Row],[Baseline Start]])&gt;0))</f>
        <v>0</v>
      </c>
      <c r="GZ9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6" s="92" t="str">
        <f aca="false">IF(Tasks[[#This Row],[_IsLeaf]]=1,Tasks[[#This Row],[_Row]],"")</f>
        <v/>
      </c>
      <c r="HD96" s="92" t="str">
        <f aca="false">IFERROR(INDEX(Tasks[UID],SMALL(Tasks[_PickKey],Tasks[[#This Row],[_Row]]))&amp;" "&amp;INDEX(Tasks[Task Name],SMALL(Tasks[_PickKey],Tasks[[#This Row],[_Row]])),"")</f>
        <v/>
      </c>
      <c r="HE96" s="43" t="str">
        <f aca="false">IF(Tasks[[#This Row],[Task Name]]="","",IF(Tasks[[#This Row],[_IsSummary]],NETWORKDAYS.INTL(Tasks[[#This Row],[Start]],Tasks[[#This Row],[Finish]],WorkWeek,Holidays),N(Tasks[[#This Row],[_Days]])))</f>
        <v/>
      </c>
      <c r="HF96" s="43" t="n">
        <f aca="false">IF(Tasks[[#This Row],[Expected]]="",0,((Tasks[[#This Row],[Pessimistic]]-Tasks[[#This Row],[Optimistic]])/6)^2)</f>
        <v>0</v>
      </c>
      <c r="HG96" s="43" t="n">
        <f aca="false">IF(Tasks[[#This Row],[Expected]]="",0,Tasks[[#This Row],[Expected]]-N(Tasks[[#This Row],[_Days]]))</f>
        <v>0</v>
      </c>
    </row>
    <row r="97" customFormat="false" ht="15" hidden="false" customHeight="false" outlineLevel="0" collapsed="false">
      <c r="A97" s="21" t="str">
        <f aca="false">IF(Tasks[[#This Row],[Task Name]]="","",COUNTA(Tasks[[#Headers],[Task Name]]:Tasks[[#This Row],[Task Name]])-1)</f>
        <v/>
      </c>
      <c r="B97" s="22" t="n">
        <v>105</v>
      </c>
      <c r="C97" s="22"/>
      <c r="D97" s="23"/>
      <c r="E97" s="22"/>
      <c r="F97" s="23"/>
      <c r="G97" s="22"/>
      <c r="H97" s="22"/>
      <c r="I97" s="23"/>
      <c r="J97" s="22"/>
      <c r="K97" s="22"/>
      <c r="L97" s="23"/>
      <c r="M97" s="22"/>
      <c r="N97" s="22"/>
      <c r="O97" s="23"/>
      <c r="P97" s="22"/>
      <c r="Q97" s="22"/>
      <c r="R97" s="23"/>
      <c r="S97" s="23"/>
      <c r="T97" s="84"/>
      <c r="U97" s="23"/>
      <c r="V97" s="84"/>
      <c r="W97" s="23"/>
      <c r="X97" s="84"/>
      <c r="Y97" s="23"/>
      <c r="Z97" s="84"/>
      <c r="AA97" s="23"/>
      <c r="AB97" s="23"/>
      <c r="AC97" s="7"/>
      <c r="AD97" s="7"/>
      <c r="AE97" s="63" t="str">
        <f aca="false">IF(Tasks[[#This Row],[Task Name]]="","",IF(Tasks[[#This Row],[_IsSummary]],MIN(INDEX(Tasks[_ShownFcstStart],Tasks[[#This Row],[_Row]]+1):INDEX(Tasks[_ShownFcstStart],Tasks[[#This Row],[_Row]]+Tasks[[#This Row],[_Descendants]])),Tasks[[#This Row],[_ShownFcstStart]]))</f>
        <v/>
      </c>
      <c r="AF97" s="63" t="str">
        <f aca="false">IF(Tasks[[#This Row],[Task Name]]="","",IF(Tasks[[#This Row],[_IsSummary]],MAX(INDEX(Tasks[_ShownFcstFinish],Tasks[[#This Row],[_Row]]+1):INDEX(Tasks[_ShownFcstFinish],Tasks[[#This Row],[_Row]]+Tasks[[#This Row],[_Descendants]])),Tasks[[#This Row],[_ShownFcstFinish]]))</f>
        <v/>
      </c>
      <c r="AG97" s="21" t="str">
        <f aca="false">""</f>
        <v/>
      </c>
      <c r="AH97" s="23"/>
      <c r="AI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7" s="7"/>
      <c r="AK97" s="22"/>
      <c r="AL97" s="23"/>
      <c r="AM97" s="7"/>
      <c r="AN97" s="47" t="str">
        <f aca="false">IF(Tasks[[#This Row],[Task Name]]="","",IF(Tasks[[#This Row],[Finish]]&gt;=Tasks[[#This Row],[Planned Finish]],NETWORKDAYS.INTL(Tasks[[#This Row],[Planned Finish]],Tasks[[#This Row],[Finish]],WorkWeek,Holidays)-1,1-NETWORKDAYS.INTL(Tasks[[#This Row],[Finish]],Tasks[[#This Row],[Planned Finish]],WorkWeek,Holidays)))</f>
        <v/>
      </c>
      <c r="AO97" s="21" t="str">
        <f aca="false">IF(Tasks[[#This Row],[Task Name]]="","",IF(Tasks[[#This Row],[Progress]]&gt;=1,"Complete",IF(OR(N(Tasks[[#This Row],[Actual Start]])&gt;0,Tasks[[#This Row],[Progress]]&gt;0),IF(Tasks[[#This Row],[Finish Var]]&gt;0,"Behind","In Progress"),IF(Tasks[[#This Row],[Planned Start]]&lt;StatusDate,"Late Start","Not Started"))))</f>
        <v/>
      </c>
      <c r="AP97" s="21" t="str">
        <f aca="false">IF(Tasks[[#This Row],[Task Name]]="","",IF(IF(Tasks[[#This Row],[_IsSummary]],COUNTIF(INDEX(Tasks[_LeafCritical],Tasks[[#This Row],[_Row]]+1):INDEX(Tasks[_LeafCritical],Tasks[[#This Row],[_Row]]+Tasks[[#This Row],[_Descendants]]),TRUE())&gt;0,Tasks[[#This Row],[_LeafCritical]]),"Yes",""))</f>
        <v/>
      </c>
      <c r="AQ97" s="63" t="str">
        <f aca="false">IF(Tasks[[#This Row],[Task Name]]="","",IF(N(Tasks[[#This Row],[Baseline Start]])&gt;0,Tasks[[#This Row],[Baseline Start]],Tasks[[#This Row],[_CalcStart]]))</f>
        <v/>
      </c>
      <c r="AR97" s="63" t="str">
        <f aca="false">IF(Tasks[[#This Row],[Task Name]]="","",IF(N(Tasks[[#This Row],[Baseline Finish]])&gt;0,Tasks[[#This Row],[Baseline Finish]],Tasks[[#This Row],[_CalcFinish]]))</f>
        <v/>
      </c>
      <c r="AS97" s="47" t="str">
        <f aca="false">IF(Tasks[[#This Row],[Task Name]]="","",IF(Tasks[[#This Row],[Start]]&gt;=Tasks[[#This Row],[Planned Start]],NETWORKDAYS.INTL(Tasks[[#This Row],[Planned Start]],Tasks[[#This Row],[Start]],WorkWeek,Holidays)-1,1-NETWORKDAYS.INTL(Tasks[[#This Row],[Start]],Tasks[[#This Row],[Planned Start]],WorkWeek,Holidays)))</f>
        <v/>
      </c>
      <c r="AT97" s="63" t="str">
        <f aca="false">IF(Tasks[[#This Row],[Task Name]]="","",IF(Tasks[[#This Row],[_IsSummary]],MIN(INDEX(Tasks[_LeafLateStart],Tasks[[#This Row],[_Row]]+1):INDEX(Tasks[_LeafLateStart],Tasks[[#This Row],[_Row]]+Tasks[[#This Row],[_Descendants]])),Tasks[[#This Row],[_LeafLateStart]]))</f>
        <v/>
      </c>
      <c r="AU97" s="63" t="str">
        <f aca="false">IF(Tasks[[#This Row],[Task Name]]="","",IF(Tasks[[#This Row],[_IsSummary]],MAX(INDEX(Tasks[_LeafLateFinish],Tasks[[#This Row],[_Row]]+1):INDEX(Tasks[_LeafLateFinish],Tasks[[#This Row],[_Row]]+Tasks[[#This Row],[_Descendants]])),Tasks[[#This Row],[_LeafLateFinish]]))</f>
        <v/>
      </c>
      <c r="AV97" s="47" t="str">
        <f aca="false">IF(Tasks[[#This Row],[Task Name]]="","",IF(Tasks[[#This Row],[_IsSummary]],MIN(INDEX(Tasks[_LeafTotalSlack],Tasks[[#This Row],[_Row]]+1):INDEX(Tasks[_LeafTotalSlack],Tasks[[#This Row],[_Row]]+Tasks[[#This Row],[_Descendants]])),Tasks[[#This Row],[_LeafTotalSlack]]))</f>
        <v/>
      </c>
      <c r="AW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5"/>
      <c r="BA9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1" t="str">
        <f aca="false">IF(Tasks[[#This Row],[Task Name]]="","",IF(Tasks[[#This Row],[_Level]]&lt;=OutlineShowLevel,"Yes","No"))</f>
        <v/>
      </c>
      <c r="BE97" s="86" t="str">
        <f aca="false">IF(Tasks[[#This Row],[Task Name]]="","",IF(Tasks[[#This Row],[_IsSummary]],SUM(INDEX(Tasks[_LeafTotalWork],Tasks[[#This Row],[_Row]]+1):INDEX(Tasks[_LeafTotalWork],Tasks[[#This Row],[_Row]]+Tasks[[#This Row],[_Descendants]])),Tasks[[#This Row],[_LeafTotalWork]]))</f>
        <v/>
      </c>
      <c r="BF97" s="23"/>
      <c r="BG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7" s="21" t="str">
        <f aca="false">""</f>
        <v/>
      </c>
      <c r="BI97" s="87"/>
      <c r="BJ97" s="22"/>
      <c r="BK97" s="47" t="str">
        <f aca="false">IF(OR(Tasks[[#This Row],[Task Name]]="",Tasks[[#This Row],[Baseline Duration]]=""),"",Tasks[[#This Row],[_SpanDays]]-N(Tasks[[#This Row],[Baseline Duration]]))</f>
        <v/>
      </c>
      <c r="BL97" s="86" t="str">
        <f aca="false">IF(OR(Tasks[[#This Row],[Task Name]]="",Tasks[[#This Row],[Baseline Work]]=""),"",Tasks[[#This Row],[Work]]-N(Tasks[[#This Row],[Baseline Work]]))</f>
        <v/>
      </c>
      <c r="BM97" s="63" t="str">
        <f aca="false">IF(Tasks[[#This Row],[Task Name]]="","",IF(OR(TakeBaseline="Yes",N(Tasks[[#This Row],[Baseline Start]])=0),Tasks[[#This Row],[Start]],Tasks[[#This Row],[Baseline Start]]))</f>
        <v/>
      </c>
      <c r="BN97" s="63" t="str">
        <f aca="false">IF(Tasks[[#This Row],[Task Name]]="","",IF(OR(TakeBaseline="Yes",N(Tasks[[#This Row],[Baseline Finish]])=0),Tasks[[#This Row],[Finish]],Tasks[[#This Row],[Baseline Finish]]))</f>
        <v/>
      </c>
      <c r="BO97" s="21" t="str">
        <f aca="false">IF(Tasks[[#This Row],[Task Name]]="","",IF(OR(TakeBaseline="Yes",N(Tasks[[#This Row],[Baseline Duration]])=0),Tasks[[#This Row],[_SpanDays]],Tasks[[#This Row],[Baseline Duration]]))</f>
        <v/>
      </c>
      <c r="BP97" s="86" t="str">
        <f aca="false">IF(Tasks[[#This Row],[Task Name]]="","",IF(OR(TakeBaseline="Yes",N(Tasks[[#This Row],[Baseline Work]])=0),Tasks[[#This Row],[Work]],Tasks[[#This Row],[Baseline Work]]))</f>
        <v/>
      </c>
      <c r="BQ97" s="7"/>
      <c r="BR97" s="7"/>
      <c r="BS97" s="22"/>
      <c r="BT97" s="88"/>
      <c r="BU97" s="23"/>
      <c r="BV97" s="23"/>
      <c r="BW97" s="23"/>
      <c r="BX97" s="89" t="str">
        <f aca="false">IF(AND(Tasks[[#This Row],[_IsLeaf]]=1,ISNUMBER(Tasks[[#This Row],[Optimistic]]),ISNUMBER(Tasks[[#This Row],[Pessimistic]])),ROUND((Tasks[[#This Row],[Optimistic]]+4*N(Tasks[[#This Row],[_Days]])+Tasks[[#This Row],[Pessimistic]])/6,1),"")</f>
        <v/>
      </c>
      <c r="BY97" s="87"/>
      <c r="BZ97" s="87"/>
      <c r="CA97" s="22"/>
      <c r="CB97" s="43" t="str">
        <f aca="false">IF(Tasks[[#This Row],[Task Name]]="","",MAX(1,N(Tasks[[#This Row],[Level]])))</f>
        <v/>
      </c>
      <c r="CC97" s="43" t="n">
        <f aca="false">ROW()-ROW(Tasks[[#Headers],[ID]])</f>
        <v>92</v>
      </c>
      <c r="CD97" s="43" t="n">
        <f aca="false">IF(OR(Tasks[[#This Row],[Task Name]]="",Tasks[[#This Row],[_Level]]&lt;=1),0,IFERROR(LOOKUP(2,1/(Tasks[[#Headers],[_Level]]:Tasks[[#This Row],[_Level]]=Tasks[[#This Row],[_Level]]-1),ROW(Tasks[[#Headers],[_Level]]:Tasks[[#This Row],[_Level]])),0))</f>
        <v>0</v>
      </c>
      <c r="CE97" s="43" t="n">
        <f aca="false">IFERROR(N(INDEX(Tasks[_Level],Tasks[[#This Row],[_Row]]+1)),0)</f>
        <v>0</v>
      </c>
      <c r="CF97" s="90" t="b">
        <f aca="false">AND(Tasks[[#This Row],[Task Name]]&lt;&gt;"",Tasks[[#This Row],[_NextLevel]]&gt;Tasks[[#This Row],[_Level]])</f>
        <v>0</v>
      </c>
      <c r="CG97" s="43" t="n">
        <f aca="false">IF(Tasks[[#This Row],[_IsSummary]],COUNTIF(Tasks[WBS],Tasks[[#This Row],[WBS]]&amp;".*"),0)</f>
        <v>0</v>
      </c>
      <c r="CH97" s="43" t="n">
        <f aca="false">IF(AND(Tasks[[#This Row],[Task Name]]&lt;&gt;"",NOT(Tasks[[#This Row],[_IsSummary]])),1,0)</f>
        <v>0</v>
      </c>
      <c r="CI97" s="43" t="n">
        <f aca="false">IF(N(Tasks[[#This Row],[_Pred1UID]])=0,0,IFERROR(MATCH(Tasks[[#This Row],[_Pred1UID]],Tasks[UID],0),-1))</f>
        <v>0</v>
      </c>
      <c r="CJ97" s="43" t="n">
        <f aca="false">IF(N(Tasks[[#This Row],[_Pred2UID]])=0,0,IFERROR(MATCH(Tasks[[#This Row],[_Pred2UID]],Tasks[UID],0),-1))</f>
        <v>0</v>
      </c>
      <c r="CK97" s="43" t="n">
        <f aca="false">IF(N(Tasks[[#This Row],[_Pred3UID]])=0,0,IFERROR(MATCH(Tasks[[#This Row],[_Pred3UID]],Tasks[UID],0),-1))</f>
        <v>0</v>
      </c>
      <c r="CL97" s="43" t="n">
        <f aca="false">IF(N(Tasks[[#This Row],[_Pred4UID]])=0,0,IFERROR(MATCH(Tasks[[#This Row],[_Pred4UID]],Tasks[UID],0),-1))</f>
        <v>0</v>
      </c>
      <c r="CM9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7" s="91" t="n">
        <f aca="false">IF(OR(Tasks[[#This Row],[_ConstraintCode]]=2,Tasks[[#This Row],[_ConstraintCode]]=3,Tasks[[#This Row],[_ConstraintCode]]=4,Tasks[[#This Row],[_ConstraintCode]]=6),Tasks[[#This Row],[_ConstraintStart]],0)</f>
        <v>0</v>
      </c>
      <c r="CP97" s="91" t="n">
        <f aca="false">IF(OR(Tasks[[#This Row],[_ConstraintCode]]=2,Tasks[[#This Row],[_ConstraintCode]]=3,Tasks[[#This Row],[_ConstraintCode]]=5,Tasks[[#This Row],[_ConstraintCode]]=7),Tasks[[#This Row],[_ConstraintStart]],2958465)</f>
        <v>2958465</v>
      </c>
      <c r="CQ9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7" s="91" t="str">
        <f aca="false">IF(NOT(Tasks[[#This Row],[_IsLeaf]]=1),"",IF(N(Tasks[[#This Row],[_Days]])&lt;=0,Tasks[[#This Row],[_LeafCalcStart]],WORKDAY.INTL(Tasks[[#This Row],[_LeafCalcStart]],Tasks[[#This Row],[_Days]]-1,WorkWeek,Holidays)))</f>
        <v/>
      </c>
      <c r="CS9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7" s="43" t="str">
        <f aca="false">IF(Tasks[[#This Row],[_Predecessors]]="","",TRIM(MID(SUBSTITUTE(SUBSTITUTE(SUBSTITUTE(UPPER(Tasks[[#This Row],[_Predecessors]]),";",",")," ",""),",",REPT(" ",99)),1,99)))</f>
        <v/>
      </c>
      <c r="CV97" s="43" t="str">
        <f aca="false">IF(Tasks[[#This Row],[_Pred1Text]]="","",IFERROR(VALUE(LEFT(Tasks[[#This Row],[_Pred1Text]],MIN(FIND("F",Tasks[[#This Row],[_Pred1Text]]&amp;"F"),FIND("S",Tasks[[#This Row],[_Pred1Text]]&amp;"S"),FIND("+",Tasks[[#This Row],[_Pred1Text]]&amp;"+"),FIND("-",Tasks[[#This Row],[_Pred1Text]]&amp;"-"))-1)),""))</f>
        <v/>
      </c>
      <c r="CW9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7" s="43" t="str">
        <f aca="false">IF(Tasks[[#This Row],[_Pred1Text]]="","",TRIM(MID(SUBSTITUTE(SUBSTITUTE(SUBSTITUTE(UPPER(Tasks[[#This Row],[_Predecessors]]),";",",")," ",""),",",REPT(" ",99)),100,99)))</f>
        <v/>
      </c>
      <c r="CZ97" s="43" t="str">
        <f aca="false">IF(Tasks[[#This Row],[_Pred2Text]]="","",IFERROR(VALUE(LEFT(Tasks[[#This Row],[_Pred2Text]],MIN(FIND("F",Tasks[[#This Row],[_Pred2Text]]&amp;"F"),FIND("S",Tasks[[#This Row],[_Pred2Text]]&amp;"S"),FIND("+",Tasks[[#This Row],[_Pred2Text]]&amp;"+"),FIND("-",Tasks[[#This Row],[_Pred2Text]]&amp;"-"))-1)),""))</f>
        <v/>
      </c>
      <c r="DA9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7" s="43" t="str">
        <f aca="false">IF(Tasks[[#This Row],[_Pred2Text]]="","",TRIM(MID(SUBSTITUTE(SUBSTITUTE(SUBSTITUTE(UPPER(Tasks[[#This Row],[_Predecessors]]),";",",")," ",""),",",REPT(" ",99)),199,99)))</f>
        <v/>
      </c>
      <c r="DD97" s="43" t="str">
        <f aca="false">IF(Tasks[[#This Row],[_Pred3Text]]="","",IFERROR(VALUE(LEFT(Tasks[[#This Row],[_Pred3Text]],MIN(FIND("F",Tasks[[#This Row],[_Pred3Text]]&amp;"F"),FIND("S",Tasks[[#This Row],[_Pred3Text]]&amp;"S"),FIND("+",Tasks[[#This Row],[_Pred3Text]]&amp;"+"),FIND("-",Tasks[[#This Row],[_Pred3Text]]&amp;"-"))-1)),""))</f>
        <v/>
      </c>
      <c r="DE9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7" s="43" t="str">
        <f aca="false">IF(Tasks[[#This Row],[_Pred3Text]]="","",TRIM(MID(SUBSTITUTE(SUBSTITUTE(SUBSTITUTE(UPPER(Tasks[[#This Row],[_Predecessors]]),";",",")," ",""),",",REPT(" ",99)),298,99)))</f>
        <v/>
      </c>
      <c r="DH97" s="43" t="str">
        <f aca="false">IF(Tasks[[#This Row],[_Pred4Text]]="","",IFERROR(VALUE(LEFT(Tasks[[#This Row],[_Pred4Text]],MIN(FIND("F",Tasks[[#This Row],[_Pred4Text]]&amp;"F"),FIND("S",Tasks[[#This Row],[_Pred4Text]]&amp;"S"),FIND("+",Tasks[[#This Row],[_Pred4Text]]&amp;"+"),FIND("-",Tasks[[#This Row],[_Pred4Text]]&amp;"-"))-1)),""))</f>
        <v/>
      </c>
      <c r="DI9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7" s="43" t="str">
        <f aca="false">IF(OR(Tasks[[#This Row],[Task Name]]="",Tasks[[#This Row],[_Resources]]=""),"",TRIM(MID(SUBSTITUTE(Tasks[[#This Row],[_Resources]],",",REPT(" ",99)),1,99)))</f>
        <v/>
      </c>
      <c r="DL97" s="43" t="str">
        <f aca="false">IF(Tasks[[#This Row],[_Res1Text]]="","",TRIM(MID(SUBSTITUTE(Tasks[[#This Row],[_Resources]],",",REPT(" ",99)),100,99)))</f>
        <v/>
      </c>
      <c r="DM97" s="43" t="str">
        <f aca="false">IF(Tasks[[#This Row],[_Res2Text]]="","",TRIM(MID(SUBSTITUTE(Tasks[[#This Row],[_Resources]],",",REPT(" ",99)),199,99)))</f>
        <v/>
      </c>
      <c r="DN97" s="43" t="str">
        <f aca="false">IF(Tasks[[#This Row],[_Res3Text]]="","",TRIM(MID(SUBSTITUTE(Tasks[[#This Row],[_Resources]],",",REPT(" ",99)),298,99)))</f>
        <v/>
      </c>
      <c r="DO97" s="43" t="n">
        <f aca="false">IF(Tasks[[#This Row],[_Res1Text]]="",0,IFERROR(MATCH(TRIM(LEFT(Tasks[[#This Row],[_Res1Text]],FIND("[",Tasks[[#This Row],[_Res1Text]]&amp;"[")-1)),res_Name,0),IFERROR(MATCH(TRIM(LEFT(Tasks[[#This Row],[_Res1Text]],FIND("[",Tasks[[#This Row],[_Res1Text]]&amp;"[")-1)),res_Initials,0),0)))</f>
        <v>0</v>
      </c>
      <c r="DP97" s="43" t="n">
        <f aca="false">IF(Tasks[[#This Row],[_Res2Text]]="",0,IFERROR(MATCH(TRIM(LEFT(Tasks[[#This Row],[_Res2Text]],FIND("[",Tasks[[#This Row],[_Res2Text]]&amp;"[")-1)),res_Name,0),IFERROR(MATCH(TRIM(LEFT(Tasks[[#This Row],[_Res2Text]],FIND("[",Tasks[[#This Row],[_Res2Text]]&amp;"[")-1)),res_Initials,0),0)))</f>
        <v>0</v>
      </c>
      <c r="DQ97" s="43" t="n">
        <f aca="false">IF(Tasks[[#This Row],[_Res3Text]]="",0,IFERROR(MATCH(TRIM(LEFT(Tasks[[#This Row],[_Res3Text]],FIND("[",Tasks[[#This Row],[_Res3Text]]&amp;"[")-1)),res_Name,0),IFERROR(MATCH(TRIM(LEFT(Tasks[[#This Row],[_Res3Text]],FIND("[",Tasks[[#This Row],[_Res3Text]]&amp;"[")-1)),res_Initials,0),0)))</f>
        <v>0</v>
      </c>
      <c r="DR97" s="43" t="n">
        <f aca="false">IF(Tasks[[#This Row],[_Res4Text]]="",0,IFERROR(MATCH(TRIM(LEFT(Tasks[[#This Row],[_Res4Text]],FIND("[",Tasks[[#This Row],[_Res4Text]]&amp;"[")-1)),res_Name,0),IFERROR(MATCH(TRIM(LEFT(Tasks[[#This Row],[_Res4Text]],FIND("[",Tasks[[#This Row],[_Res4Text]]&amp;"[")-1)),res_Initials,0),0)))</f>
        <v>0</v>
      </c>
      <c r="DS97" s="43" t="str">
        <f aca="false">IF(Tasks[[#This Row],[_Res1Text]]="","",IF(Tasks[[#This Row],[_Res1Row]]&gt;0,INDEX(res_Name,Tasks[[#This Row],[_Res1Row]]),TRIM(LEFT(Tasks[[#This Row],[_Res1Text]],FIND("[",Tasks[[#This Row],[_Res1Text]]&amp;"[")-1))))</f>
        <v/>
      </c>
      <c r="DT9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7" s="43" t="n">
        <f aca="false">IF(NOT(Tasks[[#This Row],[_IsLeaf]]=1),0,(Tasks[[#This Row],[_Resource1]]&lt;&gt;"")+(Tasks[[#This Row],[_Res2]]&lt;&gt;"")+(Tasks[[#This Row],[_Res3]]&lt;&gt;"")+(Tasks[[#This Row],[_Res4]]&lt;&gt;""))</f>
        <v>0</v>
      </c>
      <c r="DV97" s="43" t="str">
        <f aca="false">IF(Tasks[[#This Row],[_Res2Text]]="","",IF(Tasks[[#This Row],[_Res2Row]]&gt;0,INDEX(res_Name,Tasks[[#This Row],[_Res2Row]]),TRIM(LEFT(Tasks[[#This Row],[_Res2Text]],FIND("[",Tasks[[#This Row],[_Res2Text]]&amp;"[")-1))))</f>
        <v/>
      </c>
      <c r="DW9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7" s="43" t="n">
        <f aca="false">IF(OR(NOT(Tasks[[#This Row],[_IsLeaf]]=1),Tasks[[#This Row],[_Res2Row]]=0),0,N(Tasks[[#This Row],[_Days]])*HoursPerDay*IF(Tasks[[#This Row],[_Res2Units]]="",DefaultUnits,Tasks[[#This Row],[_Res2Units]]))</f>
        <v>0</v>
      </c>
      <c r="DY97" s="43" t="n">
        <f aca="false">IF(AND(AND(Tasks[[#This Row],[_IsLeaf]]=1,Tasks[[#This Row],[_LeafTotalWork]]&gt;0),Tasks[[#This Row],[_Res2Work]]&gt;0),Tasks[[#This Row],[_Res2Work]]/(Tasks[[#This Row],[_FinishWorkday]]-Tasks[[#This Row],[_StartWorkday]]+1),0)</f>
        <v>0</v>
      </c>
      <c r="DZ97" s="43" t="n">
        <f aca="false">Tasks[[#This Row],[_Res2WorkPerWD]]*MAX(0,Tasks[[#This Row],[_StartWorkday]]-1)</f>
        <v>0</v>
      </c>
      <c r="EA97" s="43" t="n">
        <f aca="false">Tasks[[#This Row],[_Res2Work]]*Tasks[[#This Row],[_LeafProgress]]</f>
        <v>0</v>
      </c>
      <c r="EB97" s="43" t="str">
        <f aca="false">IF(Tasks[[#This Row],[_Res3Text]]="","",IF(Tasks[[#This Row],[_Res3Row]]&gt;0,INDEX(res_Name,Tasks[[#This Row],[_Res3Row]]),TRIM(LEFT(Tasks[[#This Row],[_Res3Text]],FIND("[",Tasks[[#This Row],[_Res3Text]]&amp;"[")-1))))</f>
        <v/>
      </c>
      <c r="EC9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7" s="43" t="n">
        <f aca="false">IF(OR(NOT(Tasks[[#This Row],[_IsLeaf]]=1),Tasks[[#This Row],[_Res3Row]]=0),0,N(Tasks[[#This Row],[_Days]])*HoursPerDay*IF(Tasks[[#This Row],[_Res3Units]]="",DefaultUnits,Tasks[[#This Row],[_Res3Units]]))</f>
        <v>0</v>
      </c>
      <c r="EE97" s="43" t="n">
        <f aca="false">IF(AND(AND(Tasks[[#This Row],[_IsLeaf]]=1,Tasks[[#This Row],[_LeafTotalWork]]&gt;0),Tasks[[#This Row],[_Res3Work]]&gt;0),Tasks[[#This Row],[_Res3Work]]/(Tasks[[#This Row],[_FinishWorkday]]-Tasks[[#This Row],[_StartWorkday]]+1),0)</f>
        <v>0</v>
      </c>
      <c r="EF97" s="43" t="n">
        <f aca="false">Tasks[[#This Row],[_Res3WorkPerWD]]*MAX(0,Tasks[[#This Row],[_StartWorkday]]-1)</f>
        <v>0</v>
      </c>
      <c r="EG97" s="43" t="n">
        <f aca="false">Tasks[[#This Row],[_Res3Work]]*Tasks[[#This Row],[_LeafProgress]]</f>
        <v>0</v>
      </c>
      <c r="EH97" s="43" t="str">
        <f aca="false">IF(Tasks[[#This Row],[_Res4Text]]="","",IF(Tasks[[#This Row],[_Res4Row]]&gt;0,INDEX(res_Name,Tasks[[#This Row],[_Res4Row]]),TRIM(LEFT(Tasks[[#This Row],[_Res4Text]],FIND("[",Tasks[[#This Row],[_Res4Text]]&amp;"[")-1))))</f>
        <v/>
      </c>
      <c r="EI9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7" s="43" t="n">
        <f aca="false">IF(OR(NOT(Tasks[[#This Row],[_IsLeaf]]=1),Tasks[[#This Row],[_Res4Row]]=0),0,N(Tasks[[#This Row],[_Days]])*HoursPerDay*IF(Tasks[[#This Row],[_Res4Units]]="",DefaultUnits,Tasks[[#This Row],[_Res4Units]]))</f>
        <v>0</v>
      </c>
      <c r="EK97" s="43" t="n">
        <f aca="false">IF(AND(AND(Tasks[[#This Row],[_IsLeaf]]=1,Tasks[[#This Row],[_LeafTotalWork]]&gt;0),Tasks[[#This Row],[_Res4Work]]&gt;0),Tasks[[#This Row],[_Res4Work]]/(Tasks[[#This Row],[_FinishWorkday]]-Tasks[[#This Row],[_StartWorkday]]+1),0)</f>
        <v>0</v>
      </c>
      <c r="EL97" s="43" t="n">
        <f aca="false">Tasks[[#This Row],[_Res4WorkPerWD]]*MAX(0,Tasks[[#This Row],[_StartWorkday]]-1)</f>
        <v>0</v>
      </c>
      <c r="EM97" s="43" t="n">
        <f aca="false">Tasks[[#This Row],[_Res4Work]]*Tasks[[#This Row],[_LeafProgress]]</f>
        <v>0</v>
      </c>
      <c r="EN97" s="43" t="n">
        <f aca="false">IF(ISNUMBER(Tasks[[#This Row],[% Complete]]),Tasks[[#This Row],[% Complete]],IF(Tasks[[#This Row],[Stage]]="",0,IFERROR(INDEX(stg_Pct,MATCH(Tasks[[#This Row],[Stage]],stg_Name,0)),0)))</f>
        <v>0</v>
      </c>
      <c r="EO97" s="43" t="n">
        <f aca="false">IF(NOT(Tasks[[#This Row],[_IsLeaf]]=1),0,IF(N(Tasks[[#This Row],[Actual Finish]])&gt;0,1,MIN(1,Tasks[[#This Row],[_Pct]])))</f>
        <v>0</v>
      </c>
      <c r="EP97" s="43" t="n">
        <f aca="false">IF(OR(NOT(Tasks[[#This Row],[_IsLeaf]]=1),Tasks[[#This Row],[_Res1Row]]=0),0,N(Tasks[[#This Row],[_Days]])*HoursPerDay*IF(Tasks[[#This Row],[_Units1]]="",DefaultUnits,Tasks[[#This Row],[_Units1]]))</f>
        <v>0</v>
      </c>
      <c r="EQ97" s="43" t="n">
        <f aca="false">Tasks[[#This Row],[_LeafWork]]+Tasks[[#This Row],[_Res2Work]]+Tasks[[#This Row],[_Res3Work]]+Tasks[[#This Row],[_Res4Work]]</f>
        <v>0</v>
      </c>
      <c r="ER9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7" s="43" t="n">
        <f aca="false">IF(NOT(Tasks[[#This Row],[_IsLeaf]]=1),0,MAX(_xlfn.MAXIFS(Tasks[_Row],Tasks[_Pred1UID],Tasks[[#This Row],[UID]]),_xlfn.MAXIFS(Tasks[_Row],Tasks[_Pred2UID],Tasks[[#This Row],[UID]]),_xlfn.MAXIFS(Tasks[_Row],Tasks[_Pred3UID],Tasks[[#This Row],[UID]]),_xlfn.MAXIFS(Tasks[_Row],Tasks[_Pred4UID],Tasks[[#This Row],[UID]])))</f>
        <v>0</v>
      </c>
      <c r="FA9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7" s="91" t="str">
        <f aca="false">IF(NOT(Tasks[[#This Row],[_IsLeaf]]=1),"",IF(N(Tasks[[#This Row],[_Days]])&lt;=0,Tasks[[#This Row],[_LeafLateFinish]],WORKDAY.INTL(Tasks[[#This Row],[_LeafLateFinish]],-(Tasks[[#This Row],[_Days]]-1),WorkWeek,Holidays)))</f>
        <v/>
      </c>
      <c r="FD9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7" s="90" t="b">
        <f aca="false">AND(Tasks[[#This Row],[_IsLeaf]]=1,Tasks[[#This Row],[_LeafProgress]]&lt;1,N(Tasks[[#This Row],[_LeafTotalSlack]])&lt;=CriticalSlackDays)</f>
        <v>0</v>
      </c>
      <c r="FF97" s="43" t="n">
        <f aca="false">IF(AND(Tasks[[#This Row],[_IsLeaf]]=1,Tasks[[#This Row],[_ConstraintCode]]=1,Tasks[[#This Row],[Mode]]&lt;&gt;"Manual",N(Tasks[[#This Row],[Actual Start]])=0),MAX(0,N(Tasks[[#This Row],[Free Slack]])),0)</f>
        <v>0</v>
      </c>
      <c r="FG97" s="91" t="str">
        <f aca="false">IF(NOT(Tasks[[#This Row],[_IsLeaf]]=1),"",IF(Tasks[[#This Row],[_AlapShift]]=0,Tasks[[#This Row],[_LeafCalcStart]],WORKDAY.INTL(Tasks[[#This Row],[_LeafCalcStart]],Tasks[[#This Row],[_AlapShift]],WorkWeek,Holidays)))</f>
        <v/>
      </c>
      <c r="FH97" s="91" t="str">
        <f aca="false">IF(NOT(Tasks[[#This Row],[_IsLeaf]]=1),"",IF(Tasks[[#This Row],[_AlapShift]]=0,Tasks[[#This Row],[_LeafCalcFinish]],WORKDAY.INTL(Tasks[[#This Row],[_LeafCalcFinish]],Tasks[[#This Row],[_AlapShift]],WorkWeek,Holidays)))</f>
        <v/>
      </c>
      <c r="FI97" s="91" t="str">
        <f aca="false">IF(NOT(Tasks[[#This Row],[_IsLeaf]]=1),"",IF(Tasks[[#This Row],[_AlapShift]]=0,Tasks[[#This Row],[_LeafFcstStart]],WORKDAY.INTL(Tasks[[#This Row],[_LeafFcstStart]],Tasks[[#This Row],[_AlapShift]],WorkWeek,Holidays)))</f>
        <v/>
      </c>
      <c r="FJ97" s="91" t="str">
        <f aca="false">IF(NOT(Tasks[[#This Row],[_IsLeaf]]=1),"",IF(Tasks[[#This Row],[_AlapShift]]=0,Tasks[[#This Row],[_LeafFcstFinish]],WORKDAY.INTL(Tasks[[#This Row],[_LeafFcstFinish]],Tasks[[#This Row],[_AlapShift]],WorkWeek,Holidays)))</f>
        <v/>
      </c>
      <c r="FK97" s="91" t="str">
        <f aca="false">IF(Tasks[[#This Row],[Task Name]]="","",IF(Tasks[[#This Row],[_IsSummary]],MIN(INDEX(Tasks[_ShownCalcStart],Tasks[[#This Row],[_Row]]+1):INDEX(Tasks[_ShownCalcStart],Tasks[[#This Row],[_Row]]+Tasks[[#This Row],[_Descendants]])),Tasks[[#This Row],[_ShownCalcStart]]))</f>
        <v/>
      </c>
      <c r="FL97" s="91" t="str">
        <f aca="false">IF(Tasks[[#This Row],[Task Name]]="","",IF(Tasks[[#This Row],[_IsSummary]],MAX(INDEX(Tasks[_ShownCalcFinish],Tasks[[#This Row],[_Row]]+1):INDEX(Tasks[_ShownCalcFinish],Tasks[[#This Row],[_Row]]+Tasks[[#This Row],[_Descendants]])),Tasks[[#This Row],[_ShownCalcFinish]]))</f>
        <v/>
      </c>
      <c r="FM9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7" s="43" t="n">
        <f aca="false">IF(AND(Tasks[[#This Row],[_IsLeaf]]=1,Tasks[[#This Row],[_LeafTotalWork]]&gt;0),NETWORKDAYS.INTL(ProjectStart,Tasks[[#This Row],[_ShownFcstStart]],WorkWeek,Holidays),0)</f>
        <v>0</v>
      </c>
      <c r="FZ97" s="43" t="n">
        <f aca="false">IF(AND(Tasks[[#This Row],[_IsLeaf]]=1,Tasks[[#This Row],[_LeafTotalWork]]&gt;0),MAX(Tasks[[#This Row],[_StartWorkday]],NETWORKDAYS.INTL(ProjectStart,Tasks[[#This Row],[_ShownFcstFinish]],WorkWeek,Holidays)),0)</f>
        <v>0</v>
      </c>
      <c r="GA97" s="43" t="n">
        <f aca="false">IF(AND(Tasks[[#This Row],[_IsLeaf]]=1,Tasks[[#This Row],[_LeafTotalWork]]&gt;0),Tasks[[#This Row],[_LeafWork]]/(Tasks[[#This Row],[_FinishWorkday]]-Tasks[[#This Row],[_StartWorkday]]+1),0)</f>
        <v>0</v>
      </c>
      <c r="GB97" s="43" t="n">
        <f aca="false">Tasks[[#This Row],[_WorkPerWorkday]]*(Tasks[[#This Row],[_StartWorkday]]-1)</f>
        <v>-0</v>
      </c>
      <c r="GC97" s="43" t="n">
        <f aca="false">IF(Tasks[[#This Row],[_IsLeaf]]=1,MAX(N(Tasks[[#This Row],[_Days]]),0.1),0)</f>
        <v>0</v>
      </c>
      <c r="GD97" s="43" t="n">
        <f aca="false">Tasks[[#This Row],[_WeightDur]]*Tasks[[#This Row],[_LeafProgress]]</f>
        <v>0</v>
      </c>
      <c r="GE97" s="43" t="n">
        <f aca="false">Tasks[[#This Row],[_WeightDur]]*Tasks[[#This Row],[_PlannedPct]]</f>
        <v>0</v>
      </c>
      <c r="GF9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7" s="43" t="str">
        <f aca="false">IF(AND(Tasks[[#This Row],[_IsLeaf]]=1,N(Tasks[[#This Row],[_Days]])=0,Tasks[[#This Row],[_LeafProgress]]&lt;1),Tasks[[#This Row],[_ShownFcstFinish]]+Tasks[[#This Row],[_Row]]/100000,"")</f>
        <v/>
      </c>
      <c r="GH9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7" s="43" t="str">
        <f aca="false">IF(Tasks[[#This Row],[Task Name]]="","",LEFT(Tasks[[#This Row],[WBS]],FIND(".",Tasks[[#This Row],[WBS]]&amp;".")-1))</f>
        <v/>
      </c>
      <c r="GJ97" s="43" t="str">
        <f aca="false">IF(AND(Tasks[[#This Row],[Task Name]]&lt;&gt;"",Tasks[[#This Row],[_Level]]=1),Tasks[[#This Row],[_Row]],"")</f>
        <v/>
      </c>
      <c r="GK97" s="43" t="str">
        <f aca="false">IF(AND(Tasks[[#This Row],[_IsLeaf]]=1,N(Tasks[[#This Row],[_Days]])=0),Tasks[[#This Row],[Planned Finish]]+Tasks[[#This Row],[_Row]]/100000,"")</f>
        <v/>
      </c>
      <c r="GL97" s="43" t="str">
        <f aca="false">IF(AND(Tasks[[#This Row],[_IsLeaf]]=1,Tasks[[#This Row],[_LeafProgress]]&lt;1,OR(N(Tasks[[#This Row],[Finish Var]])&gt;0,Tasks[[#This Row],[Status]]="Late Start")),MAX(0,Tasks[[#This Row],[Finish Var]])+1-Tasks[[#This Row],[_Row]]/1000000,"")</f>
        <v/>
      </c>
      <c r="GM97" s="43" t="str">
        <f aca="false">IF(AND(Tasks[[#This Row],[_IsLeaf]]=1,N(Tasks[[#This Row],[Actual Start]])=0,Tasks[[#This Row],[_ShownFcstStart]]&gt;=StatusDate,Tasks[[#This Row],[_ShownFcstStart]]&lt;=LookaheadEnd),Tasks[[#This Row],[_ShownFcstStart]]+Tasks[[#This Row],[_Row]]/100000,"")</f>
        <v/>
      </c>
      <c r="GN97" s="43" t="str">
        <f aca="false">IF(AND(Tasks[[#This Row],[_IsLeaf]]=1,Tasks[[#This Row],[_LeafProgress]]&lt;1,Tasks[[#This Row],[_ShownFcstFinish]]&gt;=StatusDate,Tasks[[#This Row],[_ShownFcstFinish]]&lt;=LookaheadEnd),Tasks[[#This Row],[_ShownFcstFinish]]+Tasks[[#This Row],[_Row]]/100000,"")</f>
        <v/>
      </c>
      <c r="GO97" s="43" t="str">
        <f aca="false">IF(Tasks[[#This Row],[_LeafCritical]],Tasks[[#This Row],[_ShownFcstStart]]+Tasks[[#This Row],[_Row]]/100000,"")</f>
        <v/>
      </c>
      <c r="GP97" s="43" t="n">
        <f aca="false">Tasks[[#This Row],[_LeafWork]]*Tasks[[#This Row],[_LeafProgress]]</f>
        <v>0</v>
      </c>
      <c r="GQ97" s="91" t="str">
        <f aca="false">IF(AND(Tasks[[#This Row],[_IsLeaf]]=1,Tasks[[#This Row],[_LeafProgress]]&gt;=1),IF(N(Tasks[[#This Row],[Actual Finish]])&gt;0,Tasks[[#This Row],[Actual Finish]],Tasks[[#This Row],[_ShownFcstFinish]]),"")</f>
        <v/>
      </c>
      <c r="GR97" s="43" t="n">
        <f aca="false">IF(Tasks[[#This Row],[_IsLeaf]]=1,N(Tasks[[#This Row],[Story Points]]),0)</f>
        <v>0</v>
      </c>
      <c r="GS97" s="43" t="str">
        <f aca="false">""</f>
        <v/>
      </c>
      <c r="GT97" s="90" t="b">
        <f aca="false">IF(Tasks[[#This Row],[Task Name]]="",FALSE(),AND(Tasks[[#This Row],[_IsLeaf]]=1,N(Tasks[[#This Row],[_Days]])=0))</f>
        <v>0</v>
      </c>
      <c r="GU97" s="91" t="n">
        <f aca="false">IF(Tasks[[#This Row],[Task Name]]="",0,IF(AND(Tasks[[#This Row],[_IsLeaf]]=1,NOT(Tasks[[#This Row],[_IsMilestone]]),N(Tasks[[#This Row],[Progress]])&gt;0),Tasks[[#This Row],[Start]],0))</f>
        <v>0</v>
      </c>
      <c r="GV97" s="91" t="n">
        <f aca="false">IF(Tasks[[#This Row],[_DoneFrom]]=0,0,IF(Tasks[[#This Row],[Progress]]&gt;=1,Tasks[[#This Row],[Finish]],MAX(Tasks[[#This Row],[_DoneFrom]],Tasks[[#This Row],[Start]]+ROUND((Tasks[[#This Row],[Finish]]-Tasks[[#This Row],[Start]]+1)*Tasks[[#This Row],[Progress]],0)-1)))</f>
        <v>0</v>
      </c>
      <c r="GW97" s="91" t="n">
        <f aca="false">IF(Tasks[[#This Row],[Task Name]]="",0,IF(OR(NOT(Tasks[[#This Row],[_IsLeaf]]=1),Tasks[[#This Row],[_IsMilestone]],N(Tasks[[#This Row],[Progress]])&gt;=1),0,IF(Tasks[[#This Row],[_DoneTo]]&gt;0,Tasks[[#This Row],[_DoneTo]]+1,Tasks[[#This Row],[Start]])))</f>
        <v>0</v>
      </c>
      <c r="GX97" s="91" t="n">
        <f aca="false">IF(Tasks[[#This Row],[_RemFrom]]=0,0,Tasks[[#This Row],[Finish]])</f>
        <v>0</v>
      </c>
      <c r="GY97" s="90" t="b">
        <f aca="false">IF(Tasks[[#This Row],[Task Name]]="",FALSE(),OR(NOT(BaselineSet),N(Tasks[[#This Row],[Baseline Start]])&gt;0))</f>
        <v>0</v>
      </c>
      <c r="GZ9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7" s="92" t="str">
        <f aca="false">IF(Tasks[[#This Row],[_IsLeaf]]=1,Tasks[[#This Row],[_Row]],"")</f>
        <v/>
      </c>
      <c r="HD97" s="92" t="str">
        <f aca="false">IFERROR(INDEX(Tasks[UID],SMALL(Tasks[_PickKey],Tasks[[#This Row],[_Row]]))&amp;" "&amp;INDEX(Tasks[Task Name],SMALL(Tasks[_PickKey],Tasks[[#This Row],[_Row]])),"")</f>
        <v/>
      </c>
      <c r="HE97" s="43" t="str">
        <f aca="false">IF(Tasks[[#This Row],[Task Name]]="","",IF(Tasks[[#This Row],[_IsSummary]],NETWORKDAYS.INTL(Tasks[[#This Row],[Start]],Tasks[[#This Row],[Finish]],WorkWeek,Holidays),N(Tasks[[#This Row],[_Days]])))</f>
        <v/>
      </c>
      <c r="HF97" s="43" t="n">
        <f aca="false">IF(Tasks[[#This Row],[Expected]]="",0,((Tasks[[#This Row],[Pessimistic]]-Tasks[[#This Row],[Optimistic]])/6)^2)</f>
        <v>0</v>
      </c>
      <c r="HG97" s="43" t="n">
        <f aca="false">IF(Tasks[[#This Row],[Expected]]="",0,Tasks[[#This Row],[Expected]]-N(Tasks[[#This Row],[_Days]]))</f>
        <v>0</v>
      </c>
    </row>
    <row r="98" customFormat="false" ht="15" hidden="false" customHeight="false" outlineLevel="0" collapsed="false">
      <c r="A98" s="21" t="str">
        <f aca="false">IF(Tasks[[#This Row],[Task Name]]="","",COUNTA(Tasks[[#Headers],[Task Name]]:Tasks[[#This Row],[Task Name]])-1)</f>
        <v/>
      </c>
      <c r="B98" s="22" t="n">
        <v>106</v>
      </c>
      <c r="C98" s="22"/>
      <c r="D98" s="23"/>
      <c r="E98" s="22"/>
      <c r="F98" s="23"/>
      <c r="G98" s="22"/>
      <c r="H98" s="22"/>
      <c r="I98" s="23"/>
      <c r="J98" s="22"/>
      <c r="K98" s="22"/>
      <c r="L98" s="23"/>
      <c r="M98" s="22"/>
      <c r="N98" s="22"/>
      <c r="O98" s="23"/>
      <c r="P98" s="22"/>
      <c r="Q98" s="22"/>
      <c r="R98" s="23"/>
      <c r="S98" s="23"/>
      <c r="T98" s="84"/>
      <c r="U98" s="23"/>
      <c r="V98" s="84"/>
      <c r="W98" s="23"/>
      <c r="X98" s="84"/>
      <c r="Y98" s="23"/>
      <c r="Z98" s="84"/>
      <c r="AA98" s="23"/>
      <c r="AB98" s="23"/>
      <c r="AC98" s="7"/>
      <c r="AD98" s="7"/>
      <c r="AE98" s="63" t="str">
        <f aca="false">IF(Tasks[[#This Row],[Task Name]]="","",IF(Tasks[[#This Row],[_IsSummary]],MIN(INDEX(Tasks[_ShownFcstStart],Tasks[[#This Row],[_Row]]+1):INDEX(Tasks[_ShownFcstStart],Tasks[[#This Row],[_Row]]+Tasks[[#This Row],[_Descendants]])),Tasks[[#This Row],[_ShownFcstStart]]))</f>
        <v/>
      </c>
      <c r="AF98" s="63" t="str">
        <f aca="false">IF(Tasks[[#This Row],[Task Name]]="","",IF(Tasks[[#This Row],[_IsSummary]],MAX(INDEX(Tasks[_ShownFcstFinish],Tasks[[#This Row],[_Row]]+1):INDEX(Tasks[_ShownFcstFinish],Tasks[[#This Row],[_Row]]+Tasks[[#This Row],[_Descendants]])),Tasks[[#This Row],[_ShownFcstFinish]]))</f>
        <v/>
      </c>
      <c r="AG98" s="21" t="str">
        <f aca="false">""</f>
        <v/>
      </c>
      <c r="AH98" s="23"/>
      <c r="AI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8" s="7"/>
      <c r="AK98" s="22"/>
      <c r="AL98" s="23"/>
      <c r="AM98" s="7"/>
      <c r="AN98" s="47" t="str">
        <f aca="false">IF(Tasks[[#This Row],[Task Name]]="","",IF(Tasks[[#This Row],[Finish]]&gt;=Tasks[[#This Row],[Planned Finish]],NETWORKDAYS.INTL(Tasks[[#This Row],[Planned Finish]],Tasks[[#This Row],[Finish]],WorkWeek,Holidays)-1,1-NETWORKDAYS.INTL(Tasks[[#This Row],[Finish]],Tasks[[#This Row],[Planned Finish]],WorkWeek,Holidays)))</f>
        <v/>
      </c>
      <c r="AO98" s="21" t="str">
        <f aca="false">IF(Tasks[[#This Row],[Task Name]]="","",IF(Tasks[[#This Row],[Progress]]&gt;=1,"Complete",IF(OR(N(Tasks[[#This Row],[Actual Start]])&gt;0,Tasks[[#This Row],[Progress]]&gt;0),IF(Tasks[[#This Row],[Finish Var]]&gt;0,"Behind","In Progress"),IF(Tasks[[#This Row],[Planned Start]]&lt;StatusDate,"Late Start","Not Started"))))</f>
        <v/>
      </c>
      <c r="AP98" s="21" t="str">
        <f aca="false">IF(Tasks[[#This Row],[Task Name]]="","",IF(IF(Tasks[[#This Row],[_IsSummary]],COUNTIF(INDEX(Tasks[_LeafCritical],Tasks[[#This Row],[_Row]]+1):INDEX(Tasks[_LeafCritical],Tasks[[#This Row],[_Row]]+Tasks[[#This Row],[_Descendants]]),TRUE())&gt;0,Tasks[[#This Row],[_LeafCritical]]),"Yes",""))</f>
        <v/>
      </c>
      <c r="AQ98" s="63" t="str">
        <f aca="false">IF(Tasks[[#This Row],[Task Name]]="","",IF(N(Tasks[[#This Row],[Baseline Start]])&gt;0,Tasks[[#This Row],[Baseline Start]],Tasks[[#This Row],[_CalcStart]]))</f>
        <v/>
      </c>
      <c r="AR98" s="63" t="str">
        <f aca="false">IF(Tasks[[#This Row],[Task Name]]="","",IF(N(Tasks[[#This Row],[Baseline Finish]])&gt;0,Tasks[[#This Row],[Baseline Finish]],Tasks[[#This Row],[_CalcFinish]]))</f>
        <v/>
      </c>
      <c r="AS98" s="47" t="str">
        <f aca="false">IF(Tasks[[#This Row],[Task Name]]="","",IF(Tasks[[#This Row],[Start]]&gt;=Tasks[[#This Row],[Planned Start]],NETWORKDAYS.INTL(Tasks[[#This Row],[Planned Start]],Tasks[[#This Row],[Start]],WorkWeek,Holidays)-1,1-NETWORKDAYS.INTL(Tasks[[#This Row],[Start]],Tasks[[#This Row],[Planned Start]],WorkWeek,Holidays)))</f>
        <v/>
      </c>
      <c r="AT98" s="63" t="str">
        <f aca="false">IF(Tasks[[#This Row],[Task Name]]="","",IF(Tasks[[#This Row],[_IsSummary]],MIN(INDEX(Tasks[_LeafLateStart],Tasks[[#This Row],[_Row]]+1):INDEX(Tasks[_LeafLateStart],Tasks[[#This Row],[_Row]]+Tasks[[#This Row],[_Descendants]])),Tasks[[#This Row],[_LeafLateStart]]))</f>
        <v/>
      </c>
      <c r="AU98" s="63" t="str">
        <f aca="false">IF(Tasks[[#This Row],[Task Name]]="","",IF(Tasks[[#This Row],[_IsSummary]],MAX(INDEX(Tasks[_LeafLateFinish],Tasks[[#This Row],[_Row]]+1):INDEX(Tasks[_LeafLateFinish],Tasks[[#This Row],[_Row]]+Tasks[[#This Row],[_Descendants]])),Tasks[[#This Row],[_LeafLateFinish]]))</f>
        <v/>
      </c>
      <c r="AV98" s="47" t="str">
        <f aca="false">IF(Tasks[[#This Row],[Task Name]]="","",IF(Tasks[[#This Row],[_IsSummary]],MIN(INDEX(Tasks[_LeafTotalSlack],Tasks[[#This Row],[_Row]]+1):INDEX(Tasks[_LeafTotalSlack],Tasks[[#This Row],[_Row]]+Tasks[[#This Row],[_Descendants]])),Tasks[[#This Row],[_LeafTotalSlack]]))</f>
        <v/>
      </c>
      <c r="AW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5"/>
      <c r="BA9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1" t="str">
        <f aca="false">IF(Tasks[[#This Row],[Task Name]]="","",IF(Tasks[[#This Row],[_Level]]&lt;=OutlineShowLevel,"Yes","No"))</f>
        <v/>
      </c>
      <c r="BE98" s="86" t="str">
        <f aca="false">IF(Tasks[[#This Row],[Task Name]]="","",IF(Tasks[[#This Row],[_IsSummary]],SUM(INDEX(Tasks[_LeafTotalWork],Tasks[[#This Row],[_Row]]+1):INDEX(Tasks[_LeafTotalWork],Tasks[[#This Row],[_Row]]+Tasks[[#This Row],[_Descendants]])),Tasks[[#This Row],[_LeafTotalWork]]))</f>
        <v/>
      </c>
      <c r="BF98" s="23"/>
      <c r="BG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8" s="21" t="str">
        <f aca="false">""</f>
        <v/>
      </c>
      <c r="BI98" s="87"/>
      <c r="BJ98" s="22"/>
      <c r="BK98" s="47" t="str">
        <f aca="false">IF(OR(Tasks[[#This Row],[Task Name]]="",Tasks[[#This Row],[Baseline Duration]]=""),"",Tasks[[#This Row],[_SpanDays]]-N(Tasks[[#This Row],[Baseline Duration]]))</f>
        <v/>
      </c>
      <c r="BL98" s="86" t="str">
        <f aca="false">IF(OR(Tasks[[#This Row],[Task Name]]="",Tasks[[#This Row],[Baseline Work]]=""),"",Tasks[[#This Row],[Work]]-N(Tasks[[#This Row],[Baseline Work]]))</f>
        <v/>
      </c>
      <c r="BM98" s="63" t="str">
        <f aca="false">IF(Tasks[[#This Row],[Task Name]]="","",IF(OR(TakeBaseline="Yes",N(Tasks[[#This Row],[Baseline Start]])=0),Tasks[[#This Row],[Start]],Tasks[[#This Row],[Baseline Start]]))</f>
        <v/>
      </c>
      <c r="BN98" s="63" t="str">
        <f aca="false">IF(Tasks[[#This Row],[Task Name]]="","",IF(OR(TakeBaseline="Yes",N(Tasks[[#This Row],[Baseline Finish]])=0),Tasks[[#This Row],[Finish]],Tasks[[#This Row],[Baseline Finish]]))</f>
        <v/>
      </c>
      <c r="BO98" s="21" t="str">
        <f aca="false">IF(Tasks[[#This Row],[Task Name]]="","",IF(OR(TakeBaseline="Yes",N(Tasks[[#This Row],[Baseline Duration]])=0),Tasks[[#This Row],[_SpanDays]],Tasks[[#This Row],[Baseline Duration]]))</f>
        <v/>
      </c>
      <c r="BP98" s="86" t="str">
        <f aca="false">IF(Tasks[[#This Row],[Task Name]]="","",IF(OR(TakeBaseline="Yes",N(Tasks[[#This Row],[Baseline Work]])=0),Tasks[[#This Row],[Work]],Tasks[[#This Row],[Baseline Work]]))</f>
        <v/>
      </c>
      <c r="BQ98" s="7"/>
      <c r="BR98" s="7"/>
      <c r="BS98" s="22"/>
      <c r="BT98" s="88"/>
      <c r="BU98" s="23"/>
      <c r="BV98" s="23"/>
      <c r="BW98" s="23"/>
      <c r="BX98" s="89" t="str">
        <f aca="false">IF(AND(Tasks[[#This Row],[_IsLeaf]]=1,ISNUMBER(Tasks[[#This Row],[Optimistic]]),ISNUMBER(Tasks[[#This Row],[Pessimistic]])),ROUND((Tasks[[#This Row],[Optimistic]]+4*N(Tasks[[#This Row],[_Days]])+Tasks[[#This Row],[Pessimistic]])/6,1),"")</f>
        <v/>
      </c>
      <c r="BY98" s="87"/>
      <c r="BZ98" s="87"/>
      <c r="CA98" s="22"/>
      <c r="CB98" s="43" t="str">
        <f aca="false">IF(Tasks[[#This Row],[Task Name]]="","",MAX(1,N(Tasks[[#This Row],[Level]])))</f>
        <v/>
      </c>
      <c r="CC98" s="43" t="n">
        <f aca="false">ROW()-ROW(Tasks[[#Headers],[ID]])</f>
        <v>93</v>
      </c>
      <c r="CD98" s="43" t="n">
        <f aca="false">IF(OR(Tasks[[#This Row],[Task Name]]="",Tasks[[#This Row],[_Level]]&lt;=1),0,IFERROR(LOOKUP(2,1/(Tasks[[#Headers],[_Level]]:Tasks[[#This Row],[_Level]]=Tasks[[#This Row],[_Level]]-1),ROW(Tasks[[#Headers],[_Level]]:Tasks[[#This Row],[_Level]])),0))</f>
        <v>0</v>
      </c>
      <c r="CE98" s="43" t="n">
        <f aca="false">IFERROR(N(INDEX(Tasks[_Level],Tasks[[#This Row],[_Row]]+1)),0)</f>
        <v>0</v>
      </c>
      <c r="CF98" s="90" t="b">
        <f aca="false">AND(Tasks[[#This Row],[Task Name]]&lt;&gt;"",Tasks[[#This Row],[_NextLevel]]&gt;Tasks[[#This Row],[_Level]])</f>
        <v>0</v>
      </c>
      <c r="CG98" s="43" t="n">
        <f aca="false">IF(Tasks[[#This Row],[_IsSummary]],COUNTIF(Tasks[WBS],Tasks[[#This Row],[WBS]]&amp;".*"),0)</f>
        <v>0</v>
      </c>
      <c r="CH98" s="43" t="n">
        <f aca="false">IF(AND(Tasks[[#This Row],[Task Name]]&lt;&gt;"",NOT(Tasks[[#This Row],[_IsSummary]])),1,0)</f>
        <v>0</v>
      </c>
      <c r="CI98" s="43" t="n">
        <f aca="false">IF(N(Tasks[[#This Row],[_Pred1UID]])=0,0,IFERROR(MATCH(Tasks[[#This Row],[_Pred1UID]],Tasks[UID],0),-1))</f>
        <v>0</v>
      </c>
      <c r="CJ98" s="43" t="n">
        <f aca="false">IF(N(Tasks[[#This Row],[_Pred2UID]])=0,0,IFERROR(MATCH(Tasks[[#This Row],[_Pred2UID]],Tasks[UID],0),-1))</f>
        <v>0</v>
      </c>
      <c r="CK98" s="43" t="n">
        <f aca="false">IF(N(Tasks[[#This Row],[_Pred3UID]])=0,0,IFERROR(MATCH(Tasks[[#This Row],[_Pred3UID]],Tasks[UID],0),-1))</f>
        <v>0</v>
      </c>
      <c r="CL98" s="43" t="n">
        <f aca="false">IF(N(Tasks[[#This Row],[_Pred4UID]])=0,0,IFERROR(MATCH(Tasks[[#This Row],[_Pred4UID]],Tasks[UID],0),-1))</f>
        <v>0</v>
      </c>
      <c r="CM9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8" s="91" t="n">
        <f aca="false">IF(OR(Tasks[[#This Row],[_ConstraintCode]]=2,Tasks[[#This Row],[_ConstraintCode]]=3,Tasks[[#This Row],[_ConstraintCode]]=4,Tasks[[#This Row],[_ConstraintCode]]=6),Tasks[[#This Row],[_ConstraintStart]],0)</f>
        <v>0</v>
      </c>
      <c r="CP98" s="91" t="n">
        <f aca="false">IF(OR(Tasks[[#This Row],[_ConstraintCode]]=2,Tasks[[#This Row],[_ConstraintCode]]=3,Tasks[[#This Row],[_ConstraintCode]]=5,Tasks[[#This Row],[_ConstraintCode]]=7),Tasks[[#This Row],[_ConstraintStart]],2958465)</f>
        <v>2958465</v>
      </c>
      <c r="CQ9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8" s="91" t="str">
        <f aca="false">IF(NOT(Tasks[[#This Row],[_IsLeaf]]=1),"",IF(N(Tasks[[#This Row],[_Days]])&lt;=0,Tasks[[#This Row],[_LeafCalcStart]],WORKDAY.INTL(Tasks[[#This Row],[_LeafCalcStart]],Tasks[[#This Row],[_Days]]-1,WorkWeek,Holidays)))</f>
        <v/>
      </c>
      <c r="CS9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8" s="43" t="str">
        <f aca="false">IF(Tasks[[#This Row],[_Predecessors]]="","",TRIM(MID(SUBSTITUTE(SUBSTITUTE(SUBSTITUTE(UPPER(Tasks[[#This Row],[_Predecessors]]),";",",")," ",""),",",REPT(" ",99)),1,99)))</f>
        <v/>
      </c>
      <c r="CV98" s="43" t="str">
        <f aca="false">IF(Tasks[[#This Row],[_Pred1Text]]="","",IFERROR(VALUE(LEFT(Tasks[[#This Row],[_Pred1Text]],MIN(FIND("F",Tasks[[#This Row],[_Pred1Text]]&amp;"F"),FIND("S",Tasks[[#This Row],[_Pred1Text]]&amp;"S"),FIND("+",Tasks[[#This Row],[_Pred1Text]]&amp;"+"),FIND("-",Tasks[[#This Row],[_Pred1Text]]&amp;"-"))-1)),""))</f>
        <v/>
      </c>
      <c r="CW9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8" s="43" t="str">
        <f aca="false">IF(Tasks[[#This Row],[_Pred1Text]]="","",TRIM(MID(SUBSTITUTE(SUBSTITUTE(SUBSTITUTE(UPPER(Tasks[[#This Row],[_Predecessors]]),";",",")," ",""),",",REPT(" ",99)),100,99)))</f>
        <v/>
      </c>
      <c r="CZ98" s="43" t="str">
        <f aca="false">IF(Tasks[[#This Row],[_Pred2Text]]="","",IFERROR(VALUE(LEFT(Tasks[[#This Row],[_Pred2Text]],MIN(FIND("F",Tasks[[#This Row],[_Pred2Text]]&amp;"F"),FIND("S",Tasks[[#This Row],[_Pred2Text]]&amp;"S"),FIND("+",Tasks[[#This Row],[_Pred2Text]]&amp;"+"),FIND("-",Tasks[[#This Row],[_Pred2Text]]&amp;"-"))-1)),""))</f>
        <v/>
      </c>
      <c r="DA9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8" s="43" t="str">
        <f aca="false">IF(Tasks[[#This Row],[_Pred2Text]]="","",TRIM(MID(SUBSTITUTE(SUBSTITUTE(SUBSTITUTE(UPPER(Tasks[[#This Row],[_Predecessors]]),";",",")," ",""),",",REPT(" ",99)),199,99)))</f>
        <v/>
      </c>
      <c r="DD98" s="43" t="str">
        <f aca="false">IF(Tasks[[#This Row],[_Pred3Text]]="","",IFERROR(VALUE(LEFT(Tasks[[#This Row],[_Pred3Text]],MIN(FIND("F",Tasks[[#This Row],[_Pred3Text]]&amp;"F"),FIND("S",Tasks[[#This Row],[_Pred3Text]]&amp;"S"),FIND("+",Tasks[[#This Row],[_Pred3Text]]&amp;"+"),FIND("-",Tasks[[#This Row],[_Pred3Text]]&amp;"-"))-1)),""))</f>
        <v/>
      </c>
      <c r="DE9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8" s="43" t="str">
        <f aca="false">IF(Tasks[[#This Row],[_Pred3Text]]="","",TRIM(MID(SUBSTITUTE(SUBSTITUTE(SUBSTITUTE(UPPER(Tasks[[#This Row],[_Predecessors]]),";",",")," ",""),",",REPT(" ",99)),298,99)))</f>
        <v/>
      </c>
      <c r="DH98" s="43" t="str">
        <f aca="false">IF(Tasks[[#This Row],[_Pred4Text]]="","",IFERROR(VALUE(LEFT(Tasks[[#This Row],[_Pred4Text]],MIN(FIND("F",Tasks[[#This Row],[_Pred4Text]]&amp;"F"),FIND("S",Tasks[[#This Row],[_Pred4Text]]&amp;"S"),FIND("+",Tasks[[#This Row],[_Pred4Text]]&amp;"+"),FIND("-",Tasks[[#This Row],[_Pred4Text]]&amp;"-"))-1)),""))</f>
        <v/>
      </c>
      <c r="DI9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8" s="43" t="str">
        <f aca="false">IF(OR(Tasks[[#This Row],[Task Name]]="",Tasks[[#This Row],[_Resources]]=""),"",TRIM(MID(SUBSTITUTE(Tasks[[#This Row],[_Resources]],",",REPT(" ",99)),1,99)))</f>
        <v/>
      </c>
      <c r="DL98" s="43" t="str">
        <f aca="false">IF(Tasks[[#This Row],[_Res1Text]]="","",TRIM(MID(SUBSTITUTE(Tasks[[#This Row],[_Resources]],",",REPT(" ",99)),100,99)))</f>
        <v/>
      </c>
      <c r="DM98" s="43" t="str">
        <f aca="false">IF(Tasks[[#This Row],[_Res2Text]]="","",TRIM(MID(SUBSTITUTE(Tasks[[#This Row],[_Resources]],",",REPT(" ",99)),199,99)))</f>
        <v/>
      </c>
      <c r="DN98" s="43" t="str">
        <f aca="false">IF(Tasks[[#This Row],[_Res3Text]]="","",TRIM(MID(SUBSTITUTE(Tasks[[#This Row],[_Resources]],",",REPT(" ",99)),298,99)))</f>
        <v/>
      </c>
      <c r="DO98" s="43" t="n">
        <f aca="false">IF(Tasks[[#This Row],[_Res1Text]]="",0,IFERROR(MATCH(TRIM(LEFT(Tasks[[#This Row],[_Res1Text]],FIND("[",Tasks[[#This Row],[_Res1Text]]&amp;"[")-1)),res_Name,0),IFERROR(MATCH(TRIM(LEFT(Tasks[[#This Row],[_Res1Text]],FIND("[",Tasks[[#This Row],[_Res1Text]]&amp;"[")-1)),res_Initials,0),0)))</f>
        <v>0</v>
      </c>
      <c r="DP98" s="43" t="n">
        <f aca="false">IF(Tasks[[#This Row],[_Res2Text]]="",0,IFERROR(MATCH(TRIM(LEFT(Tasks[[#This Row],[_Res2Text]],FIND("[",Tasks[[#This Row],[_Res2Text]]&amp;"[")-1)),res_Name,0),IFERROR(MATCH(TRIM(LEFT(Tasks[[#This Row],[_Res2Text]],FIND("[",Tasks[[#This Row],[_Res2Text]]&amp;"[")-1)),res_Initials,0),0)))</f>
        <v>0</v>
      </c>
      <c r="DQ98" s="43" t="n">
        <f aca="false">IF(Tasks[[#This Row],[_Res3Text]]="",0,IFERROR(MATCH(TRIM(LEFT(Tasks[[#This Row],[_Res3Text]],FIND("[",Tasks[[#This Row],[_Res3Text]]&amp;"[")-1)),res_Name,0),IFERROR(MATCH(TRIM(LEFT(Tasks[[#This Row],[_Res3Text]],FIND("[",Tasks[[#This Row],[_Res3Text]]&amp;"[")-1)),res_Initials,0),0)))</f>
        <v>0</v>
      </c>
      <c r="DR98" s="43" t="n">
        <f aca="false">IF(Tasks[[#This Row],[_Res4Text]]="",0,IFERROR(MATCH(TRIM(LEFT(Tasks[[#This Row],[_Res4Text]],FIND("[",Tasks[[#This Row],[_Res4Text]]&amp;"[")-1)),res_Name,0),IFERROR(MATCH(TRIM(LEFT(Tasks[[#This Row],[_Res4Text]],FIND("[",Tasks[[#This Row],[_Res4Text]]&amp;"[")-1)),res_Initials,0),0)))</f>
        <v>0</v>
      </c>
      <c r="DS98" s="43" t="str">
        <f aca="false">IF(Tasks[[#This Row],[_Res1Text]]="","",IF(Tasks[[#This Row],[_Res1Row]]&gt;0,INDEX(res_Name,Tasks[[#This Row],[_Res1Row]]),TRIM(LEFT(Tasks[[#This Row],[_Res1Text]],FIND("[",Tasks[[#This Row],[_Res1Text]]&amp;"[")-1))))</f>
        <v/>
      </c>
      <c r="DT9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8" s="43" t="n">
        <f aca="false">IF(NOT(Tasks[[#This Row],[_IsLeaf]]=1),0,(Tasks[[#This Row],[_Resource1]]&lt;&gt;"")+(Tasks[[#This Row],[_Res2]]&lt;&gt;"")+(Tasks[[#This Row],[_Res3]]&lt;&gt;"")+(Tasks[[#This Row],[_Res4]]&lt;&gt;""))</f>
        <v>0</v>
      </c>
      <c r="DV98" s="43" t="str">
        <f aca="false">IF(Tasks[[#This Row],[_Res2Text]]="","",IF(Tasks[[#This Row],[_Res2Row]]&gt;0,INDEX(res_Name,Tasks[[#This Row],[_Res2Row]]),TRIM(LEFT(Tasks[[#This Row],[_Res2Text]],FIND("[",Tasks[[#This Row],[_Res2Text]]&amp;"[")-1))))</f>
        <v/>
      </c>
      <c r="DW9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8" s="43" t="n">
        <f aca="false">IF(OR(NOT(Tasks[[#This Row],[_IsLeaf]]=1),Tasks[[#This Row],[_Res2Row]]=0),0,N(Tasks[[#This Row],[_Days]])*HoursPerDay*IF(Tasks[[#This Row],[_Res2Units]]="",DefaultUnits,Tasks[[#This Row],[_Res2Units]]))</f>
        <v>0</v>
      </c>
      <c r="DY98" s="43" t="n">
        <f aca="false">IF(AND(AND(Tasks[[#This Row],[_IsLeaf]]=1,Tasks[[#This Row],[_LeafTotalWork]]&gt;0),Tasks[[#This Row],[_Res2Work]]&gt;0),Tasks[[#This Row],[_Res2Work]]/(Tasks[[#This Row],[_FinishWorkday]]-Tasks[[#This Row],[_StartWorkday]]+1),0)</f>
        <v>0</v>
      </c>
      <c r="DZ98" s="43" t="n">
        <f aca="false">Tasks[[#This Row],[_Res2WorkPerWD]]*MAX(0,Tasks[[#This Row],[_StartWorkday]]-1)</f>
        <v>0</v>
      </c>
      <c r="EA98" s="43" t="n">
        <f aca="false">Tasks[[#This Row],[_Res2Work]]*Tasks[[#This Row],[_LeafProgress]]</f>
        <v>0</v>
      </c>
      <c r="EB98" s="43" t="str">
        <f aca="false">IF(Tasks[[#This Row],[_Res3Text]]="","",IF(Tasks[[#This Row],[_Res3Row]]&gt;0,INDEX(res_Name,Tasks[[#This Row],[_Res3Row]]),TRIM(LEFT(Tasks[[#This Row],[_Res3Text]],FIND("[",Tasks[[#This Row],[_Res3Text]]&amp;"[")-1))))</f>
        <v/>
      </c>
      <c r="EC9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8" s="43" t="n">
        <f aca="false">IF(OR(NOT(Tasks[[#This Row],[_IsLeaf]]=1),Tasks[[#This Row],[_Res3Row]]=0),0,N(Tasks[[#This Row],[_Days]])*HoursPerDay*IF(Tasks[[#This Row],[_Res3Units]]="",DefaultUnits,Tasks[[#This Row],[_Res3Units]]))</f>
        <v>0</v>
      </c>
      <c r="EE98" s="43" t="n">
        <f aca="false">IF(AND(AND(Tasks[[#This Row],[_IsLeaf]]=1,Tasks[[#This Row],[_LeafTotalWork]]&gt;0),Tasks[[#This Row],[_Res3Work]]&gt;0),Tasks[[#This Row],[_Res3Work]]/(Tasks[[#This Row],[_FinishWorkday]]-Tasks[[#This Row],[_StartWorkday]]+1),0)</f>
        <v>0</v>
      </c>
      <c r="EF98" s="43" t="n">
        <f aca="false">Tasks[[#This Row],[_Res3WorkPerWD]]*MAX(0,Tasks[[#This Row],[_StartWorkday]]-1)</f>
        <v>0</v>
      </c>
      <c r="EG98" s="43" t="n">
        <f aca="false">Tasks[[#This Row],[_Res3Work]]*Tasks[[#This Row],[_LeafProgress]]</f>
        <v>0</v>
      </c>
      <c r="EH98" s="43" t="str">
        <f aca="false">IF(Tasks[[#This Row],[_Res4Text]]="","",IF(Tasks[[#This Row],[_Res4Row]]&gt;0,INDEX(res_Name,Tasks[[#This Row],[_Res4Row]]),TRIM(LEFT(Tasks[[#This Row],[_Res4Text]],FIND("[",Tasks[[#This Row],[_Res4Text]]&amp;"[")-1))))</f>
        <v/>
      </c>
      <c r="EI9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8" s="43" t="n">
        <f aca="false">IF(OR(NOT(Tasks[[#This Row],[_IsLeaf]]=1),Tasks[[#This Row],[_Res4Row]]=0),0,N(Tasks[[#This Row],[_Days]])*HoursPerDay*IF(Tasks[[#This Row],[_Res4Units]]="",DefaultUnits,Tasks[[#This Row],[_Res4Units]]))</f>
        <v>0</v>
      </c>
      <c r="EK98" s="43" t="n">
        <f aca="false">IF(AND(AND(Tasks[[#This Row],[_IsLeaf]]=1,Tasks[[#This Row],[_LeafTotalWork]]&gt;0),Tasks[[#This Row],[_Res4Work]]&gt;0),Tasks[[#This Row],[_Res4Work]]/(Tasks[[#This Row],[_FinishWorkday]]-Tasks[[#This Row],[_StartWorkday]]+1),0)</f>
        <v>0</v>
      </c>
      <c r="EL98" s="43" t="n">
        <f aca="false">Tasks[[#This Row],[_Res4WorkPerWD]]*MAX(0,Tasks[[#This Row],[_StartWorkday]]-1)</f>
        <v>0</v>
      </c>
      <c r="EM98" s="43" t="n">
        <f aca="false">Tasks[[#This Row],[_Res4Work]]*Tasks[[#This Row],[_LeafProgress]]</f>
        <v>0</v>
      </c>
      <c r="EN98" s="43" t="n">
        <f aca="false">IF(ISNUMBER(Tasks[[#This Row],[% Complete]]),Tasks[[#This Row],[% Complete]],IF(Tasks[[#This Row],[Stage]]="",0,IFERROR(INDEX(stg_Pct,MATCH(Tasks[[#This Row],[Stage]],stg_Name,0)),0)))</f>
        <v>0</v>
      </c>
      <c r="EO98" s="43" t="n">
        <f aca="false">IF(NOT(Tasks[[#This Row],[_IsLeaf]]=1),0,IF(N(Tasks[[#This Row],[Actual Finish]])&gt;0,1,MIN(1,Tasks[[#This Row],[_Pct]])))</f>
        <v>0</v>
      </c>
      <c r="EP98" s="43" t="n">
        <f aca="false">IF(OR(NOT(Tasks[[#This Row],[_IsLeaf]]=1),Tasks[[#This Row],[_Res1Row]]=0),0,N(Tasks[[#This Row],[_Days]])*HoursPerDay*IF(Tasks[[#This Row],[_Units1]]="",DefaultUnits,Tasks[[#This Row],[_Units1]]))</f>
        <v>0</v>
      </c>
      <c r="EQ98" s="43" t="n">
        <f aca="false">Tasks[[#This Row],[_LeafWork]]+Tasks[[#This Row],[_Res2Work]]+Tasks[[#This Row],[_Res3Work]]+Tasks[[#This Row],[_Res4Work]]</f>
        <v>0</v>
      </c>
      <c r="ER9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8" s="43" t="n">
        <f aca="false">IF(NOT(Tasks[[#This Row],[_IsLeaf]]=1),0,MAX(_xlfn.MAXIFS(Tasks[_Row],Tasks[_Pred1UID],Tasks[[#This Row],[UID]]),_xlfn.MAXIFS(Tasks[_Row],Tasks[_Pred2UID],Tasks[[#This Row],[UID]]),_xlfn.MAXIFS(Tasks[_Row],Tasks[_Pred3UID],Tasks[[#This Row],[UID]]),_xlfn.MAXIFS(Tasks[_Row],Tasks[_Pred4UID],Tasks[[#This Row],[UID]])))</f>
        <v>0</v>
      </c>
      <c r="FA9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8" s="91" t="str">
        <f aca="false">IF(NOT(Tasks[[#This Row],[_IsLeaf]]=1),"",IF(N(Tasks[[#This Row],[_Days]])&lt;=0,Tasks[[#This Row],[_LeafLateFinish]],WORKDAY.INTL(Tasks[[#This Row],[_LeafLateFinish]],-(Tasks[[#This Row],[_Days]]-1),WorkWeek,Holidays)))</f>
        <v/>
      </c>
      <c r="FD9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8" s="90" t="b">
        <f aca="false">AND(Tasks[[#This Row],[_IsLeaf]]=1,Tasks[[#This Row],[_LeafProgress]]&lt;1,N(Tasks[[#This Row],[_LeafTotalSlack]])&lt;=CriticalSlackDays)</f>
        <v>0</v>
      </c>
      <c r="FF98" s="43" t="n">
        <f aca="false">IF(AND(Tasks[[#This Row],[_IsLeaf]]=1,Tasks[[#This Row],[_ConstraintCode]]=1,Tasks[[#This Row],[Mode]]&lt;&gt;"Manual",N(Tasks[[#This Row],[Actual Start]])=0),MAX(0,N(Tasks[[#This Row],[Free Slack]])),0)</f>
        <v>0</v>
      </c>
      <c r="FG98" s="91" t="str">
        <f aca="false">IF(NOT(Tasks[[#This Row],[_IsLeaf]]=1),"",IF(Tasks[[#This Row],[_AlapShift]]=0,Tasks[[#This Row],[_LeafCalcStart]],WORKDAY.INTL(Tasks[[#This Row],[_LeafCalcStart]],Tasks[[#This Row],[_AlapShift]],WorkWeek,Holidays)))</f>
        <v/>
      </c>
      <c r="FH98" s="91" t="str">
        <f aca="false">IF(NOT(Tasks[[#This Row],[_IsLeaf]]=1),"",IF(Tasks[[#This Row],[_AlapShift]]=0,Tasks[[#This Row],[_LeafCalcFinish]],WORKDAY.INTL(Tasks[[#This Row],[_LeafCalcFinish]],Tasks[[#This Row],[_AlapShift]],WorkWeek,Holidays)))</f>
        <v/>
      </c>
      <c r="FI98" s="91" t="str">
        <f aca="false">IF(NOT(Tasks[[#This Row],[_IsLeaf]]=1),"",IF(Tasks[[#This Row],[_AlapShift]]=0,Tasks[[#This Row],[_LeafFcstStart]],WORKDAY.INTL(Tasks[[#This Row],[_LeafFcstStart]],Tasks[[#This Row],[_AlapShift]],WorkWeek,Holidays)))</f>
        <v/>
      </c>
      <c r="FJ98" s="91" t="str">
        <f aca="false">IF(NOT(Tasks[[#This Row],[_IsLeaf]]=1),"",IF(Tasks[[#This Row],[_AlapShift]]=0,Tasks[[#This Row],[_LeafFcstFinish]],WORKDAY.INTL(Tasks[[#This Row],[_LeafFcstFinish]],Tasks[[#This Row],[_AlapShift]],WorkWeek,Holidays)))</f>
        <v/>
      </c>
      <c r="FK98" s="91" t="str">
        <f aca="false">IF(Tasks[[#This Row],[Task Name]]="","",IF(Tasks[[#This Row],[_IsSummary]],MIN(INDEX(Tasks[_ShownCalcStart],Tasks[[#This Row],[_Row]]+1):INDEX(Tasks[_ShownCalcStart],Tasks[[#This Row],[_Row]]+Tasks[[#This Row],[_Descendants]])),Tasks[[#This Row],[_ShownCalcStart]]))</f>
        <v/>
      </c>
      <c r="FL98" s="91" t="str">
        <f aca="false">IF(Tasks[[#This Row],[Task Name]]="","",IF(Tasks[[#This Row],[_IsSummary]],MAX(INDEX(Tasks[_ShownCalcFinish],Tasks[[#This Row],[_Row]]+1):INDEX(Tasks[_ShownCalcFinish],Tasks[[#This Row],[_Row]]+Tasks[[#This Row],[_Descendants]])),Tasks[[#This Row],[_ShownCalcFinish]]))</f>
        <v/>
      </c>
      <c r="FM9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8" s="43" t="n">
        <f aca="false">IF(AND(Tasks[[#This Row],[_IsLeaf]]=1,Tasks[[#This Row],[_LeafTotalWork]]&gt;0),NETWORKDAYS.INTL(ProjectStart,Tasks[[#This Row],[_ShownFcstStart]],WorkWeek,Holidays),0)</f>
        <v>0</v>
      </c>
      <c r="FZ98" s="43" t="n">
        <f aca="false">IF(AND(Tasks[[#This Row],[_IsLeaf]]=1,Tasks[[#This Row],[_LeafTotalWork]]&gt;0),MAX(Tasks[[#This Row],[_StartWorkday]],NETWORKDAYS.INTL(ProjectStart,Tasks[[#This Row],[_ShownFcstFinish]],WorkWeek,Holidays)),0)</f>
        <v>0</v>
      </c>
      <c r="GA98" s="43" t="n">
        <f aca="false">IF(AND(Tasks[[#This Row],[_IsLeaf]]=1,Tasks[[#This Row],[_LeafTotalWork]]&gt;0),Tasks[[#This Row],[_LeafWork]]/(Tasks[[#This Row],[_FinishWorkday]]-Tasks[[#This Row],[_StartWorkday]]+1),0)</f>
        <v>0</v>
      </c>
      <c r="GB98" s="43" t="n">
        <f aca="false">Tasks[[#This Row],[_WorkPerWorkday]]*(Tasks[[#This Row],[_StartWorkday]]-1)</f>
        <v>-0</v>
      </c>
      <c r="GC98" s="43" t="n">
        <f aca="false">IF(Tasks[[#This Row],[_IsLeaf]]=1,MAX(N(Tasks[[#This Row],[_Days]]),0.1),0)</f>
        <v>0</v>
      </c>
      <c r="GD98" s="43" t="n">
        <f aca="false">Tasks[[#This Row],[_WeightDur]]*Tasks[[#This Row],[_LeafProgress]]</f>
        <v>0</v>
      </c>
      <c r="GE98" s="43" t="n">
        <f aca="false">Tasks[[#This Row],[_WeightDur]]*Tasks[[#This Row],[_PlannedPct]]</f>
        <v>0</v>
      </c>
      <c r="GF9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8" s="43" t="str">
        <f aca="false">IF(AND(Tasks[[#This Row],[_IsLeaf]]=1,N(Tasks[[#This Row],[_Days]])=0,Tasks[[#This Row],[_LeafProgress]]&lt;1),Tasks[[#This Row],[_ShownFcstFinish]]+Tasks[[#This Row],[_Row]]/100000,"")</f>
        <v/>
      </c>
      <c r="GH9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8" s="43" t="str">
        <f aca="false">IF(Tasks[[#This Row],[Task Name]]="","",LEFT(Tasks[[#This Row],[WBS]],FIND(".",Tasks[[#This Row],[WBS]]&amp;".")-1))</f>
        <v/>
      </c>
      <c r="GJ98" s="43" t="str">
        <f aca="false">IF(AND(Tasks[[#This Row],[Task Name]]&lt;&gt;"",Tasks[[#This Row],[_Level]]=1),Tasks[[#This Row],[_Row]],"")</f>
        <v/>
      </c>
      <c r="GK98" s="43" t="str">
        <f aca="false">IF(AND(Tasks[[#This Row],[_IsLeaf]]=1,N(Tasks[[#This Row],[_Days]])=0),Tasks[[#This Row],[Planned Finish]]+Tasks[[#This Row],[_Row]]/100000,"")</f>
        <v/>
      </c>
      <c r="GL98" s="43" t="str">
        <f aca="false">IF(AND(Tasks[[#This Row],[_IsLeaf]]=1,Tasks[[#This Row],[_LeafProgress]]&lt;1,OR(N(Tasks[[#This Row],[Finish Var]])&gt;0,Tasks[[#This Row],[Status]]="Late Start")),MAX(0,Tasks[[#This Row],[Finish Var]])+1-Tasks[[#This Row],[_Row]]/1000000,"")</f>
        <v/>
      </c>
      <c r="GM98" s="43" t="str">
        <f aca="false">IF(AND(Tasks[[#This Row],[_IsLeaf]]=1,N(Tasks[[#This Row],[Actual Start]])=0,Tasks[[#This Row],[_ShownFcstStart]]&gt;=StatusDate,Tasks[[#This Row],[_ShownFcstStart]]&lt;=LookaheadEnd),Tasks[[#This Row],[_ShownFcstStart]]+Tasks[[#This Row],[_Row]]/100000,"")</f>
        <v/>
      </c>
      <c r="GN98" s="43" t="str">
        <f aca="false">IF(AND(Tasks[[#This Row],[_IsLeaf]]=1,Tasks[[#This Row],[_LeafProgress]]&lt;1,Tasks[[#This Row],[_ShownFcstFinish]]&gt;=StatusDate,Tasks[[#This Row],[_ShownFcstFinish]]&lt;=LookaheadEnd),Tasks[[#This Row],[_ShownFcstFinish]]+Tasks[[#This Row],[_Row]]/100000,"")</f>
        <v/>
      </c>
      <c r="GO98" s="43" t="str">
        <f aca="false">IF(Tasks[[#This Row],[_LeafCritical]],Tasks[[#This Row],[_ShownFcstStart]]+Tasks[[#This Row],[_Row]]/100000,"")</f>
        <v/>
      </c>
      <c r="GP98" s="43" t="n">
        <f aca="false">Tasks[[#This Row],[_LeafWork]]*Tasks[[#This Row],[_LeafProgress]]</f>
        <v>0</v>
      </c>
      <c r="GQ98" s="91" t="str">
        <f aca="false">IF(AND(Tasks[[#This Row],[_IsLeaf]]=1,Tasks[[#This Row],[_LeafProgress]]&gt;=1),IF(N(Tasks[[#This Row],[Actual Finish]])&gt;0,Tasks[[#This Row],[Actual Finish]],Tasks[[#This Row],[_ShownFcstFinish]]),"")</f>
        <v/>
      </c>
      <c r="GR98" s="43" t="n">
        <f aca="false">IF(Tasks[[#This Row],[_IsLeaf]]=1,N(Tasks[[#This Row],[Story Points]]),0)</f>
        <v>0</v>
      </c>
      <c r="GS98" s="43" t="str">
        <f aca="false">""</f>
        <v/>
      </c>
      <c r="GT98" s="90" t="b">
        <f aca="false">IF(Tasks[[#This Row],[Task Name]]="",FALSE(),AND(Tasks[[#This Row],[_IsLeaf]]=1,N(Tasks[[#This Row],[_Days]])=0))</f>
        <v>0</v>
      </c>
      <c r="GU98" s="91" t="n">
        <f aca="false">IF(Tasks[[#This Row],[Task Name]]="",0,IF(AND(Tasks[[#This Row],[_IsLeaf]]=1,NOT(Tasks[[#This Row],[_IsMilestone]]),N(Tasks[[#This Row],[Progress]])&gt;0),Tasks[[#This Row],[Start]],0))</f>
        <v>0</v>
      </c>
      <c r="GV98" s="91" t="n">
        <f aca="false">IF(Tasks[[#This Row],[_DoneFrom]]=0,0,IF(Tasks[[#This Row],[Progress]]&gt;=1,Tasks[[#This Row],[Finish]],MAX(Tasks[[#This Row],[_DoneFrom]],Tasks[[#This Row],[Start]]+ROUND((Tasks[[#This Row],[Finish]]-Tasks[[#This Row],[Start]]+1)*Tasks[[#This Row],[Progress]],0)-1)))</f>
        <v>0</v>
      </c>
      <c r="GW98" s="91" t="n">
        <f aca="false">IF(Tasks[[#This Row],[Task Name]]="",0,IF(OR(NOT(Tasks[[#This Row],[_IsLeaf]]=1),Tasks[[#This Row],[_IsMilestone]],N(Tasks[[#This Row],[Progress]])&gt;=1),0,IF(Tasks[[#This Row],[_DoneTo]]&gt;0,Tasks[[#This Row],[_DoneTo]]+1,Tasks[[#This Row],[Start]])))</f>
        <v>0</v>
      </c>
      <c r="GX98" s="91" t="n">
        <f aca="false">IF(Tasks[[#This Row],[_RemFrom]]=0,0,Tasks[[#This Row],[Finish]])</f>
        <v>0</v>
      </c>
      <c r="GY98" s="90" t="b">
        <f aca="false">IF(Tasks[[#This Row],[Task Name]]="",FALSE(),OR(NOT(BaselineSet),N(Tasks[[#This Row],[Baseline Start]])&gt;0))</f>
        <v>0</v>
      </c>
      <c r="GZ9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8" s="92" t="str">
        <f aca="false">IF(Tasks[[#This Row],[_IsLeaf]]=1,Tasks[[#This Row],[_Row]],"")</f>
        <v/>
      </c>
      <c r="HD98" s="92" t="str">
        <f aca="false">IFERROR(INDEX(Tasks[UID],SMALL(Tasks[_PickKey],Tasks[[#This Row],[_Row]]))&amp;" "&amp;INDEX(Tasks[Task Name],SMALL(Tasks[_PickKey],Tasks[[#This Row],[_Row]])),"")</f>
        <v/>
      </c>
      <c r="HE98" s="43" t="str">
        <f aca="false">IF(Tasks[[#This Row],[Task Name]]="","",IF(Tasks[[#This Row],[_IsSummary]],NETWORKDAYS.INTL(Tasks[[#This Row],[Start]],Tasks[[#This Row],[Finish]],WorkWeek,Holidays),N(Tasks[[#This Row],[_Days]])))</f>
        <v/>
      </c>
      <c r="HF98" s="43" t="n">
        <f aca="false">IF(Tasks[[#This Row],[Expected]]="",0,((Tasks[[#This Row],[Pessimistic]]-Tasks[[#This Row],[Optimistic]])/6)^2)</f>
        <v>0</v>
      </c>
      <c r="HG98" s="43" t="n">
        <f aca="false">IF(Tasks[[#This Row],[Expected]]="",0,Tasks[[#This Row],[Expected]]-N(Tasks[[#This Row],[_Days]]))</f>
        <v>0</v>
      </c>
    </row>
    <row r="99" customFormat="false" ht="15" hidden="false" customHeight="false" outlineLevel="0" collapsed="false">
      <c r="A99" s="21" t="str">
        <f aca="false">IF(Tasks[[#This Row],[Task Name]]="","",COUNTA(Tasks[[#Headers],[Task Name]]:Tasks[[#This Row],[Task Name]])-1)</f>
        <v/>
      </c>
      <c r="B99" s="22" t="n">
        <v>107</v>
      </c>
      <c r="C99" s="22"/>
      <c r="D99" s="23"/>
      <c r="E99" s="22"/>
      <c r="F99" s="23"/>
      <c r="G99" s="22"/>
      <c r="H99" s="22"/>
      <c r="I99" s="23"/>
      <c r="J99" s="22"/>
      <c r="K99" s="22"/>
      <c r="L99" s="23"/>
      <c r="M99" s="22"/>
      <c r="N99" s="22"/>
      <c r="O99" s="23"/>
      <c r="P99" s="22"/>
      <c r="Q99" s="22"/>
      <c r="R99" s="23"/>
      <c r="S99" s="23"/>
      <c r="T99" s="84"/>
      <c r="U99" s="23"/>
      <c r="V99" s="84"/>
      <c r="W99" s="23"/>
      <c r="X99" s="84"/>
      <c r="Y99" s="23"/>
      <c r="Z99" s="84"/>
      <c r="AA99" s="23"/>
      <c r="AB99" s="23"/>
      <c r="AC99" s="7"/>
      <c r="AD99" s="7"/>
      <c r="AE99" s="63" t="str">
        <f aca="false">IF(Tasks[[#This Row],[Task Name]]="","",IF(Tasks[[#This Row],[_IsSummary]],MIN(INDEX(Tasks[_ShownFcstStart],Tasks[[#This Row],[_Row]]+1):INDEX(Tasks[_ShownFcstStart],Tasks[[#This Row],[_Row]]+Tasks[[#This Row],[_Descendants]])),Tasks[[#This Row],[_ShownFcstStart]]))</f>
        <v/>
      </c>
      <c r="AF99" s="63" t="str">
        <f aca="false">IF(Tasks[[#This Row],[Task Name]]="","",IF(Tasks[[#This Row],[_IsSummary]],MAX(INDEX(Tasks[_ShownFcstFinish],Tasks[[#This Row],[_Row]]+1):INDEX(Tasks[_ShownFcstFinish],Tasks[[#This Row],[_Row]]+Tasks[[#This Row],[_Descendants]])),Tasks[[#This Row],[_ShownFcstFinish]]))</f>
        <v/>
      </c>
      <c r="AG99" s="21" t="str">
        <f aca="false">""</f>
        <v/>
      </c>
      <c r="AH99" s="23"/>
      <c r="AI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9" s="7"/>
      <c r="AK99" s="22"/>
      <c r="AL99" s="23"/>
      <c r="AM99" s="7"/>
      <c r="AN99" s="47" t="str">
        <f aca="false">IF(Tasks[[#This Row],[Task Name]]="","",IF(Tasks[[#This Row],[Finish]]&gt;=Tasks[[#This Row],[Planned Finish]],NETWORKDAYS.INTL(Tasks[[#This Row],[Planned Finish]],Tasks[[#This Row],[Finish]],WorkWeek,Holidays)-1,1-NETWORKDAYS.INTL(Tasks[[#This Row],[Finish]],Tasks[[#This Row],[Planned Finish]],WorkWeek,Holidays)))</f>
        <v/>
      </c>
      <c r="AO99" s="21" t="str">
        <f aca="false">IF(Tasks[[#This Row],[Task Name]]="","",IF(Tasks[[#This Row],[Progress]]&gt;=1,"Complete",IF(OR(N(Tasks[[#This Row],[Actual Start]])&gt;0,Tasks[[#This Row],[Progress]]&gt;0),IF(Tasks[[#This Row],[Finish Var]]&gt;0,"Behind","In Progress"),IF(Tasks[[#This Row],[Planned Start]]&lt;StatusDate,"Late Start","Not Started"))))</f>
        <v/>
      </c>
      <c r="AP99" s="21" t="str">
        <f aca="false">IF(Tasks[[#This Row],[Task Name]]="","",IF(IF(Tasks[[#This Row],[_IsSummary]],COUNTIF(INDEX(Tasks[_LeafCritical],Tasks[[#This Row],[_Row]]+1):INDEX(Tasks[_LeafCritical],Tasks[[#This Row],[_Row]]+Tasks[[#This Row],[_Descendants]]),TRUE())&gt;0,Tasks[[#This Row],[_LeafCritical]]),"Yes",""))</f>
        <v/>
      </c>
      <c r="AQ99" s="63" t="str">
        <f aca="false">IF(Tasks[[#This Row],[Task Name]]="","",IF(N(Tasks[[#This Row],[Baseline Start]])&gt;0,Tasks[[#This Row],[Baseline Start]],Tasks[[#This Row],[_CalcStart]]))</f>
        <v/>
      </c>
      <c r="AR99" s="63" t="str">
        <f aca="false">IF(Tasks[[#This Row],[Task Name]]="","",IF(N(Tasks[[#This Row],[Baseline Finish]])&gt;0,Tasks[[#This Row],[Baseline Finish]],Tasks[[#This Row],[_CalcFinish]]))</f>
        <v/>
      </c>
      <c r="AS99" s="47" t="str">
        <f aca="false">IF(Tasks[[#This Row],[Task Name]]="","",IF(Tasks[[#This Row],[Start]]&gt;=Tasks[[#This Row],[Planned Start]],NETWORKDAYS.INTL(Tasks[[#This Row],[Planned Start]],Tasks[[#This Row],[Start]],WorkWeek,Holidays)-1,1-NETWORKDAYS.INTL(Tasks[[#This Row],[Start]],Tasks[[#This Row],[Planned Start]],WorkWeek,Holidays)))</f>
        <v/>
      </c>
      <c r="AT99" s="63" t="str">
        <f aca="false">IF(Tasks[[#This Row],[Task Name]]="","",IF(Tasks[[#This Row],[_IsSummary]],MIN(INDEX(Tasks[_LeafLateStart],Tasks[[#This Row],[_Row]]+1):INDEX(Tasks[_LeafLateStart],Tasks[[#This Row],[_Row]]+Tasks[[#This Row],[_Descendants]])),Tasks[[#This Row],[_LeafLateStart]]))</f>
        <v/>
      </c>
      <c r="AU99" s="63" t="str">
        <f aca="false">IF(Tasks[[#This Row],[Task Name]]="","",IF(Tasks[[#This Row],[_IsSummary]],MAX(INDEX(Tasks[_LeafLateFinish],Tasks[[#This Row],[_Row]]+1):INDEX(Tasks[_LeafLateFinish],Tasks[[#This Row],[_Row]]+Tasks[[#This Row],[_Descendants]])),Tasks[[#This Row],[_LeafLateFinish]]))</f>
        <v/>
      </c>
      <c r="AV99" s="47" t="str">
        <f aca="false">IF(Tasks[[#This Row],[Task Name]]="","",IF(Tasks[[#This Row],[_IsSummary]],MIN(INDEX(Tasks[_LeafTotalSlack],Tasks[[#This Row],[_Row]]+1):INDEX(Tasks[_LeafTotalSlack],Tasks[[#This Row],[_Row]]+Tasks[[#This Row],[_Descendants]])),Tasks[[#This Row],[_LeafTotalSlack]]))</f>
        <v/>
      </c>
      <c r="AW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5"/>
      <c r="BA9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1" t="str">
        <f aca="false">IF(Tasks[[#This Row],[Task Name]]="","",IF(Tasks[[#This Row],[_Level]]&lt;=OutlineShowLevel,"Yes","No"))</f>
        <v/>
      </c>
      <c r="BE99" s="86" t="str">
        <f aca="false">IF(Tasks[[#This Row],[Task Name]]="","",IF(Tasks[[#This Row],[_IsSummary]],SUM(INDEX(Tasks[_LeafTotalWork],Tasks[[#This Row],[_Row]]+1):INDEX(Tasks[_LeafTotalWork],Tasks[[#This Row],[_Row]]+Tasks[[#This Row],[_Descendants]])),Tasks[[#This Row],[_LeafTotalWork]]))</f>
        <v/>
      </c>
      <c r="BF99" s="23"/>
      <c r="BG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9" s="21" t="str">
        <f aca="false">""</f>
        <v/>
      </c>
      <c r="BI99" s="87"/>
      <c r="BJ99" s="22"/>
      <c r="BK99" s="47" t="str">
        <f aca="false">IF(OR(Tasks[[#This Row],[Task Name]]="",Tasks[[#This Row],[Baseline Duration]]=""),"",Tasks[[#This Row],[_SpanDays]]-N(Tasks[[#This Row],[Baseline Duration]]))</f>
        <v/>
      </c>
      <c r="BL99" s="86" t="str">
        <f aca="false">IF(OR(Tasks[[#This Row],[Task Name]]="",Tasks[[#This Row],[Baseline Work]]=""),"",Tasks[[#This Row],[Work]]-N(Tasks[[#This Row],[Baseline Work]]))</f>
        <v/>
      </c>
      <c r="BM99" s="63" t="str">
        <f aca="false">IF(Tasks[[#This Row],[Task Name]]="","",IF(OR(TakeBaseline="Yes",N(Tasks[[#This Row],[Baseline Start]])=0),Tasks[[#This Row],[Start]],Tasks[[#This Row],[Baseline Start]]))</f>
        <v/>
      </c>
      <c r="BN99" s="63" t="str">
        <f aca="false">IF(Tasks[[#This Row],[Task Name]]="","",IF(OR(TakeBaseline="Yes",N(Tasks[[#This Row],[Baseline Finish]])=0),Tasks[[#This Row],[Finish]],Tasks[[#This Row],[Baseline Finish]]))</f>
        <v/>
      </c>
      <c r="BO99" s="21" t="str">
        <f aca="false">IF(Tasks[[#This Row],[Task Name]]="","",IF(OR(TakeBaseline="Yes",N(Tasks[[#This Row],[Baseline Duration]])=0),Tasks[[#This Row],[_SpanDays]],Tasks[[#This Row],[Baseline Duration]]))</f>
        <v/>
      </c>
      <c r="BP99" s="86" t="str">
        <f aca="false">IF(Tasks[[#This Row],[Task Name]]="","",IF(OR(TakeBaseline="Yes",N(Tasks[[#This Row],[Baseline Work]])=0),Tasks[[#This Row],[Work]],Tasks[[#This Row],[Baseline Work]]))</f>
        <v/>
      </c>
      <c r="BQ99" s="7"/>
      <c r="BR99" s="7"/>
      <c r="BS99" s="22"/>
      <c r="BT99" s="88"/>
      <c r="BU99" s="23"/>
      <c r="BV99" s="23"/>
      <c r="BW99" s="23"/>
      <c r="BX99" s="89" t="str">
        <f aca="false">IF(AND(Tasks[[#This Row],[_IsLeaf]]=1,ISNUMBER(Tasks[[#This Row],[Optimistic]]),ISNUMBER(Tasks[[#This Row],[Pessimistic]])),ROUND((Tasks[[#This Row],[Optimistic]]+4*N(Tasks[[#This Row],[_Days]])+Tasks[[#This Row],[Pessimistic]])/6,1),"")</f>
        <v/>
      </c>
      <c r="BY99" s="87"/>
      <c r="BZ99" s="87"/>
      <c r="CA99" s="22"/>
      <c r="CB99" s="43" t="str">
        <f aca="false">IF(Tasks[[#This Row],[Task Name]]="","",MAX(1,N(Tasks[[#This Row],[Level]])))</f>
        <v/>
      </c>
      <c r="CC99" s="43" t="n">
        <f aca="false">ROW()-ROW(Tasks[[#Headers],[ID]])</f>
        <v>94</v>
      </c>
      <c r="CD99" s="43" t="n">
        <f aca="false">IF(OR(Tasks[[#This Row],[Task Name]]="",Tasks[[#This Row],[_Level]]&lt;=1),0,IFERROR(LOOKUP(2,1/(Tasks[[#Headers],[_Level]]:Tasks[[#This Row],[_Level]]=Tasks[[#This Row],[_Level]]-1),ROW(Tasks[[#Headers],[_Level]]:Tasks[[#This Row],[_Level]])),0))</f>
        <v>0</v>
      </c>
      <c r="CE99" s="43" t="n">
        <f aca="false">IFERROR(N(INDEX(Tasks[_Level],Tasks[[#This Row],[_Row]]+1)),0)</f>
        <v>0</v>
      </c>
      <c r="CF99" s="90" t="b">
        <f aca="false">AND(Tasks[[#This Row],[Task Name]]&lt;&gt;"",Tasks[[#This Row],[_NextLevel]]&gt;Tasks[[#This Row],[_Level]])</f>
        <v>0</v>
      </c>
      <c r="CG99" s="43" t="n">
        <f aca="false">IF(Tasks[[#This Row],[_IsSummary]],COUNTIF(Tasks[WBS],Tasks[[#This Row],[WBS]]&amp;".*"),0)</f>
        <v>0</v>
      </c>
      <c r="CH99" s="43" t="n">
        <f aca="false">IF(AND(Tasks[[#This Row],[Task Name]]&lt;&gt;"",NOT(Tasks[[#This Row],[_IsSummary]])),1,0)</f>
        <v>0</v>
      </c>
      <c r="CI99" s="43" t="n">
        <f aca="false">IF(N(Tasks[[#This Row],[_Pred1UID]])=0,0,IFERROR(MATCH(Tasks[[#This Row],[_Pred1UID]],Tasks[UID],0),-1))</f>
        <v>0</v>
      </c>
      <c r="CJ99" s="43" t="n">
        <f aca="false">IF(N(Tasks[[#This Row],[_Pred2UID]])=0,0,IFERROR(MATCH(Tasks[[#This Row],[_Pred2UID]],Tasks[UID],0),-1))</f>
        <v>0</v>
      </c>
      <c r="CK99" s="43" t="n">
        <f aca="false">IF(N(Tasks[[#This Row],[_Pred3UID]])=0,0,IFERROR(MATCH(Tasks[[#This Row],[_Pred3UID]],Tasks[UID],0),-1))</f>
        <v>0</v>
      </c>
      <c r="CL99" s="43" t="n">
        <f aca="false">IF(N(Tasks[[#This Row],[_Pred4UID]])=0,0,IFERROR(MATCH(Tasks[[#This Row],[_Pred4UID]],Tasks[UID],0),-1))</f>
        <v>0</v>
      </c>
      <c r="CM9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9" s="91" t="n">
        <f aca="false">IF(OR(Tasks[[#This Row],[_ConstraintCode]]=2,Tasks[[#This Row],[_ConstraintCode]]=3,Tasks[[#This Row],[_ConstraintCode]]=4,Tasks[[#This Row],[_ConstraintCode]]=6),Tasks[[#This Row],[_ConstraintStart]],0)</f>
        <v>0</v>
      </c>
      <c r="CP99" s="91" t="n">
        <f aca="false">IF(OR(Tasks[[#This Row],[_ConstraintCode]]=2,Tasks[[#This Row],[_ConstraintCode]]=3,Tasks[[#This Row],[_ConstraintCode]]=5,Tasks[[#This Row],[_ConstraintCode]]=7),Tasks[[#This Row],[_ConstraintStart]],2958465)</f>
        <v>2958465</v>
      </c>
      <c r="CQ9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9" s="91" t="str">
        <f aca="false">IF(NOT(Tasks[[#This Row],[_IsLeaf]]=1),"",IF(N(Tasks[[#This Row],[_Days]])&lt;=0,Tasks[[#This Row],[_LeafCalcStart]],WORKDAY.INTL(Tasks[[#This Row],[_LeafCalcStart]],Tasks[[#This Row],[_Days]]-1,WorkWeek,Holidays)))</f>
        <v/>
      </c>
      <c r="CS9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9" s="43" t="str">
        <f aca="false">IF(Tasks[[#This Row],[_Predecessors]]="","",TRIM(MID(SUBSTITUTE(SUBSTITUTE(SUBSTITUTE(UPPER(Tasks[[#This Row],[_Predecessors]]),";",",")," ",""),",",REPT(" ",99)),1,99)))</f>
        <v/>
      </c>
      <c r="CV99" s="43" t="str">
        <f aca="false">IF(Tasks[[#This Row],[_Pred1Text]]="","",IFERROR(VALUE(LEFT(Tasks[[#This Row],[_Pred1Text]],MIN(FIND("F",Tasks[[#This Row],[_Pred1Text]]&amp;"F"),FIND("S",Tasks[[#This Row],[_Pred1Text]]&amp;"S"),FIND("+",Tasks[[#This Row],[_Pred1Text]]&amp;"+"),FIND("-",Tasks[[#This Row],[_Pred1Text]]&amp;"-"))-1)),""))</f>
        <v/>
      </c>
      <c r="CW9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9" s="43" t="str">
        <f aca="false">IF(Tasks[[#This Row],[_Pred1Text]]="","",TRIM(MID(SUBSTITUTE(SUBSTITUTE(SUBSTITUTE(UPPER(Tasks[[#This Row],[_Predecessors]]),";",",")," ",""),",",REPT(" ",99)),100,99)))</f>
        <v/>
      </c>
      <c r="CZ99" s="43" t="str">
        <f aca="false">IF(Tasks[[#This Row],[_Pred2Text]]="","",IFERROR(VALUE(LEFT(Tasks[[#This Row],[_Pred2Text]],MIN(FIND("F",Tasks[[#This Row],[_Pred2Text]]&amp;"F"),FIND("S",Tasks[[#This Row],[_Pred2Text]]&amp;"S"),FIND("+",Tasks[[#This Row],[_Pred2Text]]&amp;"+"),FIND("-",Tasks[[#This Row],[_Pred2Text]]&amp;"-"))-1)),""))</f>
        <v/>
      </c>
      <c r="DA9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9" s="43" t="str">
        <f aca="false">IF(Tasks[[#This Row],[_Pred2Text]]="","",TRIM(MID(SUBSTITUTE(SUBSTITUTE(SUBSTITUTE(UPPER(Tasks[[#This Row],[_Predecessors]]),";",",")," ",""),",",REPT(" ",99)),199,99)))</f>
        <v/>
      </c>
      <c r="DD99" s="43" t="str">
        <f aca="false">IF(Tasks[[#This Row],[_Pred3Text]]="","",IFERROR(VALUE(LEFT(Tasks[[#This Row],[_Pred3Text]],MIN(FIND("F",Tasks[[#This Row],[_Pred3Text]]&amp;"F"),FIND("S",Tasks[[#This Row],[_Pred3Text]]&amp;"S"),FIND("+",Tasks[[#This Row],[_Pred3Text]]&amp;"+"),FIND("-",Tasks[[#This Row],[_Pred3Text]]&amp;"-"))-1)),""))</f>
        <v/>
      </c>
      <c r="DE9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9" s="43" t="str">
        <f aca="false">IF(Tasks[[#This Row],[_Pred3Text]]="","",TRIM(MID(SUBSTITUTE(SUBSTITUTE(SUBSTITUTE(UPPER(Tasks[[#This Row],[_Predecessors]]),";",",")," ",""),",",REPT(" ",99)),298,99)))</f>
        <v/>
      </c>
      <c r="DH99" s="43" t="str">
        <f aca="false">IF(Tasks[[#This Row],[_Pred4Text]]="","",IFERROR(VALUE(LEFT(Tasks[[#This Row],[_Pred4Text]],MIN(FIND("F",Tasks[[#This Row],[_Pred4Text]]&amp;"F"),FIND("S",Tasks[[#This Row],[_Pred4Text]]&amp;"S"),FIND("+",Tasks[[#This Row],[_Pred4Text]]&amp;"+"),FIND("-",Tasks[[#This Row],[_Pred4Text]]&amp;"-"))-1)),""))</f>
        <v/>
      </c>
      <c r="DI9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9" s="43" t="str">
        <f aca="false">IF(OR(Tasks[[#This Row],[Task Name]]="",Tasks[[#This Row],[_Resources]]=""),"",TRIM(MID(SUBSTITUTE(Tasks[[#This Row],[_Resources]],",",REPT(" ",99)),1,99)))</f>
        <v/>
      </c>
      <c r="DL99" s="43" t="str">
        <f aca="false">IF(Tasks[[#This Row],[_Res1Text]]="","",TRIM(MID(SUBSTITUTE(Tasks[[#This Row],[_Resources]],",",REPT(" ",99)),100,99)))</f>
        <v/>
      </c>
      <c r="DM99" s="43" t="str">
        <f aca="false">IF(Tasks[[#This Row],[_Res2Text]]="","",TRIM(MID(SUBSTITUTE(Tasks[[#This Row],[_Resources]],",",REPT(" ",99)),199,99)))</f>
        <v/>
      </c>
      <c r="DN99" s="43" t="str">
        <f aca="false">IF(Tasks[[#This Row],[_Res3Text]]="","",TRIM(MID(SUBSTITUTE(Tasks[[#This Row],[_Resources]],",",REPT(" ",99)),298,99)))</f>
        <v/>
      </c>
      <c r="DO99" s="43" t="n">
        <f aca="false">IF(Tasks[[#This Row],[_Res1Text]]="",0,IFERROR(MATCH(TRIM(LEFT(Tasks[[#This Row],[_Res1Text]],FIND("[",Tasks[[#This Row],[_Res1Text]]&amp;"[")-1)),res_Name,0),IFERROR(MATCH(TRIM(LEFT(Tasks[[#This Row],[_Res1Text]],FIND("[",Tasks[[#This Row],[_Res1Text]]&amp;"[")-1)),res_Initials,0),0)))</f>
        <v>0</v>
      </c>
      <c r="DP99" s="43" t="n">
        <f aca="false">IF(Tasks[[#This Row],[_Res2Text]]="",0,IFERROR(MATCH(TRIM(LEFT(Tasks[[#This Row],[_Res2Text]],FIND("[",Tasks[[#This Row],[_Res2Text]]&amp;"[")-1)),res_Name,0),IFERROR(MATCH(TRIM(LEFT(Tasks[[#This Row],[_Res2Text]],FIND("[",Tasks[[#This Row],[_Res2Text]]&amp;"[")-1)),res_Initials,0),0)))</f>
        <v>0</v>
      </c>
      <c r="DQ99" s="43" t="n">
        <f aca="false">IF(Tasks[[#This Row],[_Res3Text]]="",0,IFERROR(MATCH(TRIM(LEFT(Tasks[[#This Row],[_Res3Text]],FIND("[",Tasks[[#This Row],[_Res3Text]]&amp;"[")-1)),res_Name,0),IFERROR(MATCH(TRIM(LEFT(Tasks[[#This Row],[_Res3Text]],FIND("[",Tasks[[#This Row],[_Res3Text]]&amp;"[")-1)),res_Initials,0),0)))</f>
        <v>0</v>
      </c>
      <c r="DR99" s="43" t="n">
        <f aca="false">IF(Tasks[[#This Row],[_Res4Text]]="",0,IFERROR(MATCH(TRIM(LEFT(Tasks[[#This Row],[_Res4Text]],FIND("[",Tasks[[#This Row],[_Res4Text]]&amp;"[")-1)),res_Name,0),IFERROR(MATCH(TRIM(LEFT(Tasks[[#This Row],[_Res4Text]],FIND("[",Tasks[[#This Row],[_Res4Text]]&amp;"[")-1)),res_Initials,0),0)))</f>
        <v>0</v>
      </c>
      <c r="DS99" s="43" t="str">
        <f aca="false">IF(Tasks[[#This Row],[_Res1Text]]="","",IF(Tasks[[#This Row],[_Res1Row]]&gt;0,INDEX(res_Name,Tasks[[#This Row],[_Res1Row]]),TRIM(LEFT(Tasks[[#This Row],[_Res1Text]],FIND("[",Tasks[[#This Row],[_Res1Text]]&amp;"[")-1))))</f>
        <v/>
      </c>
      <c r="DT9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9" s="43" t="n">
        <f aca="false">IF(NOT(Tasks[[#This Row],[_IsLeaf]]=1),0,(Tasks[[#This Row],[_Resource1]]&lt;&gt;"")+(Tasks[[#This Row],[_Res2]]&lt;&gt;"")+(Tasks[[#This Row],[_Res3]]&lt;&gt;"")+(Tasks[[#This Row],[_Res4]]&lt;&gt;""))</f>
        <v>0</v>
      </c>
      <c r="DV99" s="43" t="str">
        <f aca="false">IF(Tasks[[#This Row],[_Res2Text]]="","",IF(Tasks[[#This Row],[_Res2Row]]&gt;0,INDEX(res_Name,Tasks[[#This Row],[_Res2Row]]),TRIM(LEFT(Tasks[[#This Row],[_Res2Text]],FIND("[",Tasks[[#This Row],[_Res2Text]]&amp;"[")-1))))</f>
        <v/>
      </c>
      <c r="DW9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9" s="43" t="n">
        <f aca="false">IF(OR(NOT(Tasks[[#This Row],[_IsLeaf]]=1),Tasks[[#This Row],[_Res2Row]]=0),0,N(Tasks[[#This Row],[_Days]])*HoursPerDay*IF(Tasks[[#This Row],[_Res2Units]]="",DefaultUnits,Tasks[[#This Row],[_Res2Units]]))</f>
        <v>0</v>
      </c>
      <c r="DY99" s="43" t="n">
        <f aca="false">IF(AND(AND(Tasks[[#This Row],[_IsLeaf]]=1,Tasks[[#This Row],[_LeafTotalWork]]&gt;0),Tasks[[#This Row],[_Res2Work]]&gt;0),Tasks[[#This Row],[_Res2Work]]/(Tasks[[#This Row],[_FinishWorkday]]-Tasks[[#This Row],[_StartWorkday]]+1),0)</f>
        <v>0</v>
      </c>
      <c r="DZ99" s="43" t="n">
        <f aca="false">Tasks[[#This Row],[_Res2WorkPerWD]]*MAX(0,Tasks[[#This Row],[_StartWorkday]]-1)</f>
        <v>0</v>
      </c>
      <c r="EA99" s="43" t="n">
        <f aca="false">Tasks[[#This Row],[_Res2Work]]*Tasks[[#This Row],[_LeafProgress]]</f>
        <v>0</v>
      </c>
      <c r="EB99" s="43" t="str">
        <f aca="false">IF(Tasks[[#This Row],[_Res3Text]]="","",IF(Tasks[[#This Row],[_Res3Row]]&gt;0,INDEX(res_Name,Tasks[[#This Row],[_Res3Row]]),TRIM(LEFT(Tasks[[#This Row],[_Res3Text]],FIND("[",Tasks[[#This Row],[_Res3Text]]&amp;"[")-1))))</f>
        <v/>
      </c>
      <c r="EC9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9" s="43" t="n">
        <f aca="false">IF(OR(NOT(Tasks[[#This Row],[_IsLeaf]]=1),Tasks[[#This Row],[_Res3Row]]=0),0,N(Tasks[[#This Row],[_Days]])*HoursPerDay*IF(Tasks[[#This Row],[_Res3Units]]="",DefaultUnits,Tasks[[#This Row],[_Res3Units]]))</f>
        <v>0</v>
      </c>
      <c r="EE99" s="43" t="n">
        <f aca="false">IF(AND(AND(Tasks[[#This Row],[_IsLeaf]]=1,Tasks[[#This Row],[_LeafTotalWork]]&gt;0),Tasks[[#This Row],[_Res3Work]]&gt;0),Tasks[[#This Row],[_Res3Work]]/(Tasks[[#This Row],[_FinishWorkday]]-Tasks[[#This Row],[_StartWorkday]]+1),0)</f>
        <v>0</v>
      </c>
      <c r="EF99" s="43" t="n">
        <f aca="false">Tasks[[#This Row],[_Res3WorkPerWD]]*MAX(0,Tasks[[#This Row],[_StartWorkday]]-1)</f>
        <v>0</v>
      </c>
      <c r="EG99" s="43" t="n">
        <f aca="false">Tasks[[#This Row],[_Res3Work]]*Tasks[[#This Row],[_LeafProgress]]</f>
        <v>0</v>
      </c>
      <c r="EH99" s="43" t="str">
        <f aca="false">IF(Tasks[[#This Row],[_Res4Text]]="","",IF(Tasks[[#This Row],[_Res4Row]]&gt;0,INDEX(res_Name,Tasks[[#This Row],[_Res4Row]]),TRIM(LEFT(Tasks[[#This Row],[_Res4Text]],FIND("[",Tasks[[#This Row],[_Res4Text]]&amp;"[")-1))))</f>
        <v/>
      </c>
      <c r="EI9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9" s="43" t="n">
        <f aca="false">IF(OR(NOT(Tasks[[#This Row],[_IsLeaf]]=1),Tasks[[#This Row],[_Res4Row]]=0),0,N(Tasks[[#This Row],[_Days]])*HoursPerDay*IF(Tasks[[#This Row],[_Res4Units]]="",DefaultUnits,Tasks[[#This Row],[_Res4Units]]))</f>
        <v>0</v>
      </c>
      <c r="EK99" s="43" t="n">
        <f aca="false">IF(AND(AND(Tasks[[#This Row],[_IsLeaf]]=1,Tasks[[#This Row],[_LeafTotalWork]]&gt;0),Tasks[[#This Row],[_Res4Work]]&gt;0),Tasks[[#This Row],[_Res4Work]]/(Tasks[[#This Row],[_FinishWorkday]]-Tasks[[#This Row],[_StartWorkday]]+1),0)</f>
        <v>0</v>
      </c>
      <c r="EL99" s="43" t="n">
        <f aca="false">Tasks[[#This Row],[_Res4WorkPerWD]]*MAX(0,Tasks[[#This Row],[_StartWorkday]]-1)</f>
        <v>0</v>
      </c>
      <c r="EM99" s="43" t="n">
        <f aca="false">Tasks[[#This Row],[_Res4Work]]*Tasks[[#This Row],[_LeafProgress]]</f>
        <v>0</v>
      </c>
      <c r="EN99" s="43" t="n">
        <f aca="false">IF(ISNUMBER(Tasks[[#This Row],[% Complete]]),Tasks[[#This Row],[% Complete]],IF(Tasks[[#This Row],[Stage]]="",0,IFERROR(INDEX(stg_Pct,MATCH(Tasks[[#This Row],[Stage]],stg_Name,0)),0)))</f>
        <v>0</v>
      </c>
      <c r="EO99" s="43" t="n">
        <f aca="false">IF(NOT(Tasks[[#This Row],[_IsLeaf]]=1),0,IF(N(Tasks[[#This Row],[Actual Finish]])&gt;0,1,MIN(1,Tasks[[#This Row],[_Pct]])))</f>
        <v>0</v>
      </c>
      <c r="EP99" s="43" t="n">
        <f aca="false">IF(OR(NOT(Tasks[[#This Row],[_IsLeaf]]=1),Tasks[[#This Row],[_Res1Row]]=0),0,N(Tasks[[#This Row],[_Days]])*HoursPerDay*IF(Tasks[[#This Row],[_Units1]]="",DefaultUnits,Tasks[[#This Row],[_Units1]]))</f>
        <v>0</v>
      </c>
      <c r="EQ99" s="43" t="n">
        <f aca="false">Tasks[[#This Row],[_LeafWork]]+Tasks[[#This Row],[_Res2Work]]+Tasks[[#This Row],[_Res3Work]]+Tasks[[#This Row],[_Res4Work]]</f>
        <v>0</v>
      </c>
      <c r="ER9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9" s="43" t="n">
        <f aca="false">IF(NOT(Tasks[[#This Row],[_IsLeaf]]=1),0,MAX(_xlfn.MAXIFS(Tasks[_Row],Tasks[_Pred1UID],Tasks[[#This Row],[UID]]),_xlfn.MAXIFS(Tasks[_Row],Tasks[_Pred2UID],Tasks[[#This Row],[UID]]),_xlfn.MAXIFS(Tasks[_Row],Tasks[_Pred3UID],Tasks[[#This Row],[UID]]),_xlfn.MAXIFS(Tasks[_Row],Tasks[_Pred4UID],Tasks[[#This Row],[UID]])))</f>
        <v>0</v>
      </c>
      <c r="FA9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9" s="91" t="str">
        <f aca="false">IF(NOT(Tasks[[#This Row],[_IsLeaf]]=1),"",IF(N(Tasks[[#This Row],[_Days]])&lt;=0,Tasks[[#This Row],[_LeafLateFinish]],WORKDAY.INTL(Tasks[[#This Row],[_LeafLateFinish]],-(Tasks[[#This Row],[_Days]]-1),WorkWeek,Holidays)))</f>
        <v/>
      </c>
      <c r="FD9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9" s="90" t="b">
        <f aca="false">AND(Tasks[[#This Row],[_IsLeaf]]=1,Tasks[[#This Row],[_LeafProgress]]&lt;1,N(Tasks[[#This Row],[_LeafTotalSlack]])&lt;=CriticalSlackDays)</f>
        <v>0</v>
      </c>
      <c r="FF99" s="43" t="n">
        <f aca="false">IF(AND(Tasks[[#This Row],[_IsLeaf]]=1,Tasks[[#This Row],[_ConstraintCode]]=1,Tasks[[#This Row],[Mode]]&lt;&gt;"Manual",N(Tasks[[#This Row],[Actual Start]])=0),MAX(0,N(Tasks[[#This Row],[Free Slack]])),0)</f>
        <v>0</v>
      </c>
      <c r="FG99" s="91" t="str">
        <f aca="false">IF(NOT(Tasks[[#This Row],[_IsLeaf]]=1),"",IF(Tasks[[#This Row],[_AlapShift]]=0,Tasks[[#This Row],[_LeafCalcStart]],WORKDAY.INTL(Tasks[[#This Row],[_LeafCalcStart]],Tasks[[#This Row],[_AlapShift]],WorkWeek,Holidays)))</f>
        <v/>
      </c>
      <c r="FH99" s="91" t="str">
        <f aca="false">IF(NOT(Tasks[[#This Row],[_IsLeaf]]=1),"",IF(Tasks[[#This Row],[_AlapShift]]=0,Tasks[[#This Row],[_LeafCalcFinish]],WORKDAY.INTL(Tasks[[#This Row],[_LeafCalcFinish]],Tasks[[#This Row],[_AlapShift]],WorkWeek,Holidays)))</f>
        <v/>
      </c>
      <c r="FI99" s="91" t="str">
        <f aca="false">IF(NOT(Tasks[[#This Row],[_IsLeaf]]=1),"",IF(Tasks[[#This Row],[_AlapShift]]=0,Tasks[[#This Row],[_LeafFcstStart]],WORKDAY.INTL(Tasks[[#This Row],[_LeafFcstStart]],Tasks[[#This Row],[_AlapShift]],WorkWeek,Holidays)))</f>
        <v/>
      </c>
      <c r="FJ99" s="91" t="str">
        <f aca="false">IF(NOT(Tasks[[#This Row],[_IsLeaf]]=1),"",IF(Tasks[[#This Row],[_AlapShift]]=0,Tasks[[#This Row],[_LeafFcstFinish]],WORKDAY.INTL(Tasks[[#This Row],[_LeafFcstFinish]],Tasks[[#This Row],[_AlapShift]],WorkWeek,Holidays)))</f>
        <v/>
      </c>
      <c r="FK99" s="91" t="str">
        <f aca="false">IF(Tasks[[#This Row],[Task Name]]="","",IF(Tasks[[#This Row],[_IsSummary]],MIN(INDEX(Tasks[_ShownCalcStart],Tasks[[#This Row],[_Row]]+1):INDEX(Tasks[_ShownCalcStart],Tasks[[#This Row],[_Row]]+Tasks[[#This Row],[_Descendants]])),Tasks[[#This Row],[_ShownCalcStart]]))</f>
        <v/>
      </c>
      <c r="FL99" s="91" t="str">
        <f aca="false">IF(Tasks[[#This Row],[Task Name]]="","",IF(Tasks[[#This Row],[_IsSummary]],MAX(INDEX(Tasks[_ShownCalcFinish],Tasks[[#This Row],[_Row]]+1):INDEX(Tasks[_ShownCalcFinish],Tasks[[#This Row],[_Row]]+Tasks[[#This Row],[_Descendants]])),Tasks[[#This Row],[_ShownCalcFinish]]))</f>
        <v/>
      </c>
      <c r="FM9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9" s="43" t="n">
        <f aca="false">IF(AND(Tasks[[#This Row],[_IsLeaf]]=1,Tasks[[#This Row],[_LeafTotalWork]]&gt;0),NETWORKDAYS.INTL(ProjectStart,Tasks[[#This Row],[_ShownFcstStart]],WorkWeek,Holidays),0)</f>
        <v>0</v>
      </c>
      <c r="FZ99" s="43" t="n">
        <f aca="false">IF(AND(Tasks[[#This Row],[_IsLeaf]]=1,Tasks[[#This Row],[_LeafTotalWork]]&gt;0),MAX(Tasks[[#This Row],[_StartWorkday]],NETWORKDAYS.INTL(ProjectStart,Tasks[[#This Row],[_ShownFcstFinish]],WorkWeek,Holidays)),0)</f>
        <v>0</v>
      </c>
      <c r="GA99" s="43" t="n">
        <f aca="false">IF(AND(Tasks[[#This Row],[_IsLeaf]]=1,Tasks[[#This Row],[_LeafTotalWork]]&gt;0),Tasks[[#This Row],[_LeafWork]]/(Tasks[[#This Row],[_FinishWorkday]]-Tasks[[#This Row],[_StartWorkday]]+1),0)</f>
        <v>0</v>
      </c>
      <c r="GB99" s="43" t="n">
        <f aca="false">Tasks[[#This Row],[_WorkPerWorkday]]*(Tasks[[#This Row],[_StartWorkday]]-1)</f>
        <v>-0</v>
      </c>
      <c r="GC99" s="43" t="n">
        <f aca="false">IF(Tasks[[#This Row],[_IsLeaf]]=1,MAX(N(Tasks[[#This Row],[_Days]]),0.1),0)</f>
        <v>0</v>
      </c>
      <c r="GD99" s="43" t="n">
        <f aca="false">Tasks[[#This Row],[_WeightDur]]*Tasks[[#This Row],[_LeafProgress]]</f>
        <v>0</v>
      </c>
      <c r="GE99" s="43" t="n">
        <f aca="false">Tasks[[#This Row],[_WeightDur]]*Tasks[[#This Row],[_PlannedPct]]</f>
        <v>0</v>
      </c>
      <c r="GF9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9" s="43" t="str">
        <f aca="false">IF(AND(Tasks[[#This Row],[_IsLeaf]]=1,N(Tasks[[#This Row],[_Days]])=0,Tasks[[#This Row],[_LeafProgress]]&lt;1),Tasks[[#This Row],[_ShownFcstFinish]]+Tasks[[#This Row],[_Row]]/100000,"")</f>
        <v/>
      </c>
      <c r="GH9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9" s="43" t="str">
        <f aca="false">IF(Tasks[[#This Row],[Task Name]]="","",LEFT(Tasks[[#This Row],[WBS]],FIND(".",Tasks[[#This Row],[WBS]]&amp;".")-1))</f>
        <v/>
      </c>
      <c r="GJ99" s="43" t="str">
        <f aca="false">IF(AND(Tasks[[#This Row],[Task Name]]&lt;&gt;"",Tasks[[#This Row],[_Level]]=1),Tasks[[#This Row],[_Row]],"")</f>
        <v/>
      </c>
      <c r="GK99" s="43" t="str">
        <f aca="false">IF(AND(Tasks[[#This Row],[_IsLeaf]]=1,N(Tasks[[#This Row],[_Days]])=0),Tasks[[#This Row],[Planned Finish]]+Tasks[[#This Row],[_Row]]/100000,"")</f>
        <v/>
      </c>
      <c r="GL99" s="43" t="str">
        <f aca="false">IF(AND(Tasks[[#This Row],[_IsLeaf]]=1,Tasks[[#This Row],[_LeafProgress]]&lt;1,OR(N(Tasks[[#This Row],[Finish Var]])&gt;0,Tasks[[#This Row],[Status]]="Late Start")),MAX(0,Tasks[[#This Row],[Finish Var]])+1-Tasks[[#This Row],[_Row]]/1000000,"")</f>
        <v/>
      </c>
      <c r="GM99" s="43" t="str">
        <f aca="false">IF(AND(Tasks[[#This Row],[_IsLeaf]]=1,N(Tasks[[#This Row],[Actual Start]])=0,Tasks[[#This Row],[_ShownFcstStart]]&gt;=StatusDate,Tasks[[#This Row],[_ShownFcstStart]]&lt;=LookaheadEnd),Tasks[[#This Row],[_ShownFcstStart]]+Tasks[[#This Row],[_Row]]/100000,"")</f>
        <v/>
      </c>
      <c r="GN99" s="43" t="str">
        <f aca="false">IF(AND(Tasks[[#This Row],[_IsLeaf]]=1,Tasks[[#This Row],[_LeafProgress]]&lt;1,Tasks[[#This Row],[_ShownFcstFinish]]&gt;=StatusDate,Tasks[[#This Row],[_ShownFcstFinish]]&lt;=LookaheadEnd),Tasks[[#This Row],[_ShownFcstFinish]]+Tasks[[#This Row],[_Row]]/100000,"")</f>
        <v/>
      </c>
      <c r="GO99" s="43" t="str">
        <f aca="false">IF(Tasks[[#This Row],[_LeafCritical]],Tasks[[#This Row],[_ShownFcstStart]]+Tasks[[#This Row],[_Row]]/100000,"")</f>
        <v/>
      </c>
      <c r="GP99" s="43" t="n">
        <f aca="false">Tasks[[#This Row],[_LeafWork]]*Tasks[[#This Row],[_LeafProgress]]</f>
        <v>0</v>
      </c>
      <c r="GQ99" s="91" t="str">
        <f aca="false">IF(AND(Tasks[[#This Row],[_IsLeaf]]=1,Tasks[[#This Row],[_LeafProgress]]&gt;=1),IF(N(Tasks[[#This Row],[Actual Finish]])&gt;0,Tasks[[#This Row],[Actual Finish]],Tasks[[#This Row],[_ShownFcstFinish]]),"")</f>
        <v/>
      </c>
      <c r="GR99" s="43" t="n">
        <f aca="false">IF(Tasks[[#This Row],[_IsLeaf]]=1,N(Tasks[[#This Row],[Story Points]]),0)</f>
        <v>0</v>
      </c>
      <c r="GS99" s="43" t="str">
        <f aca="false">""</f>
        <v/>
      </c>
      <c r="GT99" s="90" t="b">
        <f aca="false">IF(Tasks[[#This Row],[Task Name]]="",FALSE(),AND(Tasks[[#This Row],[_IsLeaf]]=1,N(Tasks[[#This Row],[_Days]])=0))</f>
        <v>0</v>
      </c>
      <c r="GU99" s="91" t="n">
        <f aca="false">IF(Tasks[[#This Row],[Task Name]]="",0,IF(AND(Tasks[[#This Row],[_IsLeaf]]=1,NOT(Tasks[[#This Row],[_IsMilestone]]),N(Tasks[[#This Row],[Progress]])&gt;0),Tasks[[#This Row],[Start]],0))</f>
        <v>0</v>
      </c>
      <c r="GV99" s="91" t="n">
        <f aca="false">IF(Tasks[[#This Row],[_DoneFrom]]=0,0,IF(Tasks[[#This Row],[Progress]]&gt;=1,Tasks[[#This Row],[Finish]],MAX(Tasks[[#This Row],[_DoneFrom]],Tasks[[#This Row],[Start]]+ROUND((Tasks[[#This Row],[Finish]]-Tasks[[#This Row],[Start]]+1)*Tasks[[#This Row],[Progress]],0)-1)))</f>
        <v>0</v>
      </c>
      <c r="GW99" s="91" t="n">
        <f aca="false">IF(Tasks[[#This Row],[Task Name]]="",0,IF(OR(NOT(Tasks[[#This Row],[_IsLeaf]]=1),Tasks[[#This Row],[_IsMilestone]],N(Tasks[[#This Row],[Progress]])&gt;=1),0,IF(Tasks[[#This Row],[_DoneTo]]&gt;0,Tasks[[#This Row],[_DoneTo]]+1,Tasks[[#This Row],[Start]])))</f>
        <v>0</v>
      </c>
      <c r="GX99" s="91" t="n">
        <f aca="false">IF(Tasks[[#This Row],[_RemFrom]]=0,0,Tasks[[#This Row],[Finish]])</f>
        <v>0</v>
      </c>
      <c r="GY99" s="90" t="b">
        <f aca="false">IF(Tasks[[#This Row],[Task Name]]="",FALSE(),OR(NOT(BaselineSet),N(Tasks[[#This Row],[Baseline Start]])&gt;0))</f>
        <v>0</v>
      </c>
      <c r="GZ9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9" s="92" t="str">
        <f aca="false">IF(Tasks[[#This Row],[_IsLeaf]]=1,Tasks[[#This Row],[_Row]],"")</f>
        <v/>
      </c>
      <c r="HD99" s="92" t="str">
        <f aca="false">IFERROR(INDEX(Tasks[UID],SMALL(Tasks[_PickKey],Tasks[[#This Row],[_Row]]))&amp;" "&amp;INDEX(Tasks[Task Name],SMALL(Tasks[_PickKey],Tasks[[#This Row],[_Row]])),"")</f>
        <v/>
      </c>
      <c r="HE99" s="43" t="str">
        <f aca="false">IF(Tasks[[#This Row],[Task Name]]="","",IF(Tasks[[#This Row],[_IsSummary]],NETWORKDAYS.INTL(Tasks[[#This Row],[Start]],Tasks[[#This Row],[Finish]],WorkWeek,Holidays),N(Tasks[[#This Row],[_Days]])))</f>
        <v/>
      </c>
      <c r="HF99" s="43" t="n">
        <f aca="false">IF(Tasks[[#This Row],[Expected]]="",0,((Tasks[[#This Row],[Pessimistic]]-Tasks[[#This Row],[Optimistic]])/6)^2)</f>
        <v>0</v>
      </c>
      <c r="HG99" s="43" t="n">
        <f aca="false">IF(Tasks[[#This Row],[Expected]]="",0,Tasks[[#This Row],[Expected]]-N(Tasks[[#This Row],[_Days]]))</f>
        <v>0</v>
      </c>
    </row>
    <row r="100" customFormat="false" ht="15" hidden="false" customHeight="false" outlineLevel="0" collapsed="false">
      <c r="A100" s="21" t="str">
        <f aca="false">IF(Tasks[[#This Row],[Task Name]]="","",COUNTA(Tasks[[#Headers],[Task Name]]:Tasks[[#This Row],[Task Name]])-1)</f>
        <v/>
      </c>
      <c r="B100" s="22" t="n">
        <v>108</v>
      </c>
      <c r="C100" s="22"/>
      <c r="D100" s="23"/>
      <c r="E100" s="22"/>
      <c r="F100" s="23"/>
      <c r="G100" s="22"/>
      <c r="H100" s="22"/>
      <c r="I100" s="23"/>
      <c r="J100" s="22"/>
      <c r="K100" s="22"/>
      <c r="L100" s="23"/>
      <c r="M100" s="22"/>
      <c r="N100" s="22"/>
      <c r="O100" s="23"/>
      <c r="P100" s="22"/>
      <c r="Q100" s="22"/>
      <c r="R100" s="23"/>
      <c r="S100" s="23"/>
      <c r="T100" s="84"/>
      <c r="U100" s="23"/>
      <c r="V100" s="84"/>
      <c r="W100" s="23"/>
      <c r="X100" s="84"/>
      <c r="Y100" s="23"/>
      <c r="Z100" s="84"/>
      <c r="AA100" s="23"/>
      <c r="AB100" s="23"/>
      <c r="AC100" s="7"/>
      <c r="AD100" s="7"/>
      <c r="AE100" s="63" t="str">
        <f aca="false">IF(Tasks[[#This Row],[Task Name]]="","",IF(Tasks[[#This Row],[_IsSummary]],MIN(INDEX(Tasks[_ShownFcstStart],Tasks[[#This Row],[_Row]]+1):INDEX(Tasks[_ShownFcstStart],Tasks[[#This Row],[_Row]]+Tasks[[#This Row],[_Descendants]])),Tasks[[#This Row],[_ShownFcstStart]]))</f>
        <v/>
      </c>
      <c r="AF100" s="63" t="str">
        <f aca="false">IF(Tasks[[#This Row],[Task Name]]="","",IF(Tasks[[#This Row],[_IsSummary]],MAX(INDEX(Tasks[_ShownFcstFinish],Tasks[[#This Row],[_Row]]+1):INDEX(Tasks[_ShownFcstFinish],Tasks[[#This Row],[_Row]]+Tasks[[#This Row],[_Descendants]])),Tasks[[#This Row],[_ShownFcstFinish]]))</f>
        <v/>
      </c>
      <c r="AG100" s="21" t="str">
        <f aca="false">""</f>
        <v/>
      </c>
      <c r="AH100" s="23"/>
      <c r="AI1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0" s="7"/>
      <c r="AK100" s="22"/>
      <c r="AL100" s="23"/>
      <c r="AM100" s="7"/>
      <c r="AN100" s="47" t="str">
        <f aca="false">IF(Tasks[[#This Row],[Task Name]]="","",IF(Tasks[[#This Row],[Finish]]&gt;=Tasks[[#This Row],[Planned Finish]],NETWORKDAYS.INTL(Tasks[[#This Row],[Planned Finish]],Tasks[[#This Row],[Finish]],WorkWeek,Holidays)-1,1-NETWORKDAYS.INTL(Tasks[[#This Row],[Finish]],Tasks[[#This Row],[Planned Finish]],WorkWeek,Holidays)))</f>
        <v/>
      </c>
      <c r="AO100" s="21" t="str">
        <f aca="false">IF(Tasks[[#This Row],[Task Name]]="","",IF(Tasks[[#This Row],[Progress]]&gt;=1,"Complete",IF(OR(N(Tasks[[#This Row],[Actual Start]])&gt;0,Tasks[[#This Row],[Progress]]&gt;0),IF(Tasks[[#This Row],[Finish Var]]&gt;0,"Behind","In Progress"),IF(Tasks[[#This Row],[Planned Start]]&lt;StatusDate,"Late Start","Not Started"))))</f>
        <v/>
      </c>
      <c r="AP100" s="21" t="str">
        <f aca="false">IF(Tasks[[#This Row],[Task Name]]="","",IF(IF(Tasks[[#This Row],[_IsSummary]],COUNTIF(INDEX(Tasks[_LeafCritical],Tasks[[#This Row],[_Row]]+1):INDEX(Tasks[_LeafCritical],Tasks[[#This Row],[_Row]]+Tasks[[#This Row],[_Descendants]]),TRUE())&gt;0,Tasks[[#This Row],[_LeafCritical]]),"Yes",""))</f>
        <v/>
      </c>
      <c r="AQ100" s="63" t="str">
        <f aca="false">IF(Tasks[[#This Row],[Task Name]]="","",IF(N(Tasks[[#This Row],[Baseline Start]])&gt;0,Tasks[[#This Row],[Baseline Start]],Tasks[[#This Row],[_CalcStart]]))</f>
        <v/>
      </c>
      <c r="AR100" s="63" t="str">
        <f aca="false">IF(Tasks[[#This Row],[Task Name]]="","",IF(N(Tasks[[#This Row],[Baseline Finish]])&gt;0,Tasks[[#This Row],[Baseline Finish]],Tasks[[#This Row],[_CalcFinish]]))</f>
        <v/>
      </c>
      <c r="AS100" s="47" t="str">
        <f aca="false">IF(Tasks[[#This Row],[Task Name]]="","",IF(Tasks[[#This Row],[Start]]&gt;=Tasks[[#This Row],[Planned Start]],NETWORKDAYS.INTL(Tasks[[#This Row],[Planned Start]],Tasks[[#This Row],[Start]],WorkWeek,Holidays)-1,1-NETWORKDAYS.INTL(Tasks[[#This Row],[Start]],Tasks[[#This Row],[Planned Start]],WorkWeek,Holidays)))</f>
        <v/>
      </c>
      <c r="AT100" s="63" t="str">
        <f aca="false">IF(Tasks[[#This Row],[Task Name]]="","",IF(Tasks[[#This Row],[_IsSummary]],MIN(INDEX(Tasks[_LeafLateStart],Tasks[[#This Row],[_Row]]+1):INDEX(Tasks[_LeafLateStart],Tasks[[#This Row],[_Row]]+Tasks[[#This Row],[_Descendants]])),Tasks[[#This Row],[_LeafLateStart]]))</f>
        <v/>
      </c>
      <c r="AU100" s="63" t="str">
        <f aca="false">IF(Tasks[[#This Row],[Task Name]]="","",IF(Tasks[[#This Row],[_IsSummary]],MAX(INDEX(Tasks[_LeafLateFinish],Tasks[[#This Row],[_Row]]+1):INDEX(Tasks[_LeafLateFinish],Tasks[[#This Row],[_Row]]+Tasks[[#This Row],[_Descendants]])),Tasks[[#This Row],[_LeafLateFinish]]))</f>
        <v/>
      </c>
      <c r="AV100" s="47" t="str">
        <f aca="false">IF(Tasks[[#This Row],[Task Name]]="","",IF(Tasks[[#This Row],[_IsSummary]],MIN(INDEX(Tasks[_LeafTotalSlack],Tasks[[#This Row],[_Row]]+1):INDEX(Tasks[_LeafTotalSlack],Tasks[[#This Row],[_Row]]+Tasks[[#This Row],[_Descendants]])),Tasks[[#This Row],[_LeafTotalSlack]]))</f>
        <v/>
      </c>
      <c r="AW1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5"/>
      <c r="BA10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1" t="str">
        <f aca="false">IF(Tasks[[#This Row],[Task Name]]="","",IF(Tasks[[#This Row],[_Level]]&lt;=OutlineShowLevel,"Yes","No"))</f>
        <v/>
      </c>
      <c r="BE100" s="86" t="str">
        <f aca="false">IF(Tasks[[#This Row],[Task Name]]="","",IF(Tasks[[#This Row],[_IsSummary]],SUM(INDEX(Tasks[_LeafTotalWork],Tasks[[#This Row],[_Row]]+1):INDEX(Tasks[_LeafTotalWork],Tasks[[#This Row],[_Row]]+Tasks[[#This Row],[_Descendants]])),Tasks[[#This Row],[_LeafTotalWork]]))</f>
        <v/>
      </c>
      <c r="BF100" s="23"/>
      <c r="BG1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0" s="21" t="str">
        <f aca="false">""</f>
        <v/>
      </c>
      <c r="BI100" s="87"/>
      <c r="BJ100" s="22"/>
      <c r="BK100" s="47" t="str">
        <f aca="false">IF(OR(Tasks[[#This Row],[Task Name]]="",Tasks[[#This Row],[Baseline Duration]]=""),"",Tasks[[#This Row],[_SpanDays]]-N(Tasks[[#This Row],[Baseline Duration]]))</f>
        <v/>
      </c>
      <c r="BL100" s="86" t="str">
        <f aca="false">IF(OR(Tasks[[#This Row],[Task Name]]="",Tasks[[#This Row],[Baseline Work]]=""),"",Tasks[[#This Row],[Work]]-N(Tasks[[#This Row],[Baseline Work]]))</f>
        <v/>
      </c>
      <c r="BM100" s="63" t="str">
        <f aca="false">IF(Tasks[[#This Row],[Task Name]]="","",IF(OR(TakeBaseline="Yes",N(Tasks[[#This Row],[Baseline Start]])=0),Tasks[[#This Row],[Start]],Tasks[[#This Row],[Baseline Start]]))</f>
        <v/>
      </c>
      <c r="BN100" s="63" t="str">
        <f aca="false">IF(Tasks[[#This Row],[Task Name]]="","",IF(OR(TakeBaseline="Yes",N(Tasks[[#This Row],[Baseline Finish]])=0),Tasks[[#This Row],[Finish]],Tasks[[#This Row],[Baseline Finish]]))</f>
        <v/>
      </c>
      <c r="BO100" s="21" t="str">
        <f aca="false">IF(Tasks[[#This Row],[Task Name]]="","",IF(OR(TakeBaseline="Yes",N(Tasks[[#This Row],[Baseline Duration]])=0),Tasks[[#This Row],[_SpanDays]],Tasks[[#This Row],[Baseline Duration]]))</f>
        <v/>
      </c>
      <c r="BP100" s="86" t="str">
        <f aca="false">IF(Tasks[[#This Row],[Task Name]]="","",IF(OR(TakeBaseline="Yes",N(Tasks[[#This Row],[Baseline Work]])=0),Tasks[[#This Row],[Work]],Tasks[[#This Row],[Baseline Work]]))</f>
        <v/>
      </c>
      <c r="BQ100" s="7"/>
      <c r="BR100" s="7"/>
      <c r="BS100" s="22"/>
      <c r="BT100" s="88"/>
      <c r="BU100" s="23"/>
      <c r="BV100" s="23"/>
      <c r="BW100" s="23"/>
      <c r="BX100" s="89" t="str">
        <f aca="false">IF(AND(Tasks[[#This Row],[_IsLeaf]]=1,ISNUMBER(Tasks[[#This Row],[Optimistic]]),ISNUMBER(Tasks[[#This Row],[Pessimistic]])),ROUND((Tasks[[#This Row],[Optimistic]]+4*N(Tasks[[#This Row],[_Days]])+Tasks[[#This Row],[Pessimistic]])/6,1),"")</f>
        <v/>
      </c>
      <c r="BY100" s="87"/>
      <c r="BZ100" s="87"/>
      <c r="CA100" s="22"/>
      <c r="CB100" s="43" t="str">
        <f aca="false">IF(Tasks[[#This Row],[Task Name]]="","",MAX(1,N(Tasks[[#This Row],[Level]])))</f>
        <v/>
      </c>
      <c r="CC100" s="43" t="n">
        <f aca="false">ROW()-ROW(Tasks[[#Headers],[ID]])</f>
        <v>95</v>
      </c>
      <c r="CD100" s="43" t="n">
        <f aca="false">IF(OR(Tasks[[#This Row],[Task Name]]="",Tasks[[#This Row],[_Level]]&lt;=1),0,IFERROR(LOOKUP(2,1/(Tasks[[#Headers],[_Level]]:Tasks[[#This Row],[_Level]]=Tasks[[#This Row],[_Level]]-1),ROW(Tasks[[#Headers],[_Level]]:Tasks[[#This Row],[_Level]])),0))</f>
        <v>0</v>
      </c>
      <c r="CE100" s="43" t="n">
        <f aca="false">IFERROR(N(INDEX(Tasks[_Level],Tasks[[#This Row],[_Row]]+1)),0)</f>
        <v>0</v>
      </c>
      <c r="CF100" s="90" t="b">
        <f aca="false">AND(Tasks[[#This Row],[Task Name]]&lt;&gt;"",Tasks[[#This Row],[_NextLevel]]&gt;Tasks[[#This Row],[_Level]])</f>
        <v>0</v>
      </c>
      <c r="CG100" s="43" t="n">
        <f aca="false">IF(Tasks[[#This Row],[_IsSummary]],COUNTIF(Tasks[WBS],Tasks[[#This Row],[WBS]]&amp;".*"),0)</f>
        <v>0</v>
      </c>
      <c r="CH100" s="43" t="n">
        <f aca="false">IF(AND(Tasks[[#This Row],[Task Name]]&lt;&gt;"",NOT(Tasks[[#This Row],[_IsSummary]])),1,0)</f>
        <v>0</v>
      </c>
      <c r="CI100" s="43" t="n">
        <f aca="false">IF(N(Tasks[[#This Row],[_Pred1UID]])=0,0,IFERROR(MATCH(Tasks[[#This Row],[_Pred1UID]],Tasks[UID],0),-1))</f>
        <v>0</v>
      </c>
      <c r="CJ100" s="43" t="n">
        <f aca="false">IF(N(Tasks[[#This Row],[_Pred2UID]])=0,0,IFERROR(MATCH(Tasks[[#This Row],[_Pred2UID]],Tasks[UID],0),-1))</f>
        <v>0</v>
      </c>
      <c r="CK100" s="43" t="n">
        <f aca="false">IF(N(Tasks[[#This Row],[_Pred3UID]])=0,0,IFERROR(MATCH(Tasks[[#This Row],[_Pred3UID]],Tasks[UID],0),-1))</f>
        <v>0</v>
      </c>
      <c r="CL100" s="43" t="n">
        <f aca="false">IF(N(Tasks[[#This Row],[_Pred4UID]])=0,0,IFERROR(MATCH(Tasks[[#This Row],[_Pred4UID]],Tasks[UID],0),-1))</f>
        <v>0</v>
      </c>
      <c r="CM10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0" s="91" t="n">
        <f aca="false">IF(OR(Tasks[[#This Row],[_ConstraintCode]]=2,Tasks[[#This Row],[_ConstraintCode]]=3,Tasks[[#This Row],[_ConstraintCode]]=4,Tasks[[#This Row],[_ConstraintCode]]=6),Tasks[[#This Row],[_ConstraintStart]],0)</f>
        <v>0</v>
      </c>
      <c r="CP100" s="91" t="n">
        <f aca="false">IF(OR(Tasks[[#This Row],[_ConstraintCode]]=2,Tasks[[#This Row],[_ConstraintCode]]=3,Tasks[[#This Row],[_ConstraintCode]]=5,Tasks[[#This Row],[_ConstraintCode]]=7),Tasks[[#This Row],[_ConstraintStart]],2958465)</f>
        <v>2958465</v>
      </c>
      <c r="CQ10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0" s="91" t="str">
        <f aca="false">IF(NOT(Tasks[[#This Row],[_IsLeaf]]=1),"",IF(N(Tasks[[#This Row],[_Days]])&lt;=0,Tasks[[#This Row],[_LeafCalcStart]],WORKDAY.INTL(Tasks[[#This Row],[_LeafCalcStart]],Tasks[[#This Row],[_Days]]-1,WorkWeek,Holidays)))</f>
        <v/>
      </c>
      <c r="CS10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0" s="43" t="str">
        <f aca="false">IF(Tasks[[#This Row],[_Predecessors]]="","",TRIM(MID(SUBSTITUTE(SUBSTITUTE(SUBSTITUTE(UPPER(Tasks[[#This Row],[_Predecessors]]),";",",")," ",""),",",REPT(" ",99)),1,99)))</f>
        <v/>
      </c>
      <c r="CV100" s="43" t="str">
        <f aca="false">IF(Tasks[[#This Row],[_Pred1Text]]="","",IFERROR(VALUE(LEFT(Tasks[[#This Row],[_Pred1Text]],MIN(FIND("F",Tasks[[#This Row],[_Pred1Text]]&amp;"F"),FIND("S",Tasks[[#This Row],[_Pred1Text]]&amp;"S"),FIND("+",Tasks[[#This Row],[_Pred1Text]]&amp;"+"),FIND("-",Tasks[[#This Row],[_Pred1Text]]&amp;"-"))-1)),""))</f>
        <v/>
      </c>
      <c r="CW10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0" s="43" t="str">
        <f aca="false">IF(Tasks[[#This Row],[_Pred1Text]]="","",TRIM(MID(SUBSTITUTE(SUBSTITUTE(SUBSTITUTE(UPPER(Tasks[[#This Row],[_Predecessors]]),";",",")," ",""),",",REPT(" ",99)),100,99)))</f>
        <v/>
      </c>
      <c r="CZ100" s="43" t="str">
        <f aca="false">IF(Tasks[[#This Row],[_Pred2Text]]="","",IFERROR(VALUE(LEFT(Tasks[[#This Row],[_Pred2Text]],MIN(FIND("F",Tasks[[#This Row],[_Pred2Text]]&amp;"F"),FIND("S",Tasks[[#This Row],[_Pred2Text]]&amp;"S"),FIND("+",Tasks[[#This Row],[_Pred2Text]]&amp;"+"),FIND("-",Tasks[[#This Row],[_Pred2Text]]&amp;"-"))-1)),""))</f>
        <v/>
      </c>
      <c r="DA10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0" s="43" t="str">
        <f aca="false">IF(Tasks[[#This Row],[_Pred2Text]]="","",TRIM(MID(SUBSTITUTE(SUBSTITUTE(SUBSTITUTE(UPPER(Tasks[[#This Row],[_Predecessors]]),";",",")," ",""),",",REPT(" ",99)),199,99)))</f>
        <v/>
      </c>
      <c r="DD100" s="43" t="str">
        <f aca="false">IF(Tasks[[#This Row],[_Pred3Text]]="","",IFERROR(VALUE(LEFT(Tasks[[#This Row],[_Pred3Text]],MIN(FIND("F",Tasks[[#This Row],[_Pred3Text]]&amp;"F"),FIND("S",Tasks[[#This Row],[_Pred3Text]]&amp;"S"),FIND("+",Tasks[[#This Row],[_Pred3Text]]&amp;"+"),FIND("-",Tasks[[#This Row],[_Pred3Text]]&amp;"-"))-1)),""))</f>
        <v/>
      </c>
      <c r="DE10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0" s="43" t="str">
        <f aca="false">IF(Tasks[[#This Row],[_Pred3Text]]="","",TRIM(MID(SUBSTITUTE(SUBSTITUTE(SUBSTITUTE(UPPER(Tasks[[#This Row],[_Predecessors]]),";",",")," ",""),",",REPT(" ",99)),298,99)))</f>
        <v/>
      </c>
      <c r="DH100" s="43" t="str">
        <f aca="false">IF(Tasks[[#This Row],[_Pred4Text]]="","",IFERROR(VALUE(LEFT(Tasks[[#This Row],[_Pred4Text]],MIN(FIND("F",Tasks[[#This Row],[_Pred4Text]]&amp;"F"),FIND("S",Tasks[[#This Row],[_Pred4Text]]&amp;"S"),FIND("+",Tasks[[#This Row],[_Pred4Text]]&amp;"+"),FIND("-",Tasks[[#This Row],[_Pred4Text]]&amp;"-"))-1)),""))</f>
        <v/>
      </c>
      <c r="DI10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0" s="43" t="str">
        <f aca="false">IF(OR(Tasks[[#This Row],[Task Name]]="",Tasks[[#This Row],[_Resources]]=""),"",TRIM(MID(SUBSTITUTE(Tasks[[#This Row],[_Resources]],",",REPT(" ",99)),1,99)))</f>
        <v/>
      </c>
      <c r="DL100" s="43" t="str">
        <f aca="false">IF(Tasks[[#This Row],[_Res1Text]]="","",TRIM(MID(SUBSTITUTE(Tasks[[#This Row],[_Resources]],",",REPT(" ",99)),100,99)))</f>
        <v/>
      </c>
      <c r="DM100" s="43" t="str">
        <f aca="false">IF(Tasks[[#This Row],[_Res2Text]]="","",TRIM(MID(SUBSTITUTE(Tasks[[#This Row],[_Resources]],",",REPT(" ",99)),199,99)))</f>
        <v/>
      </c>
      <c r="DN100" s="43" t="str">
        <f aca="false">IF(Tasks[[#This Row],[_Res3Text]]="","",TRIM(MID(SUBSTITUTE(Tasks[[#This Row],[_Resources]],",",REPT(" ",99)),298,99)))</f>
        <v/>
      </c>
      <c r="DO100" s="43" t="n">
        <f aca="false">IF(Tasks[[#This Row],[_Res1Text]]="",0,IFERROR(MATCH(TRIM(LEFT(Tasks[[#This Row],[_Res1Text]],FIND("[",Tasks[[#This Row],[_Res1Text]]&amp;"[")-1)),res_Name,0),IFERROR(MATCH(TRIM(LEFT(Tasks[[#This Row],[_Res1Text]],FIND("[",Tasks[[#This Row],[_Res1Text]]&amp;"[")-1)),res_Initials,0),0)))</f>
        <v>0</v>
      </c>
      <c r="DP100" s="43" t="n">
        <f aca="false">IF(Tasks[[#This Row],[_Res2Text]]="",0,IFERROR(MATCH(TRIM(LEFT(Tasks[[#This Row],[_Res2Text]],FIND("[",Tasks[[#This Row],[_Res2Text]]&amp;"[")-1)),res_Name,0),IFERROR(MATCH(TRIM(LEFT(Tasks[[#This Row],[_Res2Text]],FIND("[",Tasks[[#This Row],[_Res2Text]]&amp;"[")-1)),res_Initials,0),0)))</f>
        <v>0</v>
      </c>
      <c r="DQ100" s="43" t="n">
        <f aca="false">IF(Tasks[[#This Row],[_Res3Text]]="",0,IFERROR(MATCH(TRIM(LEFT(Tasks[[#This Row],[_Res3Text]],FIND("[",Tasks[[#This Row],[_Res3Text]]&amp;"[")-1)),res_Name,0),IFERROR(MATCH(TRIM(LEFT(Tasks[[#This Row],[_Res3Text]],FIND("[",Tasks[[#This Row],[_Res3Text]]&amp;"[")-1)),res_Initials,0),0)))</f>
        <v>0</v>
      </c>
      <c r="DR100" s="43" t="n">
        <f aca="false">IF(Tasks[[#This Row],[_Res4Text]]="",0,IFERROR(MATCH(TRIM(LEFT(Tasks[[#This Row],[_Res4Text]],FIND("[",Tasks[[#This Row],[_Res4Text]]&amp;"[")-1)),res_Name,0),IFERROR(MATCH(TRIM(LEFT(Tasks[[#This Row],[_Res4Text]],FIND("[",Tasks[[#This Row],[_Res4Text]]&amp;"[")-1)),res_Initials,0),0)))</f>
        <v>0</v>
      </c>
      <c r="DS100" s="43" t="str">
        <f aca="false">IF(Tasks[[#This Row],[_Res1Text]]="","",IF(Tasks[[#This Row],[_Res1Row]]&gt;0,INDEX(res_Name,Tasks[[#This Row],[_Res1Row]]),TRIM(LEFT(Tasks[[#This Row],[_Res1Text]],FIND("[",Tasks[[#This Row],[_Res1Text]]&amp;"[")-1))))</f>
        <v/>
      </c>
      <c r="DT10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0" s="43" t="n">
        <f aca="false">IF(NOT(Tasks[[#This Row],[_IsLeaf]]=1),0,(Tasks[[#This Row],[_Resource1]]&lt;&gt;"")+(Tasks[[#This Row],[_Res2]]&lt;&gt;"")+(Tasks[[#This Row],[_Res3]]&lt;&gt;"")+(Tasks[[#This Row],[_Res4]]&lt;&gt;""))</f>
        <v>0</v>
      </c>
      <c r="DV100" s="43" t="str">
        <f aca="false">IF(Tasks[[#This Row],[_Res2Text]]="","",IF(Tasks[[#This Row],[_Res2Row]]&gt;0,INDEX(res_Name,Tasks[[#This Row],[_Res2Row]]),TRIM(LEFT(Tasks[[#This Row],[_Res2Text]],FIND("[",Tasks[[#This Row],[_Res2Text]]&amp;"[")-1))))</f>
        <v/>
      </c>
      <c r="DW10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0" s="43" t="n">
        <f aca="false">IF(OR(NOT(Tasks[[#This Row],[_IsLeaf]]=1),Tasks[[#This Row],[_Res2Row]]=0),0,N(Tasks[[#This Row],[_Days]])*HoursPerDay*IF(Tasks[[#This Row],[_Res2Units]]="",DefaultUnits,Tasks[[#This Row],[_Res2Units]]))</f>
        <v>0</v>
      </c>
      <c r="DY100" s="43" t="n">
        <f aca="false">IF(AND(AND(Tasks[[#This Row],[_IsLeaf]]=1,Tasks[[#This Row],[_LeafTotalWork]]&gt;0),Tasks[[#This Row],[_Res2Work]]&gt;0),Tasks[[#This Row],[_Res2Work]]/(Tasks[[#This Row],[_FinishWorkday]]-Tasks[[#This Row],[_StartWorkday]]+1),0)</f>
        <v>0</v>
      </c>
      <c r="DZ100" s="43" t="n">
        <f aca="false">Tasks[[#This Row],[_Res2WorkPerWD]]*MAX(0,Tasks[[#This Row],[_StartWorkday]]-1)</f>
        <v>0</v>
      </c>
      <c r="EA100" s="43" t="n">
        <f aca="false">Tasks[[#This Row],[_Res2Work]]*Tasks[[#This Row],[_LeafProgress]]</f>
        <v>0</v>
      </c>
      <c r="EB100" s="43" t="str">
        <f aca="false">IF(Tasks[[#This Row],[_Res3Text]]="","",IF(Tasks[[#This Row],[_Res3Row]]&gt;0,INDEX(res_Name,Tasks[[#This Row],[_Res3Row]]),TRIM(LEFT(Tasks[[#This Row],[_Res3Text]],FIND("[",Tasks[[#This Row],[_Res3Text]]&amp;"[")-1))))</f>
        <v/>
      </c>
      <c r="EC10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0" s="43" t="n">
        <f aca="false">IF(OR(NOT(Tasks[[#This Row],[_IsLeaf]]=1),Tasks[[#This Row],[_Res3Row]]=0),0,N(Tasks[[#This Row],[_Days]])*HoursPerDay*IF(Tasks[[#This Row],[_Res3Units]]="",DefaultUnits,Tasks[[#This Row],[_Res3Units]]))</f>
        <v>0</v>
      </c>
      <c r="EE100" s="43" t="n">
        <f aca="false">IF(AND(AND(Tasks[[#This Row],[_IsLeaf]]=1,Tasks[[#This Row],[_LeafTotalWork]]&gt;0),Tasks[[#This Row],[_Res3Work]]&gt;0),Tasks[[#This Row],[_Res3Work]]/(Tasks[[#This Row],[_FinishWorkday]]-Tasks[[#This Row],[_StartWorkday]]+1),0)</f>
        <v>0</v>
      </c>
      <c r="EF100" s="43" t="n">
        <f aca="false">Tasks[[#This Row],[_Res3WorkPerWD]]*MAX(0,Tasks[[#This Row],[_StartWorkday]]-1)</f>
        <v>0</v>
      </c>
      <c r="EG100" s="43" t="n">
        <f aca="false">Tasks[[#This Row],[_Res3Work]]*Tasks[[#This Row],[_LeafProgress]]</f>
        <v>0</v>
      </c>
      <c r="EH100" s="43" t="str">
        <f aca="false">IF(Tasks[[#This Row],[_Res4Text]]="","",IF(Tasks[[#This Row],[_Res4Row]]&gt;0,INDEX(res_Name,Tasks[[#This Row],[_Res4Row]]),TRIM(LEFT(Tasks[[#This Row],[_Res4Text]],FIND("[",Tasks[[#This Row],[_Res4Text]]&amp;"[")-1))))</f>
        <v/>
      </c>
      <c r="EI10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0" s="43" t="n">
        <f aca="false">IF(OR(NOT(Tasks[[#This Row],[_IsLeaf]]=1),Tasks[[#This Row],[_Res4Row]]=0),0,N(Tasks[[#This Row],[_Days]])*HoursPerDay*IF(Tasks[[#This Row],[_Res4Units]]="",DefaultUnits,Tasks[[#This Row],[_Res4Units]]))</f>
        <v>0</v>
      </c>
      <c r="EK100" s="43" t="n">
        <f aca="false">IF(AND(AND(Tasks[[#This Row],[_IsLeaf]]=1,Tasks[[#This Row],[_LeafTotalWork]]&gt;0),Tasks[[#This Row],[_Res4Work]]&gt;0),Tasks[[#This Row],[_Res4Work]]/(Tasks[[#This Row],[_FinishWorkday]]-Tasks[[#This Row],[_StartWorkday]]+1),0)</f>
        <v>0</v>
      </c>
      <c r="EL100" s="43" t="n">
        <f aca="false">Tasks[[#This Row],[_Res4WorkPerWD]]*MAX(0,Tasks[[#This Row],[_StartWorkday]]-1)</f>
        <v>0</v>
      </c>
      <c r="EM100" s="43" t="n">
        <f aca="false">Tasks[[#This Row],[_Res4Work]]*Tasks[[#This Row],[_LeafProgress]]</f>
        <v>0</v>
      </c>
      <c r="EN100" s="43" t="n">
        <f aca="false">IF(ISNUMBER(Tasks[[#This Row],[% Complete]]),Tasks[[#This Row],[% Complete]],IF(Tasks[[#This Row],[Stage]]="",0,IFERROR(INDEX(stg_Pct,MATCH(Tasks[[#This Row],[Stage]],stg_Name,0)),0)))</f>
        <v>0</v>
      </c>
      <c r="EO100" s="43" t="n">
        <f aca="false">IF(NOT(Tasks[[#This Row],[_IsLeaf]]=1),0,IF(N(Tasks[[#This Row],[Actual Finish]])&gt;0,1,MIN(1,Tasks[[#This Row],[_Pct]])))</f>
        <v>0</v>
      </c>
      <c r="EP100" s="43" t="n">
        <f aca="false">IF(OR(NOT(Tasks[[#This Row],[_IsLeaf]]=1),Tasks[[#This Row],[_Res1Row]]=0),0,N(Tasks[[#This Row],[_Days]])*HoursPerDay*IF(Tasks[[#This Row],[_Units1]]="",DefaultUnits,Tasks[[#This Row],[_Units1]]))</f>
        <v>0</v>
      </c>
      <c r="EQ100" s="43" t="n">
        <f aca="false">Tasks[[#This Row],[_LeafWork]]+Tasks[[#This Row],[_Res2Work]]+Tasks[[#This Row],[_Res3Work]]+Tasks[[#This Row],[_Res4Work]]</f>
        <v>0</v>
      </c>
      <c r="ER10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0" s="43" t="n">
        <f aca="false">IF(NOT(Tasks[[#This Row],[_IsLeaf]]=1),0,MAX(_xlfn.MAXIFS(Tasks[_Row],Tasks[_Pred1UID],Tasks[[#This Row],[UID]]),_xlfn.MAXIFS(Tasks[_Row],Tasks[_Pred2UID],Tasks[[#This Row],[UID]]),_xlfn.MAXIFS(Tasks[_Row],Tasks[_Pred3UID],Tasks[[#This Row],[UID]]),_xlfn.MAXIFS(Tasks[_Row],Tasks[_Pred4UID],Tasks[[#This Row],[UID]])))</f>
        <v>0</v>
      </c>
      <c r="FA10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0" s="91" t="str">
        <f aca="false">IF(NOT(Tasks[[#This Row],[_IsLeaf]]=1),"",IF(N(Tasks[[#This Row],[_Days]])&lt;=0,Tasks[[#This Row],[_LeafLateFinish]],WORKDAY.INTL(Tasks[[#This Row],[_LeafLateFinish]],-(Tasks[[#This Row],[_Days]]-1),WorkWeek,Holidays)))</f>
        <v/>
      </c>
      <c r="FD10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0" s="90" t="b">
        <f aca="false">AND(Tasks[[#This Row],[_IsLeaf]]=1,Tasks[[#This Row],[_LeafProgress]]&lt;1,N(Tasks[[#This Row],[_LeafTotalSlack]])&lt;=CriticalSlackDays)</f>
        <v>0</v>
      </c>
      <c r="FF100" s="43" t="n">
        <f aca="false">IF(AND(Tasks[[#This Row],[_IsLeaf]]=1,Tasks[[#This Row],[_ConstraintCode]]=1,Tasks[[#This Row],[Mode]]&lt;&gt;"Manual",N(Tasks[[#This Row],[Actual Start]])=0),MAX(0,N(Tasks[[#This Row],[Free Slack]])),0)</f>
        <v>0</v>
      </c>
      <c r="FG100" s="91" t="str">
        <f aca="false">IF(NOT(Tasks[[#This Row],[_IsLeaf]]=1),"",IF(Tasks[[#This Row],[_AlapShift]]=0,Tasks[[#This Row],[_LeafCalcStart]],WORKDAY.INTL(Tasks[[#This Row],[_LeafCalcStart]],Tasks[[#This Row],[_AlapShift]],WorkWeek,Holidays)))</f>
        <v/>
      </c>
      <c r="FH100" s="91" t="str">
        <f aca="false">IF(NOT(Tasks[[#This Row],[_IsLeaf]]=1),"",IF(Tasks[[#This Row],[_AlapShift]]=0,Tasks[[#This Row],[_LeafCalcFinish]],WORKDAY.INTL(Tasks[[#This Row],[_LeafCalcFinish]],Tasks[[#This Row],[_AlapShift]],WorkWeek,Holidays)))</f>
        <v/>
      </c>
      <c r="FI100" s="91" t="str">
        <f aca="false">IF(NOT(Tasks[[#This Row],[_IsLeaf]]=1),"",IF(Tasks[[#This Row],[_AlapShift]]=0,Tasks[[#This Row],[_LeafFcstStart]],WORKDAY.INTL(Tasks[[#This Row],[_LeafFcstStart]],Tasks[[#This Row],[_AlapShift]],WorkWeek,Holidays)))</f>
        <v/>
      </c>
      <c r="FJ100" s="91" t="str">
        <f aca="false">IF(NOT(Tasks[[#This Row],[_IsLeaf]]=1),"",IF(Tasks[[#This Row],[_AlapShift]]=0,Tasks[[#This Row],[_LeafFcstFinish]],WORKDAY.INTL(Tasks[[#This Row],[_LeafFcstFinish]],Tasks[[#This Row],[_AlapShift]],WorkWeek,Holidays)))</f>
        <v/>
      </c>
      <c r="FK100" s="91" t="str">
        <f aca="false">IF(Tasks[[#This Row],[Task Name]]="","",IF(Tasks[[#This Row],[_IsSummary]],MIN(INDEX(Tasks[_ShownCalcStart],Tasks[[#This Row],[_Row]]+1):INDEX(Tasks[_ShownCalcStart],Tasks[[#This Row],[_Row]]+Tasks[[#This Row],[_Descendants]])),Tasks[[#This Row],[_ShownCalcStart]]))</f>
        <v/>
      </c>
      <c r="FL100" s="91" t="str">
        <f aca="false">IF(Tasks[[#This Row],[Task Name]]="","",IF(Tasks[[#This Row],[_IsSummary]],MAX(INDEX(Tasks[_ShownCalcFinish],Tasks[[#This Row],[_Row]]+1):INDEX(Tasks[_ShownCalcFinish],Tasks[[#This Row],[_Row]]+Tasks[[#This Row],[_Descendants]])),Tasks[[#This Row],[_ShownCalcFinish]]))</f>
        <v/>
      </c>
      <c r="FM10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0" s="43" t="n">
        <f aca="false">IF(AND(Tasks[[#This Row],[_IsLeaf]]=1,Tasks[[#This Row],[_LeafTotalWork]]&gt;0),NETWORKDAYS.INTL(ProjectStart,Tasks[[#This Row],[_ShownFcstStart]],WorkWeek,Holidays),0)</f>
        <v>0</v>
      </c>
      <c r="FZ100" s="43" t="n">
        <f aca="false">IF(AND(Tasks[[#This Row],[_IsLeaf]]=1,Tasks[[#This Row],[_LeafTotalWork]]&gt;0),MAX(Tasks[[#This Row],[_StartWorkday]],NETWORKDAYS.INTL(ProjectStart,Tasks[[#This Row],[_ShownFcstFinish]],WorkWeek,Holidays)),0)</f>
        <v>0</v>
      </c>
      <c r="GA100" s="43" t="n">
        <f aca="false">IF(AND(Tasks[[#This Row],[_IsLeaf]]=1,Tasks[[#This Row],[_LeafTotalWork]]&gt;0),Tasks[[#This Row],[_LeafWork]]/(Tasks[[#This Row],[_FinishWorkday]]-Tasks[[#This Row],[_StartWorkday]]+1),0)</f>
        <v>0</v>
      </c>
      <c r="GB100" s="43" t="n">
        <f aca="false">Tasks[[#This Row],[_WorkPerWorkday]]*(Tasks[[#This Row],[_StartWorkday]]-1)</f>
        <v>-0</v>
      </c>
      <c r="GC100" s="43" t="n">
        <f aca="false">IF(Tasks[[#This Row],[_IsLeaf]]=1,MAX(N(Tasks[[#This Row],[_Days]]),0.1),0)</f>
        <v>0</v>
      </c>
      <c r="GD100" s="43" t="n">
        <f aca="false">Tasks[[#This Row],[_WeightDur]]*Tasks[[#This Row],[_LeafProgress]]</f>
        <v>0</v>
      </c>
      <c r="GE100" s="43" t="n">
        <f aca="false">Tasks[[#This Row],[_WeightDur]]*Tasks[[#This Row],[_PlannedPct]]</f>
        <v>0</v>
      </c>
      <c r="GF10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0" s="43" t="str">
        <f aca="false">IF(AND(Tasks[[#This Row],[_IsLeaf]]=1,N(Tasks[[#This Row],[_Days]])=0,Tasks[[#This Row],[_LeafProgress]]&lt;1),Tasks[[#This Row],[_ShownFcstFinish]]+Tasks[[#This Row],[_Row]]/100000,"")</f>
        <v/>
      </c>
      <c r="GH10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0" s="43" t="str">
        <f aca="false">IF(Tasks[[#This Row],[Task Name]]="","",LEFT(Tasks[[#This Row],[WBS]],FIND(".",Tasks[[#This Row],[WBS]]&amp;".")-1))</f>
        <v/>
      </c>
      <c r="GJ100" s="43" t="str">
        <f aca="false">IF(AND(Tasks[[#This Row],[Task Name]]&lt;&gt;"",Tasks[[#This Row],[_Level]]=1),Tasks[[#This Row],[_Row]],"")</f>
        <v/>
      </c>
      <c r="GK100" s="43" t="str">
        <f aca="false">IF(AND(Tasks[[#This Row],[_IsLeaf]]=1,N(Tasks[[#This Row],[_Days]])=0),Tasks[[#This Row],[Planned Finish]]+Tasks[[#This Row],[_Row]]/100000,"")</f>
        <v/>
      </c>
      <c r="GL100" s="43" t="str">
        <f aca="false">IF(AND(Tasks[[#This Row],[_IsLeaf]]=1,Tasks[[#This Row],[_LeafProgress]]&lt;1,OR(N(Tasks[[#This Row],[Finish Var]])&gt;0,Tasks[[#This Row],[Status]]="Late Start")),MAX(0,Tasks[[#This Row],[Finish Var]])+1-Tasks[[#This Row],[_Row]]/1000000,"")</f>
        <v/>
      </c>
      <c r="GM100" s="43" t="str">
        <f aca="false">IF(AND(Tasks[[#This Row],[_IsLeaf]]=1,N(Tasks[[#This Row],[Actual Start]])=0,Tasks[[#This Row],[_ShownFcstStart]]&gt;=StatusDate,Tasks[[#This Row],[_ShownFcstStart]]&lt;=LookaheadEnd),Tasks[[#This Row],[_ShownFcstStart]]+Tasks[[#This Row],[_Row]]/100000,"")</f>
        <v/>
      </c>
      <c r="GN100" s="43" t="str">
        <f aca="false">IF(AND(Tasks[[#This Row],[_IsLeaf]]=1,Tasks[[#This Row],[_LeafProgress]]&lt;1,Tasks[[#This Row],[_ShownFcstFinish]]&gt;=StatusDate,Tasks[[#This Row],[_ShownFcstFinish]]&lt;=LookaheadEnd),Tasks[[#This Row],[_ShownFcstFinish]]+Tasks[[#This Row],[_Row]]/100000,"")</f>
        <v/>
      </c>
      <c r="GO100" s="43" t="str">
        <f aca="false">IF(Tasks[[#This Row],[_LeafCritical]],Tasks[[#This Row],[_ShownFcstStart]]+Tasks[[#This Row],[_Row]]/100000,"")</f>
        <v/>
      </c>
      <c r="GP100" s="43" t="n">
        <f aca="false">Tasks[[#This Row],[_LeafWork]]*Tasks[[#This Row],[_LeafProgress]]</f>
        <v>0</v>
      </c>
      <c r="GQ100" s="91" t="str">
        <f aca="false">IF(AND(Tasks[[#This Row],[_IsLeaf]]=1,Tasks[[#This Row],[_LeafProgress]]&gt;=1),IF(N(Tasks[[#This Row],[Actual Finish]])&gt;0,Tasks[[#This Row],[Actual Finish]],Tasks[[#This Row],[_ShownFcstFinish]]),"")</f>
        <v/>
      </c>
      <c r="GR100" s="43" t="n">
        <f aca="false">IF(Tasks[[#This Row],[_IsLeaf]]=1,N(Tasks[[#This Row],[Story Points]]),0)</f>
        <v>0</v>
      </c>
      <c r="GS100" s="43" t="str">
        <f aca="false">""</f>
        <v/>
      </c>
      <c r="GT100" s="90" t="b">
        <f aca="false">IF(Tasks[[#This Row],[Task Name]]="",FALSE(),AND(Tasks[[#This Row],[_IsLeaf]]=1,N(Tasks[[#This Row],[_Days]])=0))</f>
        <v>0</v>
      </c>
      <c r="GU100" s="91" t="n">
        <f aca="false">IF(Tasks[[#This Row],[Task Name]]="",0,IF(AND(Tasks[[#This Row],[_IsLeaf]]=1,NOT(Tasks[[#This Row],[_IsMilestone]]),N(Tasks[[#This Row],[Progress]])&gt;0),Tasks[[#This Row],[Start]],0))</f>
        <v>0</v>
      </c>
      <c r="GV100" s="91" t="n">
        <f aca="false">IF(Tasks[[#This Row],[_DoneFrom]]=0,0,IF(Tasks[[#This Row],[Progress]]&gt;=1,Tasks[[#This Row],[Finish]],MAX(Tasks[[#This Row],[_DoneFrom]],Tasks[[#This Row],[Start]]+ROUND((Tasks[[#This Row],[Finish]]-Tasks[[#This Row],[Start]]+1)*Tasks[[#This Row],[Progress]],0)-1)))</f>
        <v>0</v>
      </c>
      <c r="GW100" s="91" t="n">
        <f aca="false">IF(Tasks[[#This Row],[Task Name]]="",0,IF(OR(NOT(Tasks[[#This Row],[_IsLeaf]]=1),Tasks[[#This Row],[_IsMilestone]],N(Tasks[[#This Row],[Progress]])&gt;=1),0,IF(Tasks[[#This Row],[_DoneTo]]&gt;0,Tasks[[#This Row],[_DoneTo]]+1,Tasks[[#This Row],[Start]])))</f>
        <v>0</v>
      </c>
      <c r="GX100" s="91" t="n">
        <f aca="false">IF(Tasks[[#This Row],[_RemFrom]]=0,0,Tasks[[#This Row],[Finish]])</f>
        <v>0</v>
      </c>
      <c r="GY100" s="90" t="b">
        <f aca="false">IF(Tasks[[#This Row],[Task Name]]="",FALSE(),OR(NOT(BaselineSet),N(Tasks[[#This Row],[Baseline Start]])&gt;0))</f>
        <v>0</v>
      </c>
      <c r="GZ10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0" s="92" t="str">
        <f aca="false">IF(Tasks[[#This Row],[_IsLeaf]]=1,Tasks[[#This Row],[_Row]],"")</f>
        <v/>
      </c>
      <c r="HD100" s="92" t="str">
        <f aca="false">IFERROR(INDEX(Tasks[UID],SMALL(Tasks[_PickKey],Tasks[[#This Row],[_Row]]))&amp;" "&amp;INDEX(Tasks[Task Name],SMALL(Tasks[_PickKey],Tasks[[#This Row],[_Row]])),"")</f>
        <v/>
      </c>
      <c r="HE100" s="43" t="str">
        <f aca="false">IF(Tasks[[#This Row],[Task Name]]="","",IF(Tasks[[#This Row],[_IsSummary]],NETWORKDAYS.INTL(Tasks[[#This Row],[Start]],Tasks[[#This Row],[Finish]],WorkWeek,Holidays),N(Tasks[[#This Row],[_Days]])))</f>
        <v/>
      </c>
      <c r="HF100" s="43" t="n">
        <f aca="false">IF(Tasks[[#This Row],[Expected]]="",0,((Tasks[[#This Row],[Pessimistic]]-Tasks[[#This Row],[Optimistic]])/6)^2)</f>
        <v>0</v>
      </c>
      <c r="HG100" s="43" t="n">
        <f aca="false">IF(Tasks[[#This Row],[Expected]]="",0,Tasks[[#This Row],[Expected]]-N(Tasks[[#This Row],[_Days]]))</f>
        <v>0</v>
      </c>
    </row>
    <row r="101" customFormat="false" ht="15" hidden="false" customHeight="false" outlineLevel="0" collapsed="false">
      <c r="A101" s="21" t="str">
        <f aca="false">IF(Tasks[[#This Row],[Task Name]]="","",COUNTA(Tasks[[#Headers],[Task Name]]:Tasks[[#This Row],[Task Name]])-1)</f>
        <v/>
      </c>
      <c r="B101" s="22" t="n">
        <v>109</v>
      </c>
      <c r="C101" s="22"/>
      <c r="D101" s="23"/>
      <c r="E101" s="22"/>
      <c r="F101" s="23"/>
      <c r="G101" s="22"/>
      <c r="H101" s="22"/>
      <c r="I101" s="23"/>
      <c r="J101" s="22"/>
      <c r="K101" s="22"/>
      <c r="L101" s="23"/>
      <c r="M101" s="22"/>
      <c r="N101" s="22"/>
      <c r="O101" s="23"/>
      <c r="P101" s="22"/>
      <c r="Q101" s="22"/>
      <c r="R101" s="23"/>
      <c r="S101" s="23"/>
      <c r="T101" s="84"/>
      <c r="U101" s="23"/>
      <c r="V101" s="84"/>
      <c r="W101" s="23"/>
      <c r="X101" s="84"/>
      <c r="Y101" s="23"/>
      <c r="Z101" s="84"/>
      <c r="AA101" s="23"/>
      <c r="AB101" s="23"/>
      <c r="AC101" s="7"/>
      <c r="AD101" s="7"/>
      <c r="AE101" s="63" t="str">
        <f aca="false">IF(Tasks[[#This Row],[Task Name]]="","",IF(Tasks[[#This Row],[_IsSummary]],MIN(INDEX(Tasks[_ShownFcstStart],Tasks[[#This Row],[_Row]]+1):INDEX(Tasks[_ShownFcstStart],Tasks[[#This Row],[_Row]]+Tasks[[#This Row],[_Descendants]])),Tasks[[#This Row],[_ShownFcstStart]]))</f>
        <v/>
      </c>
      <c r="AF101" s="63" t="str">
        <f aca="false">IF(Tasks[[#This Row],[Task Name]]="","",IF(Tasks[[#This Row],[_IsSummary]],MAX(INDEX(Tasks[_ShownFcstFinish],Tasks[[#This Row],[_Row]]+1):INDEX(Tasks[_ShownFcstFinish],Tasks[[#This Row],[_Row]]+Tasks[[#This Row],[_Descendants]])),Tasks[[#This Row],[_ShownFcstFinish]]))</f>
        <v/>
      </c>
      <c r="AG101" s="21" t="str">
        <f aca="false">""</f>
        <v/>
      </c>
      <c r="AH101" s="23"/>
      <c r="AI1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1" s="7"/>
      <c r="AK101" s="22"/>
      <c r="AL101" s="23"/>
      <c r="AM101" s="7"/>
      <c r="AN101" s="47" t="str">
        <f aca="false">IF(Tasks[[#This Row],[Task Name]]="","",IF(Tasks[[#This Row],[Finish]]&gt;=Tasks[[#This Row],[Planned Finish]],NETWORKDAYS.INTL(Tasks[[#This Row],[Planned Finish]],Tasks[[#This Row],[Finish]],WorkWeek,Holidays)-1,1-NETWORKDAYS.INTL(Tasks[[#This Row],[Finish]],Tasks[[#This Row],[Planned Finish]],WorkWeek,Holidays)))</f>
        <v/>
      </c>
      <c r="AO101" s="21" t="str">
        <f aca="false">IF(Tasks[[#This Row],[Task Name]]="","",IF(Tasks[[#This Row],[Progress]]&gt;=1,"Complete",IF(OR(N(Tasks[[#This Row],[Actual Start]])&gt;0,Tasks[[#This Row],[Progress]]&gt;0),IF(Tasks[[#This Row],[Finish Var]]&gt;0,"Behind","In Progress"),IF(Tasks[[#This Row],[Planned Start]]&lt;StatusDate,"Late Start","Not Started"))))</f>
        <v/>
      </c>
      <c r="AP101" s="21" t="str">
        <f aca="false">IF(Tasks[[#This Row],[Task Name]]="","",IF(IF(Tasks[[#This Row],[_IsSummary]],COUNTIF(INDEX(Tasks[_LeafCritical],Tasks[[#This Row],[_Row]]+1):INDEX(Tasks[_LeafCritical],Tasks[[#This Row],[_Row]]+Tasks[[#This Row],[_Descendants]]),TRUE())&gt;0,Tasks[[#This Row],[_LeafCritical]]),"Yes",""))</f>
        <v/>
      </c>
      <c r="AQ101" s="63" t="str">
        <f aca="false">IF(Tasks[[#This Row],[Task Name]]="","",IF(N(Tasks[[#This Row],[Baseline Start]])&gt;0,Tasks[[#This Row],[Baseline Start]],Tasks[[#This Row],[_CalcStart]]))</f>
        <v/>
      </c>
      <c r="AR101" s="63" t="str">
        <f aca="false">IF(Tasks[[#This Row],[Task Name]]="","",IF(N(Tasks[[#This Row],[Baseline Finish]])&gt;0,Tasks[[#This Row],[Baseline Finish]],Tasks[[#This Row],[_CalcFinish]]))</f>
        <v/>
      </c>
      <c r="AS101" s="47" t="str">
        <f aca="false">IF(Tasks[[#This Row],[Task Name]]="","",IF(Tasks[[#This Row],[Start]]&gt;=Tasks[[#This Row],[Planned Start]],NETWORKDAYS.INTL(Tasks[[#This Row],[Planned Start]],Tasks[[#This Row],[Start]],WorkWeek,Holidays)-1,1-NETWORKDAYS.INTL(Tasks[[#This Row],[Start]],Tasks[[#This Row],[Planned Start]],WorkWeek,Holidays)))</f>
        <v/>
      </c>
      <c r="AT101" s="63" t="str">
        <f aca="false">IF(Tasks[[#This Row],[Task Name]]="","",IF(Tasks[[#This Row],[_IsSummary]],MIN(INDEX(Tasks[_LeafLateStart],Tasks[[#This Row],[_Row]]+1):INDEX(Tasks[_LeafLateStart],Tasks[[#This Row],[_Row]]+Tasks[[#This Row],[_Descendants]])),Tasks[[#This Row],[_LeafLateStart]]))</f>
        <v/>
      </c>
      <c r="AU101" s="63" t="str">
        <f aca="false">IF(Tasks[[#This Row],[Task Name]]="","",IF(Tasks[[#This Row],[_IsSummary]],MAX(INDEX(Tasks[_LeafLateFinish],Tasks[[#This Row],[_Row]]+1):INDEX(Tasks[_LeafLateFinish],Tasks[[#This Row],[_Row]]+Tasks[[#This Row],[_Descendants]])),Tasks[[#This Row],[_LeafLateFinish]]))</f>
        <v/>
      </c>
      <c r="AV101" s="47" t="str">
        <f aca="false">IF(Tasks[[#This Row],[Task Name]]="","",IF(Tasks[[#This Row],[_IsSummary]],MIN(INDEX(Tasks[_LeafTotalSlack],Tasks[[#This Row],[_Row]]+1):INDEX(Tasks[_LeafTotalSlack],Tasks[[#This Row],[_Row]]+Tasks[[#This Row],[_Descendants]])),Tasks[[#This Row],[_LeafTotalSlack]]))</f>
        <v/>
      </c>
      <c r="AW1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5"/>
      <c r="BA10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1" t="str">
        <f aca="false">IF(Tasks[[#This Row],[Task Name]]="","",IF(Tasks[[#This Row],[_Level]]&lt;=OutlineShowLevel,"Yes","No"))</f>
        <v/>
      </c>
      <c r="BE101" s="86" t="str">
        <f aca="false">IF(Tasks[[#This Row],[Task Name]]="","",IF(Tasks[[#This Row],[_IsSummary]],SUM(INDEX(Tasks[_LeafTotalWork],Tasks[[#This Row],[_Row]]+1):INDEX(Tasks[_LeafTotalWork],Tasks[[#This Row],[_Row]]+Tasks[[#This Row],[_Descendants]])),Tasks[[#This Row],[_LeafTotalWork]]))</f>
        <v/>
      </c>
      <c r="BF101" s="23"/>
      <c r="BG1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1" s="21" t="str">
        <f aca="false">""</f>
        <v/>
      </c>
      <c r="BI101" s="87"/>
      <c r="BJ101" s="22"/>
      <c r="BK101" s="47" t="str">
        <f aca="false">IF(OR(Tasks[[#This Row],[Task Name]]="",Tasks[[#This Row],[Baseline Duration]]=""),"",Tasks[[#This Row],[_SpanDays]]-N(Tasks[[#This Row],[Baseline Duration]]))</f>
        <v/>
      </c>
      <c r="BL101" s="86" t="str">
        <f aca="false">IF(OR(Tasks[[#This Row],[Task Name]]="",Tasks[[#This Row],[Baseline Work]]=""),"",Tasks[[#This Row],[Work]]-N(Tasks[[#This Row],[Baseline Work]]))</f>
        <v/>
      </c>
      <c r="BM101" s="63" t="str">
        <f aca="false">IF(Tasks[[#This Row],[Task Name]]="","",IF(OR(TakeBaseline="Yes",N(Tasks[[#This Row],[Baseline Start]])=0),Tasks[[#This Row],[Start]],Tasks[[#This Row],[Baseline Start]]))</f>
        <v/>
      </c>
      <c r="BN101" s="63" t="str">
        <f aca="false">IF(Tasks[[#This Row],[Task Name]]="","",IF(OR(TakeBaseline="Yes",N(Tasks[[#This Row],[Baseline Finish]])=0),Tasks[[#This Row],[Finish]],Tasks[[#This Row],[Baseline Finish]]))</f>
        <v/>
      </c>
      <c r="BO101" s="21" t="str">
        <f aca="false">IF(Tasks[[#This Row],[Task Name]]="","",IF(OR(TakeBaseline="Yes",N(Tasks[[#This Row],[Baseline Duration]])=0),Tasks[[#This Row],[_SpanDays]],Tasks[[#This Row],[Baseline Duration]]))</f>
        <v/>
      </c>
      <c r="BP101" s="86" t="str">
        <f aca="false">IF(Tasks[[#This Row],[Task Name]]="","",IF(OR(TakeBaseline="Yes",N(Tasks[[#This Row],[Baseline Work]])=0),Tasks[[#This Row],[Work]],Tasks[[#This Row],[Baseline Work]]))</f>
        <v/>
      </c>
      <c r="BQ101" s="7"/>
      <c r="BR101" s="7"/>
      <c r="BS101" s="22"/>
      <c r="BT101" s="88"/>
      <c r="BU101" s="23"/>
      <c r="BV101" s="23"/>
      <c r="BW101" s="23"/>
      <c r="BX101" s="89" t="str">
        <f aca="false">IF(AND(Tasks[[#This Row],[_IsLeaf]]=1,ISNUMBER(Tasks[[#This Row],[Optimistic]]),ISNUMBER(Tasks[[#This Row],[Pessimistic]])),ROUND((Tasks[[#This Row],[Optimistic]]+4*N(Tasks[[#This Row],[_Days]])+Tasks[[#This Row],[Pessimistic]])/6,1),"")</f>
        <v/>
      </c>
      <c r="BY101" s="87"/>
      <c r="BZ101" s="87"/>
      <c r="CA101" s="22"/>
      <c r="CB101" s="43" t="str">
        <f aca="false">IF(Tasks[[#This Row],[Task Name]]="","",MAX(1,N(Tasks[[#This Row],[Level]])))</f>
        <v/>
      </c>
      <c r="CC101" s="43" t="n">
        <f aca="false">ROW()-ROW(Tasks[[#Headers],[ID]])</f>
        <v>96</v>
      </c>
      <c r="CD101" s="43" t="n">
        <f aca="false">IF(OR(Tasks[[#This Row],[Task Name]]="",Tasks[[#This Row],[_Level]]&lt;=1),0,IFERROR(LOOKUP(2,1/(Tasks[[#Headers],[_Level]]:Tasks[[#This Row],[_Level]]=Tasks[[#This Row],[_Level]]-1),ROW(Tasks[[#Headers],[_Level]]:Tasks[[#This Row],[_Level]])),0))</f>
        <v>0</v>
      </c>
      <c r="CE101" s="43" t="n">
        <f aca="false">IFERROR(N(INDEX(Tasks[_Level],Tasks[[#This Row],[_Row]]+1)),0)</f>
        <v>0</v>
      </c>
      <c r="CF101" s="90" t="b">
        <f aca="false">AND(Tasks[[#This Row],[Task Name]]&lt;&gt;"",Tasks[[#This Row],[_NextLevel]]&gt;Tasks[[#This Row],[_Level]])</f>
        <v>0</v>
      </c>
      <c r="CG101" s="43" t="n">
        <f aca="false">IF(Tasks[[#This Row],[_IsSummary]],COUNTIF(Tasks[WBS],Tasks[[#This Row],[WBS]]&amp;".*"),0)</f>
        <v>0</v>
      </c>
      <c r="CH101" s="43" t="n">
        <f aca="false">IF(AND(Tasks[[#This Row],[Task Name]]&lt;&gt;"",NOT(Tasks[[#This Row],[_IsSummary]])),1,0)</f>
        <v>0</v>
      </c>
      <c r="CI101" s="43" t="n">
        <f aca="false">IF(N(Tasks[[#This Row],[_Pred1UID]])=0,0,IFERROR(MATCH(Tasks[[#This Row],[_Pred1UID]],Tasks[UID],0),-1))</f>
        <v>0</v>
      </c>
      <c r="CJ101" s="43" t="n">
        <f aca="false">IF(N(Tasks[[#This Row],[_Pred2UID]])=0,0,IFERROR(MATCH(Tasks[[#This Row],[_Pred2UID]],Tasks[UID],0),-1))</f>
        <v>0</v>
      </c>
      <c r="CK101" s="43" t="n">
        <f aca="false">IF(N(Tasks[[#This Row],[_Pred3UID]])=0,0,IFERROR(MATCH(Tasks[[#This Row],[_Pred3UID]],Tasks[UID],0),-1))</f>
        <v>0</v>
      </c>
      <c r="CL101" s="43" t="n">
        <f aca="false">IF(N(Tasks[[#This Row],[_Pred4UID]])=0,0,IFERROR(MATCH(Tasks[[#This Row],[_Pred4UID]],Tasks[UID],0),-1))</f>
        <v>0</v>
      </c>
      <c r="CM10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1" s="91" t="n">
        <f aca="false">IF(OR(Tasks[[#This Row],[_ConstraintCode]]=2,Tasks[[#This Row],[_ConstraintCode]]=3,Tasks[[#This Row],[_ConstraintCode]]=4,Tasks[[#This Row],[_ConstraintCode]]=6),Tasks[[#This Row],[_ConstraintStart]],0)</f>
        <v>0</v>
      </c>
      <c r="CP101" s="91" t="n">
        <f aca="false">IF(OR(Tasks[[#This Row],[_ConstraintCode]]=2,Tasks[[#This Row],[_ConstraintCode]]=3,Tasks[[#This Row],[_ConstraintCode]]=5,Tasks[[#This Row],[_ConstraintCode]]=7),Tasks[[#This Row],[_ConstraintStart]],2958465)</f>
        <v>2958465</v>
      </c>
      <c r="CQ10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1" s="91" t="str">
        <f aca="false">IF(NOT(Tasks[[#This Row],[_IsLeaf]]=1),"",IF(N(Tasks[[#This Row],[_Days]])&lt;=0,Tasks[[#This Row],[_LeafCalcStart]],WORKDAY.INTL(Tasks[[#This Row],[_LeafCalcStart]],Tasks[[#This Row],[_Days]]-1,WorkWeek,Holidays)))</f>
        <v/>
      </c>
      <c r="CS10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1" s="43" t="str">
        <f aca="false">IF(Tasks[[#This Row],[_Predecessors]]="","",TRIM(MID(SUBSTITUTE(SUBSTITUTE(SUBSTITUTE(UPPER(Tasks[[#This Row],[_Predecessors]]),";",",")," ",""),",",REPT(" ",99)),1,99)))</f>
        <v/>
      </c>
      <c r="CV101" s="43" t="str">
        <f aca="false">IF(Tasks[[#This Row],[_Pred1Text]]="","",IFERROR(VALUE(LEFT(Tasks[[#This Row],[_Pred1Text]],MIN(FIND("F",Tasks[[#This Row],[_Pred1Text]]&amp;"F"),FIND("S",Tasks[[#This Row],[_Pred1Text]]&amp;"S"),FIND("+",Tasks[[#This Row],[_Pred1Text]]&amp;"+"),FIND("-",Tasks[[#This Row],[_Pred1Text]]&amp;"-"))-1)),""))</f>
        <v/>
      </c>
      <c r="CW10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1" s="43" t="str">
        <f aca="false">IF(Tasks[[#This Row],[_Pred1Text]]="","",TRIM(MID(SUBSTITUTE(SUBSTITUTE(SUBSTITUTE(UPPER(Tasks[[#This Row],[_Predecessors]]),";",",")," ",""),",",REPT(" ",99)),100,99)))</f>
        <v/>
      </c>
      <c r="CZ101" s="43" t="str">
        <f aca="false">IF(Tasks[[#This Row],[_Pred2Text]]="","",IFERROR(VALUE(LEFT(Tasks[[#This Row],[_Pred2Text]],MIN(FIND("F",Tasks[[#This Row],[_Pred2Text]]&amp;"F"),FIND("S",Tasks[[#This Row],[_Pred2Text]]&amp;"S"),FIND("+",Tasks[[#This Row],[_Pred2Text]]&amp;"+"),FIND("-",Tasks[[#This Row],[_Pred2Text]]&amp;"-"))-1)),""))</f>
        <v/>
      </c>
      <c r="DA10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1" s="43" t="str">
        <f aca="false">IF(Tasks[[#This Row],[_Pred2Text]]="","",TRIM(MID(SUBSTITUTE(SUBSTITUTE(SUBSTITUTE(UPPER(Tasks[[#This Row],[_Predecessors]]),";",",")," ",""),",",REPT(" ",99)),199,99)))</f>
        <v/>
      </c>
      <c r="DD101" s="43" t="str">
        <f aca="false">IF(Tasks[[#This Row],[_Pred3Text]]="","",IFERROR(VALUE(LEFT(Tasks[[#This Row],[_Pred3Text]],MIN(FIND("F",Tasks[[#This Row],[_Pred3Text]]&amp;"F"),FIND("S",Tasks[[#This Row],[_Pred3Text]]&amp;"S"),FIND("+",Tasks[[#This Row],[_Pred3Text]]&amp;"+"),FIND("-",Tasks[[#This Row],[_Pred3Text]]&amp;"-"))-1)),""))</f>
        <v/>
      </c>
      <c r="DE10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1" s="43" t="str">
        <f aca="false">IF(Tasks[[#This Row],[_Pred3Text]]="","",TRIM(MID(SUBSTITUTE(SUBSTITUTE(SUBSTITUTE(UPPER(Tasks[[#This Row],[_Predecessors]]),";",",")," ",""),",",REPT(" ",99)),298,99)))</f>
        <v/>
      </c>
      <c r="DH101" s="43" t="str">
        <f aca="false">IF(Tasks[[#This Row],[_Pred4Text]]="","",IFERROR(VALUE(LEFT(Tasks[[#This Row],[_Pred4Text]],MIN(FIND("F",Tasks[[#This Row],[_Pred4Text]]&amp;"F"),FIND("S",Tasks[[#This Row],[_Pred4Text]]&amp;"S"),FIND("+",Tasks[[#This Row],[_Pred4Text]]&amp;"+"),FIND("-",Tasks[[#This Row],[_Pred4Text]]&amp;"-"))-1)),""))</f>
        <v/>
      </c>
      <c r="DI10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1" s="43" t="str">
        <f aca="false">IF(OR(Tasks[[#This Row],[Task Name]]="",Tasks[[#This Row],[_Resources]]=""),"",TRIM(MID(SUBSTITUTE(Tasks[[#This Row],[_Resources]],",",REPT(" ",99)),1,99)))</f>
        <v/>
      </c>
      <c r="DL101" s="43" t="str">
        <f aca="false">IF(Tasks[[#This Row],[_Res1Text]]="","",TRIM(MID(SUBSTITUTE(Tasks[[#This Row],[_Resources]],",",REPT(" ",99)),100,99)))</f>
        <v/>
      </c>
      <c r="DM101" s="43" t="str">
        <f aca="false">IF(Tasks[[#This Row],[_Res2Text]]="","",TRIM(MID(SUBSTITUTE(Tasks[[#This Row],[_Resources]],",",REPT(" ",99)),199,99)))</f>
        <v/>
      </c>
      <c r="DN101" s="43" t="str">
        <f aca="false">IF(Tasks[[#This Row],[_Res3Text]]="","",TRIM(MID(SUBSTITUTE(Tasks[[#This Row],[_Resources]],",",REPT(" ",99)),298,99)))</f>
        <v/>
      </c>
      <c r="DO101" s="43" t="n">
        <f aca="false">IF(Tasks[[#This Row],[_Res1Text]]="",0,IFERROR(MATCH(TRIM(LEFT(Tasks[[#This Row],[_Res1Text]],FIND("[",Tasks[[#This Row],[_Res1Text]]&amp;"[")-1)),res_Name,0),IFERROR(MATCH(TRIM(LEFT(Tasks[[#This Row],[_Res1Text]],FIND("[",Tasks[[#This Row],[_Res1Text]]&amp;"[")-1)),res_Initials,0),0)))</f>
        <v>0</v>
      </c>
      <c r="DP101" s="43" t="n">
        <f aca="false">IF(Tasks[[#This Row],[_Res2Text]]="",0,IFERROR(MATCH(TRIM(LEFT(Tasks[[#This Row],[_Res2Text]],FIND("[",Tasks[[#This Row],[_Res2Text]]&amp;"[")-1)),res_Name,0),IFERROR(MATCH(TRIM(LEFT(Tasks[[#This Row],[_Res2Text]],FIND("[",Tasks[[#This Row],[_Res2Text]]&amp;"[")-1)),res_Initials,0),0)))</f>
        <v>0</v>
      </c>
      <c r="DQ101" s="43" t="n">
        <f aca="false">IF(Tasks[[#This Row],[_Res3Text]]="",0,IFERROR(MATCH(TRIM(LEFT(Tasks[[#This Row],[_Res3Text]],FIND("[",Tasks[[#This Row],[_Res3Text]]&amp;"[")-1)),res_Name,0),IFERROR(MATCH(TRIM(LEFT(Tasks[[#This Row],[_Res3Text]],FIND("[",Tasks[[#This Row],[_Res3Text]]&amp;"[")-1)),res_Initials,0),0)))</f>
        <v>0</v>
      </c>
      <c r="DR101" s="43" t="n">
        <f aca="false">IF(Tasks[[#This Row],[_Res4Text]]="",0,IFERROR(MATCH(TRIM(LEFT(Tasks[[#This Row],[_Res4Text]],FIND("[",Tasks[[#This Row],[_Res4Text]]&amp;"[")-1)),res_Name,0),IFERROR(MATCH(TRIM(LEFT(Tasks[[#This Row],[_Res4Text]],FIND("[",Tasks[[#This Row],[_Res4Text]]&amp;"[")-1)),res_Initials,0),0)))</f>
        <v>0</v>
      </c>
      <c r="DS101" s="43" t="str">
        <f aca="false">IF(Tasks[[#This Row],[_Res1Text]]="","",IF(Tasks[[#This Row],[_Res1Row]]&gt;0,INDEX(res_Name,Tasks[[#This Row],[_Res1Row]]),TRIM(LEFT(Tasks[[#This Row],[_Res1Text]],FIND("[",Tasks[[#This Row],[_Res1Text]]&amp;"[")-1))))</f>
        <v/>
      </c>
      <c r="DT10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1" s="43" t="n">
        <f aca="false">IF(NOT(Tasks[[#This Row],[_IsLeaf]]=1),0,(Tasks[[#This Row],[_Resource1]]&lt;&gt;"")+(Tasks[[#This Row],[_Res2]]&lt;&gt;"")+(Tasks[[#This Row],[_Res3]]&lt;&gt;"")+(Tasks[[#This Row],[_Res4]]&lt;&gt;""))</f>
        <v>0</v>
      </c>
      <c r="DV101" s="43" t="str">
        <f aca="false">IF(Tasks[[#This Row],[_Res2Text]]="","",IF(Tasks[[#This Row],[_Res2Row]]&gt;0,INDEX(res_Name,Tasks[[#This Row],[_Res2Row]]),TRIM(LEFT(Tasks[[#This Row],[_Res2Text]],FIND("[",Tasks[[#This Row],[_Res2Text]]&amp;"[")-1))))</f>
        <v/>
      </c>
      <c r="DW10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1" s="43" t="n">
        <f aca="false">IF(OR(NOT(Tasks[[#This Row],[_IsLeaf]]=1),Tasks[[#This Row],[_Res2Row]]=0),0,N(Tasks[[#This Row],[_Days]])*HoursPerDay*IF(Tasks[[#This Row],[_Res2Units]]="",DefaultUnits,Tasks[[#This Row],[_Res2Units]]))</f>
        <v>0</v>
      </c>
      <c r="DY101" s="43" t="n">
        <f aca="false">IF(AND(AND(Tasks[[#This Row],[_IsLeaf]]=1,Tasks[[#This Row],[_LeafTotalWork]]&gt;0),Tasks[[#This Row],[_Res2Work]]&gt;0),Tasks[[#This Row],[_Res2Work]]/(Tasks[[#This Row],[_FinishWorkday]]-Tasks[[#This Row],[_StartWorkday]]+1),0)</f>
        <v>0</v>
      </c>
      <c r="DZ101" s="43" t="n">
        <f aca="false">Tasks[[#This Row],[_Res2WorkPerWD]]*MAX(0,Tasks[[#This Row],[_StartWorkday]]-1)</f>
        <v>0</v>
      </c>
      <c r="EA101" s="43" t="n">
        <f aca="false">Tasks[[#This Row],[_Res2Work]]*Tasks[[#This Row],[_LeafProgress]]</f>
        <v>0</v>
      </c>
      <c r="EB101" s="43" t="str">
        <f aca="false">IF(Tasks[[#This Row],[_Res3Text]]="","",IF(Tasks[[#This Row],[_Res3Row]]&gt;0,INDEX(res_Name,Tasks[[#This Row],[_Res3Row]]),TRIM(LEFT(Tasks[[#This Row],[_Res3Text]],FIND("[",Tasks[[#This Row],[_Res3Text]]&amp;"[")-1))))</f>
        <v/>
      </c>
      <c r="EC10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1" s="43" t="n">
        <f aca="false">IF(OR(NOT(Tasks[[#This Row],[_IsLeaf]]=1),Tasks[[#This Row],[_Res3Row]]=0),0,N(Tasks[[#This Row],[_Days]])*HoursPerDay*IF(Tasks[[#This Row],[_Res3Units]]="",DefaultUnits,Tasks[[#This Row],[_Res3Units]]))</f>
        <v>0</v>
      </c>
      <c r="EE101" s="43" t="n">
        <f aca="false">IF(AND(AND(Tasks[[#This Row],[_IsLeaf]]=1,Tasks[[#This Row],[_LeafTotalWork]]&gt;0),Tasks[[#This Row],[_Res3Work]]&gt;0),Tasks[[#This Row],[_Res3Work]]/(Tasks[[#This Row],[_FinishWorkday]]-Tasks[[#This Row],[_StartWorkday]]+1),0)</f>
        <v>0</v>
      </c>
      <c r="EF101" s="43" t="n">
        <f aca="false">Tasks[[#This Row],[_Res3WorkPerWD]]*MAX(0,Tasks[[#This Row],[_StartWorkday]]-1)</f>
        <v>0</v>
      </c>
      <c r="EG101" s="43" t="n">
        <f aca="false">Tasks[[#This Row],[_Res3Work]]*Tasks[[#This Row],[_LeafProgress]]</f>
        <v>0</v>
      </c>
      <c r="EH101" s="43" t="str">
        <f aca="false">IF(Tasks[[#This Row],[_Res4Text]]="","",IF(Tasks[[#This Row],[_Res4Row]]&gt;0,INDEX(res_Name,Tasks[[#This Row],[_Res4Row]]),TRIM(LEFT(Tasks[[#This Row],[_Res4Text]],FIND("[",Tasks[[#This Row],[_Res4Text]]&amp;"[")-1))))</f>
        <v/>
      </c>
      <c r="EI10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1" s="43" t="n">
        <f aca="false">IF(OR(NOT(Tasks[[#This Row],[_IsLeaf]]=1),Tasks[[#This Row],[_Res4Row]]=0),0,N(Tasks[[#This Row],[_Days]])*HoursPerDay*IF(Tasks[[#This Row],[_Res4Units]]="",DefaultUnits,Tasks[[#This Row],[_Res4Units]]))</f>
        <v>0</v>
      </c>
      <c r="EK101" s="43" t="n">
        <f aca="false">IF(AND(AND(Tasks[[#This Row],[_IsLeaf]]=1,Tasks[[#This Row],[_LeafTotalWork]]&gt;0),Tasks[[#This Row],[_Res4Work]]&gt;0),Tasks[[#This Row],[_Res4Work]]/(Tasks[[#This Row],[_FinishWorkday]]-Tasks[[#This Row],[_StartWorkday]]+1),0)</f>
        <v>0</v>
      </c>
      <c r="EL101" s="43" t="n">
        <f aca="false">Tasks[[#This Row],[_Res4WorkPerWD]]*MAX(0,Tasks[[#This Row],[_StartWorkday]]-1)</f>
        <v>0</v>
      </c>
      <c r="EM101" s="43" t="n">
        <f aca="false">Tasks[[#This Row],[_Res4Work]]*Tasks[[#This Row],[_LeafProgress]]</f>
        <v>0</v>
      </c>
      <c r="EN101" s="43" t="n">
        <f aca="false">IF(ISNUMBER(Tasks[[#This Row],[% Complete]]),Tasks[[#This Row],[% Complete]],IF(Tasks[[#This Row],[Stage]]="",0,IFERROR(INDEX(stg_Pct,MATCH(Tasks[[#This Row],[Stage]],stg_Name,0)),0)))</f>
        <v>0</v>
      </c>
      <c r="EO101" s="43" t="n">
        <f aca="false">IF(NOT(Tasks[[#This Row],[_IsLeaf]]=1),0,IF(N(Tasks[[#This Row],[Actual Finish]])&gt;0,1,MIN(1,Tasks[[#This Row],[_Pct]])))</f>
        <v>0</v>
      </c>
      <c r="EP101" s="43" t="n">
        <f aca="false">IF(OR(NOT(Tasks[[#This Row],[_IsLeaf]]=1),Tasks[[#This Row],[_Res1Row]]=0),0,N(Tasks[[#This Row],[_Days]])*HoursPerDay*IF(Tasks[[#This Row],[_Units1]]="",DefaultUnits,Tasks[[#This Row],[_Units1]]))</f>
        <v>0</v>
      </c>
      <c r="EQ101" s="43" t="n">
        <f aca="false">Tasks[[#This Row],[_LeafWork]]+Tasks[[#This Row],[_Res2Work]]+Tasks[[#This Row],[_Res3Work]]+Tasks[[#This Row],[_Res4Work]]</f>
        <v>0</v>
      </c>
      <c r="ER10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1" s="43" t="n">
        <f aca="false">IF(NOT(Tasks[[#This Row],[_IsLeaf]]=1),0,MAX(_xlfn.MAXIFS(Tasks[_Row],Tasks[_Pred1UID],Tasks[[#This Row],[UID]]),_xlfn.MAXIFS(Tasks[_Row],Tasks[_Pred2UID],Tasks[[#This Row],[UID]]),_xlfn.MAXIFS(Tasks[_Row],Tasks[_Pred3UID],Tasks[[#This Row],[UID]]),_xlfn.MAXIFS(Tasks[_Row],Tasks[_Pred4UID],Tasks[[#This Row],[UID]])))</f>
        <v>0</v>
      </c>
      <c r="FA10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1" s="91" t="str">
        <f aca="false">IF(NOT(Tasks[[#This Row],[_IsLeaf]]=1),"",IF(N(Tasks[[#This Row],[_Days]])&lt;=0,Tasks[[#This Row],[_LeafLateFinish]],WORKDAY.INTL(Tasks[[#This Row],[_LeafLateFinish]],-(Tasks[[#This Row],[_Days]]-1),WorkWeek,Holidays)))</f>
        <v/>
      </c>
      <c r="FD10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1" s="90" t="b">
        <f aca="false">AND(Tasks[[#This Row],[_IsLeaf]]=1,Tasks[[#This Row],[_LeafProgress]]&lt;1,N(Tasks[[#This Row],[_LeafTotalSlack]])&lt;=CriticalSlackDays)</f>
        <v>0</v>
      </c>
      <c r="FF101" s="43" t="n">
        <f aca="false">IF(AND(Tasks[[#This Row],[_IsLeaf]]=1,Tasks[[#This Row],[_ConstraintCode]]=1,Tasks[[#This Row],[Mode]]&lt;&gt;"Manual",N(Tasks[[#This Row],[Actual Start]])=0),MAX(0,N(Tasks[[#This Row],[Free Slack]])),0)</f>
        <v>0</v>
      </c>
      <c r="FG101" s="91" t="str">
        <f aca="false">IF(NOT(Tasks[[#This Row],[_IsLeaf]]=1),"",IF(Tasks[[#This Row],[_AlapShift]]=0,Tasks[[#This Row],[_LeafCalcStart]],WORKDAY.INTL(Tasks[[#This Row],[_LeafCalcStart]],Tasks[[#This Row],[_AlapShift]],WorkWeek,Holidays)))</f>
        <v/>
      </c>
      <c r="FH101" s="91" t="str">
        <f aca="false">IF(NOT(Tasks[[#This Row],[_IsLeaf]]=1),"",IF(Tasks[[#This Row],[_AlapShift]]=0,Tasks[[#This Row],[_LeafCalcFinish]],WORKDAY.INTL(Tasks[[#This Row],[_LeafCalcFinish]],Tasks[[#This Row],[_AlapShift]],WorkWeek,Holidays)))</f>
        <v/>
      </c>
      <c r="FI101" s="91" t="str">
        <f aca="false">IF(NOT(Tasks[[#This Row],[_IsLeaf]]=1),"",IF(Tasks[[#This Row],[_AlapShift]]=0,Tasks[[#This Row],[_LeafFcstStart]],WORKDAY.INTL(Tasks[[#This Row],[_LeafFcstStart]],Tasks[[#This Row],[_AlapShift]],WorkWeek,Holidays)))</f>
        <v/>
      </c>
      <c r="FJ101" s="91" t="str">
        <f aca="false">IF(NOT(Tasks[[#This Row],[_IsLeaf]]=1),"",IF(Tasks[[#This Row],[_AlapShift]]=0,Tasks[[#This Row],[_LeafFcstFinish]],WORKDAY.INTL(Tasks[[#This Row],[_LeafFcstFinish]],Tasks[[#This Row],[_AlapShift]],WorkWeek,Holidays)))</f>
        <v/>
      </c>
      <c r="FK101" s="91" t="str">
        <f aca="false">IF(Tasks[[#This Row],[Task Name]]="","",IF(Tasks[[#This Row],[_IsSummary]],MIN(INDEX(Tasks[_ShownCalcStart],Tasks[[#This Row],[_Row]]+1):INDEX(Tasks[_ShownCalcStart],Tasks[[#This Row],[_Row]]+Tasks[[#This Row],[_Descendants]])),Tasks[[#This Row],[_ShownCalcStart]]))</f>
        <v/>
      </c>
      <c r="FL101" s="91" t="str">
        <f aca="false">IF(Tasks[[#This Row],[Task Name]]="","",IF(Tasks[[#This Row],[_IsSummary]],MAX(INDEX(Tasks[_ShownCalcFinish],Tasks[[#This Row],[_Row]]+1):INDEX(Tasks[_ShownCalcFinish],Tasks[[#This Row],[_Row]]+Tasks[[#This Row],[_Descendants]])),Tasks[[#This Row],[_ShownCalcFinish]]))</f>
        <v/>
      </c>
      <c r="FM10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1" s="43" t="n">
        <f aca="false">IF(AND(Tasks[[#This Row],[_IsLeaf]]=1,Tasks[[#This Row],[_LeafTotalWork]]&gt;0),NETWORKDAYS.INTL(ProjectStart,Tasks[[#This Row],[_ShownFcstStart]],WorkWeek,Holidays),0)</f>
        <v>0</v>
      </c>
      <c r="FZ101" s="43" t="n">
        <f aca="false">IF(AND(Tasks[[#This Row],[_IsLeaf]]=1,Tasks[[#This Row],[_LeafTotalWork]]&gt;0),MAX(Tasks[[#This Row],[_StartWorkday]],NETWORKDAYS.INTL(ProjectStart,Tasks[[#This Row],[_ShownFcstFinish]],WorkWeek,Holidays)),0)</f>
        <v>0</v>
      </c>
      <c r="GA101" s="43" t="n">
        <f aca="false">IF(AND(Tasks[[#This Row],[_IsLeaf]]=1,Tasks[[#This Row],[_LeafTotalWork]]&gt;0),Tasks[[#This Row],[_LeafWork]]/(Tasks[[#This Row],[_FinishWorkday]]-Tasks[[#This Row],[_StartWorkday]]+1),0)</f>
        <v>0</v>
      </c>
      <c r="GB101" s="43" t="n">
        <f aca="false">Tasks[[#This Row],[_WorkPerWorkday]]*(Tasks[[#This Row],[_StartWorkday]]-1)</f>
        <v>-0</v>
      </c>
      <c r="GC101" s="43" t="n">
        <f aca="false">IF(Tasks[[#This Row],[_IsLeaf]]=1,MAX(N(Tasks[[#This Row],[_Days]]),0.1),0)</f>
        <v>0</v>
      </c>
      <c r="GD101" s="43" t="n">
        <f aca="false">Tasks[[#This Row],[_WeightDur]]*Tasks[[#This Row],[_LeafProgress]]</f>
        <v>0</v>
      </c>
      <c r="GE101" s="43" t="n">
        <f aca="false">Tasks[[#This Row],[_WeightDur]]*Tasks[[#This Row],[_PlannedPct]]</f>
        <v>0</v>
      </c>
      <c r="GF10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1" s="43" t="str">
        <f aca="false">IF(AND(Tasks[[#This Row],[_IsLeaf]]=1,N(Tasks[[#This Row],[_Days]])=0,Tasks[[#This Row],[_LeafProgress]]&lt;1),Tasks[[#This Row],[_ShownFcstFinish]]+Tasks[[#This Row],[_Row]]/100000,"")</f>
        <v/>
      </c>
      <c r="GH10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1" s="43" t="str">
        <f aca="false">IF(Tasks[[#This Row],[Task Name]]="","",LEFT(Tasks[[#This Row],[WBS]],FIND(".",Tasks[[#This Row],[WBS]]&amp;".")-1))</f>
        <v/>
      </c>
      <c r="GJ101" s="43" t="str">
        <f aca="false">IF(AND(Tasks[[#This Row],[Task Name]]&lt;&gt;"",Tasks[[#This Row],[_Level]]=1),Tasks[[#This Row],[_Row]],"")</f>
        <v/>
      </c>
      <c r="GK101" s="43" t="str">
        <f aca="false">IF(AND(Tasks[[#This Row],[_IsLeaf]]=1,N(Tasks[[#This Row],[_Days]])=0),Tasks[[#This Row],[Planned Finish]]+Tasks[[#This Row],[_Row]]/100000,"")</f>
        <v/>
      </c>
      <c r="GL101" s="43" t="str">
        <f aca="false">IF(AND(Tasks[[#This Row],[_IsLeaf]]=1,Tasks[[#This Row],[_LeafProgress]]&lt;1,OR(N(Tasks[[#This Row],[Finish Var]])&gt;0,Tasks[[#This Row],[Status]]="Late Start")),MAX(0,Tasks[[#This Row],[Finish Var]])+1-Tasks[[#This Row],[_Row]]/1000000,"")</f>
        <v/>
      </c>
      <c r="GM101" s="43" t="str">
        <f aca="false">IF(AND(Tasks[[#This Row],[_IsLeaf]]=1,N(Tasks[[#This Row],[Actual Start]])=0,Tasks[[#This Row],[_ShownFcstStart]]&gt;=StatusDate,Tasks[[#This Row],[_ShownFcstStart]]&lt;=LookaheadEnd),Tasks[[#This Row],[_ShownFcstStart]]+Tasks[[#This Row],[_Row]]/100000,"")</f>
        <v/>
      </c>
      <c r="GN101" s="43" t="str">
        <f aca="false">IF(AND(Tasks[[#This Row],[_IsLeaf]]=1,Tasks[[#This Row],[_LeafProgress]]&lt;1,Tasks[[#This Row],[_ShownFcstFinish]]&gt;=StatusDate,Tasks[[#This Row],[_ShownFcstFinish]]&lt;=LookaheadEnd),Tasks[[#This Row],[_ShownFcstFinish]]+Tasks[[#This Row],[_Row]]/100000,"")</f>
        <v/>
      </c>
      <c r="GO101" s="43" t="str">
        <f aca="false">IF(Tasks[[#This Row],[_LeafCritical]],Tasks[[#This Row],[_ShownFcstStart]]+Tasks[[#This Row],[_Row]]/100000,"")</f>
        <v/>
      </c>
      <c r="GP101" s="43" t="n">
        <f aca="false">Tasks[[#This Row],[_LeafWork]]*Tasks[[#This Row],[_LeafProgress]]</f>
        <v>0</v>
      </c>
      <c r="GQ101" s="91" t="str">
        <f aca="false">IF(AND(Tasks[[#This Row],[_IsLeaf]]=1,Tasks[[#This Row],[_LeafProgress]]&gt;=1),IF(N(Tasks[[#This Row],[Actual Finish]])&gt;0,Tasks[[#This Row],[Actual Finish]],Tasks[[#This Row],[_ShownFcstFinish]]),"")</f>
        <v/>
      </c>
      <c r="GR101" s="43" t="n">
        <f aca="false">IF(Tasks[[#This Row],[_IsLeaf]]=1,N(Tasks[[#This Row],[Story Points]]),0)</f>
        <v>0</v>
      </c>
      <c r="GS101" s="43" t="str">
        <f aca="false">""</f>
        <v/>
      </c>
      <c r="GT101" s="90" t="b">
        <f aca="false">IF(Tasks[[#This Row],[Task Name]]="",FALSE(),AND(Tasks[[#This Row],[_IsLeaf]]=1,N(Tasks[[#This Row],[_Days]])=0))</f>
        <v>0</v>
      </c>
      <c r="GU101" s="91" t="n">
        <f aca="false">IF(Tasks[[#This Row],[Task Name]]="",0,IF(AND(Tasks[[#This Row],[_IsLeaf]]=1,NOT(Tasks[[#This Row],[_IsMilestone]]),N(Tasks[[#This Row],[Progress]])&gt;0),Tasks[[#This Row],[Start]],0))</f>
        <v>0</v>
      </c>
      <c r="GV101" s="91" t="n">
        <f aca="false">IF(Tasks[[#This Row],[_DoneFrom]]=0,0,IF(Tasks[[#This Row],[Progress]]&gt;=1,Tasks[[#This Row],[Finish]],MAX(Tasks[[#This Row],[_DoneFrom]],Tasks[[#This Row],[Start]]+ROUND((Tasks[[#This Row],[Finish]]-Tasks[[#This Row],[Start]]+1)*Tasks[[#This Row],[Progress]],0)-1)))</f>
        <v>0</v>
      </c>
      <c r="GW101" s="91" t="n">
        <f aca="false">IF(Tasks[[#This Row],[Task Name]]="",0,IF(OR(NOT(Tasks[[#This Row],[_IsLeaf]]=1),Tasks[[#This Row],[_IsMilestone]],N(Tasks[[#This Row],[Progress]])&gt;=1),0,IF(Tasks[[#This Row],[_DoneTo]]&gt;0,Tasks[[#This Row],[_DoneTo]]+1,Tasks[[#This Row],[Start]])))</f>
        <v>0</v>
      </c>
      <c r="GX101" s="91" t="n">
        <f aca="false">IF(Tasks[[#This Row],[_RemFrom]]=0,0,Tasks[[#This Row],[Finish]])</f>
        <v>0</v>
      </c>
      <c r="GY101" s="90" t="b">
        <f aca="false">IF(Tasks[[#This Row],[Task Name]]="",FALSE(),OR(NOT(BaselineSet),N(Tasks[[#This Row],[Baseline Start]])&gt;0))</f>
        <v>0</v>
      </c>
      <c r="GZ10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1" s="92" t="str">
        <f aca="false">IF(Tasks[[#This Row],[_IsLeaf]]=1,Tasks[[#This Row],[_Row]],"")</f>
        <v/>
      </c>
      <c r="HD101" s="92" t="str">
        <f aca="false">IFERROR(INDEX(Tasks[UID],SMALL(Tasks[_PickKey],Tasks[[#This Row],[_Row]]))&amp;" "&amp;INDEX(Tasks[Task Name],SMALL(Tasks[_PickKey],Tasks[[#This Row],[_Row]])),"")</f>
        <v/>
      </c>
      <c r="HE101" s="43" t="str">
        <f aca="false">IF(Tasks[[#This Row],[Task Name]]="","",IF(Tasks[[#This Row],[_IsSummary]],NETWORKDAYS.INTL(Tasks[[#This Row],[Start]],Tasks[[#This Row],[Finish]],WorkWeek,Holidays),N(Tasks[[#This Row],[_Days]])))</f>
        <v/>
      </c>
      <c r="HF101" s="43" t="n">
        <f aca="false">IF(Tasks[[#This Row],[Expected]]="",0,((Tasks[[#This Row],[Pessimistic]]-Tasks[[#This Row],[Optimistic]])/6)^2)</f>
        <v>0</v>
      </c>
      <c r="HG101" s="43" t="n">
        <f aca="false">IF(Tasks[[#This Row],[Expected]]="",0,Tasks[[#This Row],[Expected]]-N(Tasks[[#This Row],[_Days]]))</f>
        <v>0</v>
      </c>
    </row>
    <row r="102" customFormat="false" ht="15" hidden="false" customHeight="false" outlineLevel="0" collapsed="false">
      <c r="A102" s="21" t="str">
        <f aca="false">IF(Tasks[[#This Row],[Task Name]]="","",COUNTA(Tasks[[#Headers],[Task Name]]:Tasks[[#This Row],[Task Name]])-1)</f>
        <v/>
      </c>
      <c r="B102" s="22" t="n">
        <v>110</v>
      </c>
      <c r="C102" s="22"/>
      <c r="D102" s="23"/>
      <c r="E102" s="22"/>
      <c r="F102" s="23"/>
      <c r="G102" s="22"/>
      <c r="H102" s="22"/>
      <c r="I102" s="23"/>
      <c r="J102" s="22"/>
      <c r="K102" s="22"/>
      <c r="L102" s="23"/>
      <c r="M102" s="22"/>
      <c r="N102" s="22"/>
      <c r="O102" s="23"/>
      <c r="P102" s="22"/>
      <c r="Q102" s="22"/>
      <c r="R102" s="23"/>
      <c r="S102" s="23"/>
      <c r="T102" s="84"/>
      <c r="U102" s="23"/>
      <c r="V102" s="84"/>
      <c r="W102" s="23"/>
      <c r="X102" s="84"/>
      <c r="Y102" s="23"/>
      <c r="Z102" s="84"/>
      <c r="AA102" s="23"/>
      <c r="AB102" s="23"/>
      <c r="AC102" s="7"/>
      <c r="AD102" s="7"/>
      <c r="AE102" s="63" t="str">
        <f aca="false">IF(Tasks[[#This Row],[Task Name]]="","",IF(Tasks[[#This Row],[_IsSummary]],MIN(INDEX(Tasks[_ShownFcstStart],Tasks[[#This Row],[_Row]]+1):INDEX(Tasks[_ShownFcstStart],Tasks[[#This Row],[_Row]]+Tasks[[#This Row],[_Descendants]])),Tasks[[#This Row],[_ShownFcstStart]]))</f>
        <v/>
      </c>
      <c r="AF102" s="63" t="str">
        <f aca="false">IF(Tasks[[#This Row],[Task Name]]="","",IF(Tasks[[#This Row],[_IsSummary]],MAX(INDEX(Tasks[_ShownFcstFinish],Tasks[[#This Row],[_Row]]+1):INDEX(Tasks[_ShownFcstFinish],Tasks[[#This Row],[_Row]]+Tasks[[#This Row],[_Descendants]])),Tasks[[#This Row],[_ShownFcstFinish]]))</f>
        <v/>
      </c>
      <c r="AG102" s="21" t="str">
        <f aca="false">""</f>
        <v/>
      </c>
      <c r="AH102" s="23"/>
      <c r="AI1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2" s="7"/>
      <c r="AK102" s="22"/>
      <c r="AL102" s="23"/>
      <c r="AM102" s="7"/>
      <c r="AN102" s="47" t="str">
        <f aca="false">IF(Tasks[[#This Row],[Task Name]]="","",IF(Tasks[[#This Row],[Finish]]&gt;=Tasks[[#This Row],[Planned Finish]],NETWORKDAYS.INTL(Tasks[[#This Row],[Planned Finish]],Tasks[[#This Row],[Finish]],WorkWeek,Holidays)-1,1-NETWORKDAYS.INTL(Tasks[[#This Row],[Finish]],Tasks[[#This Row],[Planned Finish]],WorkWeek,Holidays)))</f>
        <v/>
      </c>
      <c r="AO102" s="21" t="str">
        <f aca="false">IF(Tasks[[#This Row],[Task Name]]="","",IF(Tasks[[#This Row],[Progress]]&gt;=1,"Complete",IF(OR(N(Tasks[[#This Row],[Actual Start]])&gt;0,Tasks[[#This Row],[Progress]]&gt;0),IF(Tasks[[#This Row],[Finish Var]]&gt;0,"Behind","In Progress"),IF(Tasks[[#This Row],[Planned Start]]&lt;StatusDate,"Late Start","Not Started"))))</f>
        <v/>
      </c>
      <c r="AP102" s="21" t="str">
        <f aca="false">IF(Tasks[[#This Row],[Task Name]]="","",IF(IF(Tasks[[#This Row],[_IsSummary]],COUNTIF(INDEX(Tasks[_LeafCritical],Tasks[[#This Row],[_Row]]+1):INDEX(Tasks[_LeafCritical],Tasks[[#This Row],[_Row]]+Tasks[[#This Row],[_Descendants]]),TRUE())&gt;0,Tasks[[#This Row],[_LeafCritical]]),"Yes",""))</f>
        <v/>
      </c>
      <c r="AQ102" s="63" t="str">
        <f aca="false">IF(Tasks[[#This Row],[Task Name]]="","",IF(N(Tasks[[#This Row],[Baseline Start]])&gt;0,Tasks[[#This Row],[Baseline Start]],Tasks[[#This Row],[_CalcStart]]))</f>
        <v/>
      </c>
      <c r="AR102" s="63" t="str">
        <f aca="false">IF(Tasks[[#This Row],[Task Name]]="","",IF(N(Tasks[[#This Row],[Baseline Finish]])&gt;0,Tasks[[#This Row],[Baseline Finish]],Tasks[[#This Row],[_CalcFinish]]))</f>
        <v/>
      </c>
      <c r="AS102" s="47" t="str">
        <f aca="false">IF(Tasks[[#This Row],[Task Name]]="","",IF(Tasks[[#This Row],[Start]]&gt;=Tasks[[#This Row],[Planned Start]],NETWORKDAYS.INTL(Tasks[[#This Row],[Planned Start]],Tasks[[#This Row],[Start]],WorkWeek,Holidays)-1,1-NETWORKDAYS.INTL(Tasks[[#This Row],[Start]],Tasks[[#This Row],[Planned Start]],WorkWeek,Holidays)))</f>
        <v/>
      </c>
      <c r="AT102" s="63" t="str">
        <f aca="false">IF(Tasks[[#This Row],[Task Name]]="","",IF(Tasks[[#This Row],[_IsSummary]],MIN(INDEX(Tasks[_LeafLateStart],Tasks[[#This Row],[_Row]]+1):INDEX(Tasks[_LeafLateStart],Tasks[[#This Row],[_Row]]+Tasks[[#This Row],[_Descendants]])),Tasks[[#This Row],[_LeafLateStart]]))</f>
        <v/>
      </c>
      <c r="AU102" s="63" t="str">
        <f aca="false">IF(Tasks[[#This Row],[Task Name]]="","",IF(Tasks[[#This Row],[_IsSummary]],MAX(INDEX(Tasks[_LeafLateFinish],Tasks[[#This Row],[_Row]]+1):INDEX(Tasks[_LeafLateFinish],Tasks[[#This Row],[_Row]]+Tasks[[#This Row],[_Descendants]])),Tasks[[#This Row],[_LeafLateFinish]]))</f>
        <v/>
      </c>
      <c r="AV102" s="47" t="str">
        <f aca="false">IF(Tasks[[#This Row],[Task Name]]="","",IF(Tasks[[#This Row],[_IsSummary]],MIN(INDEX(Tasks[_LeafTotalSlack],Tasks[[#This Row],[_Row]]+1):INDEX(Tasks[_LeafTotalSlack],Tasks[[#This Row],[_Row]]+Tasks[[#This Row],[_Descendants]])),Tasks[[#This Row],[_LeafTotalSlack]]))</f>
        <v/>
      </c>
      <c r="AW1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5"/>
      <c r="BA10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1" t="str">
        <f aca="false">IF(Tasks[[#This Row],[Task Name]]="","",IF(Tasks[[#This Row],[_Level]]&lt;=OutlineShowLevel,"Yes","No"))</f>
        <v/>
      </c>
      <c r="BE102" s="86" t="str">
        <f aca="false">IF(Tasks[[#This Row],[Task Name]]="","",IF(Tasks[[#This Row],[_IsSummary]],SUM(INDEX(Tasks[_LeafTotalWork],Tasks[[#This Row],[_Row]]+1):INDEX(Tasks[_LeafTotalWork],Tasks[[#This Row],[_Row]]+Tasks[[#This Row],[_Descendants]])),Tasks[[#This Row],[_LeafTotalWork]]))</f>
        <v/>
      </c>
      <c r="BF102" s="23"/>
      <c r="BG1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2" s="21" t="str">
        <f aca="false">""</f>
        <v/>
      </c>
      <c r="BI102" s="87"/>
      <c r="BJ102" s="22"/>
      <c r="BK102" s="47" t="str">
        <f aca="false">IF(OR(Tasks[[#This Row],[Task Name]]="",Tasks[[#This Row],[Baseline Duration]]=""),"",Tasks[[#This Row],[_SpanDays]]-N(Tasks[[#This Row],[Baseline Duration]]))</f>
        <v/>
      </c>
      <c r="BL102" s="86" t="str">
        <f aca="false">IF(OR(Tasks[[#This Row],[Task Name]]="",Tasks[[#This Row],[Baseline Work]]=""),"",Tasks[[#This Row],[Work]]-N(Tasks[[#This Row],[Baseline Work]]))</f>
        <v/>
      </c>
      <c r="BM102" s="63" t="str">
        <f aca="false">IF(Tasks[[#This Row],[Task Name]]="","",IF(OR(TakeBaseline="Yes",N(Tasks[[#This Row],[Baseline Start]])=0),Tasks[[#This Row],[Start]],Tasks[[#This Row],[Baseline Start]]))</f>
        <v/>
      </c>
      <c r="BN102" s="63" t="str">
        <f aca="false">IF(Tasks[[#This Row],[Task Name]]="","",IF(OR(TakeBaseline="Yes",N(Tasks[[#This Row],[Baseline Finish]])=0),Tasks[[#This Row],[Finish]],Tasks[[#This Row],[Baseline Finish]]))</f>
        <v/>
      </c>
      <c r="BO102" s="21" t="str">
        <f aca="false">IF(Tasks[[#This Row],[Task Name]]="","",IF(OR(TakeBaseline="Yes",N(Tasks[[#This Row],[Baseline Duration]])=0),Tasks[[#This Row],[_SpanDays]],Tasks[[#This Row],[Baseline Duration]]))</f>
        <v/>
      </c>
      <c r="BP102" s="86" t="str">
        <f aca="false">IF(Tasks[[#This Row],[Task Name]]="","",IF(OR(TakeBaseline="Yes",N(Tasks[[#This Row],[Baseline Work]])=0),Tasks[[#This Row],[Work]],Tasks[[#This Row],[Baseline Work]]))</f>
        <v/>
      </c>
      <c r="BQ102" s="7"/>
      <c r="BR102" s="7"/>
      <c r="BS102" s="22"/>
      <c r="BT102" s="88"/>
      <c r="BU102" s="23"/>
      <c r="BV102" s="23"/>
      <c r="BW102" s="23"/>
      <c r="BX102" s="89" t="str">
        <f aca="false">IF(AND(Tasks[[#This Row],[_IsLeaf]]=1,ISNUMBER(Tasks[[#This Row],[Optimistic]]),ISNUMBER(Tasks[[#This Row],[Pessimistic]])),ROUND((Tasks[[#This Row],[Optimistic]]+4*N(Tasks[[#This Row],[_Days]])+Tasks[[#This Row],[Pessimistic]])/6,1),"")</f>
        <v/>
      </c>
      <c r="BY102" s="87"/>
      <c r="BZ102" s="87"/>
      <c r="CA102" s="22"/>
      <c r="CB102" s="43" t="str">
        <f aca="false">IF(Tasks[[#This Row],[Task Name]]="","",MAX(1,N(Tasks[[#This Row],[Level]])))</f>
        <v/>
      </c>
      <c r="CC102" s="43" t="n">
        <f aca="false">ROW()-ROW(Tasks[[#Headers],[ID]])</f>
        <v>97</v>
      </c>
      <c r="CD102" s="43" t="n">
        <f aca="false">IF(OR(Tasks[[#This Row],[Task Name]]="",Tasks[[#This Row],[_Level]]&lt;=1),0,IFERROR(LOOKUP(2,1/(Tasks[[#Headers],[_Level]]:Tasks[[#This Row],[_Level]]=Tasks[[#This Row],[_Level]]-1),ROW(Tasks[[#Headers],[_Level]]:Tasks[[#This Row],[_Level]])),0))</f>
        <v>0</v>
      </c>
      <c r="CE102" s="43" t="n">
        <f aca="false">IFERROR(N(INDEX(Tasks[_Level],Tasks[[#This Row],[_Row]]+1)),0)</f>
        <v>0</v>
      </c>
      <c r="CF102" s="90" t="b">
        <f aca="false">AND(Tasks[[#This Row],[Task Name]]&lt;&gt;"",Tasks[[#This Row],[_NextLevel]]&gt;Tasks[[#This Row],[_Level]])</f>
        <v>0</v>
      </c>
      <c r="CG102" s="43" t="n">
        <f aca="false">IF(Tasks[[#This Row],[_IsSummary]],COUNTIF(Tasks[WBS],Tasks[[#This Row],[WBS]]&amp;".*"),0)</f>
        <v>0</v>
      </c>
      <c r="CH102" s="43" t="n">
        <f aca="false">IF(AND(Tasks[[#This Row],[Task Name]]&lt;&gt;"",NOT(Tasks[[#This Row],[_IsSummary]])),1,0)</f>
        <v>0</v>
      </c>
      <c r="CI102" s="43" t="n">
        <f aca="false">IF(N(Tasks[[#This Row],[_Pred1UID]])=0,0,IFERROR(MATCH(Tasks[[#This Row],[_Pred1UID]],Tasks[UID],0),-1))</f>
        <v>0</v>
      </c>
      <c r="CJ102" s="43" t="n">
        <f aca="false">IF(N(Tasks[[#This Row],[_Pred2UID]])=0,0,IFERROR(MATCH(Tasks[[#This Row],[_Pred2UID]],Tasks[UID],0),-1))</f>
        <v>0</v>
      </c>
      <c r="CK102" s="43" t="n">
        <f aca="false">IF(N(Tasks[[#This Row],[_Pred3UID]])=0,0,IFERROR(MATCH(Tasks[[#This Row],[_Pred3UID]],Tasks[UID],0),-1))</f>
        <v>0</v>
      </c>
      <c r="CL102" s="43" t="n">
        <f aca="false">IF(N(Tasks[[#This Row],[_Pred4UID]])=0,0,IFERROR(MATCH(Tasks[[#This Row],[_Pred4UID]],Tasks[UID],0),-1))</f>
        <v>0</v>
      </c>
      <c r="CM10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2" s="91" t="n">
        <f aca="false">IF(OR(Tasks[[#This Row],[_ConstraintCode]]=2,Tasks[[#This Row],[_ConstraintCode]]=3,Tasks[[#This Row],[_ConstraintCode]]=4,Tasks[[#This Row],[_ConstraintCode]]=6),Tasks[[#This Row],[_ConstraintStart]],0)</f>
        <v>0</v>
      </c>
      <c r="CP102" s="91" t="n">
        <f aca="false">IF(OR(Tasks[[#This Row],[_ConstraintCode]]=2,Tasks[[#This Row],[_ConstraintCode]]=3,Tasks[[#This Row],[_ConstraintCode]]=5,Tasks[[#This Row],[_ConstraintCode]]=7),Tasks[[#This Row],[_ConstraintStart]],2958465)</f>
        <v>2958465</v>
      </c>
      <c r="CQ10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2" s="91" t="str">
        <f aca="false">IF(NOT(Tasks[[#This Row],[_IsLeaf]]=1),"",IF(N(Tasks[[#This Row],[_Days]])&lt;=0,Tasks[[#This Row],[_LeafCalcStart]],WORKDAY.INTL(Tasks[[#This Row],[_LeafCalcStart]],Tasks[[#This Row],[_Days]]-1,WorkWeek,Holidays)))</f>
        <v/>
      </c>
      <c r="CS10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2" s="43" t="str">
        <f aca="false">IF(Tasks[[#This Row],[_Predecessors]]="","",TRIM(MID(SUBSTITUTE(SUBSTITUTE(SUBSTITUTE(UPPER(Tasks[[#This Row],[_Predecessors]]),";",",")," ",""),",",REPT(" ",99)),1,99)))</f>
        <v/>
      </c>
      <c r="CV102" s="43" t="str">
        <f aca="false">IF(Tasks[[#This Row],[_Pred1Text]]="","",IFERROR(VALUE(LEFT(Tasks[[#This Row],[_Pred1Text]],MIN(FIND("F",Tasks[[#This Row],[_Pred1Text]]&amp;"F"),FIND("S",Tasks[[#This Row],[_Pred1Text]]&amp;"S"),FIND("+",Tasks[[#This Row],[_Pred1Text]]&amp;"+"),FIND("-",Tasks[[#This Row],[_Pred1Text]]&amp;"-"))-1)),""))</f>
        <v/>
      </c>
      <c r="CW10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2" s="43" t="str">
        <f aca="false">IF(Tasks[[#This Row],[_Pred1Text]]="","",TRIM(MID(SUBSTITUTE(SUBSTITUTE(SUBSTITUTE(UPPER(Tasks[[#This Row],[_Predecessors]]),";",",")," ",""),",",REPT(" ",99)),100,99)))</f>
        <v/>
      </c>
      <c r="CZ102" s="43" t="str">
        <f aca="false">IF(Tasks[[#This Row],[_Pred2Text]]="","",IFERROR(VALUE(LEFT(Tasks[[#This Row],[_Pred2Text]],MIN(FIND("F",Tasks[[#This Row],[_Pred2Text]]&amp;"F"),FIND("S",Tasks[[#This Row],[_Pred2Text]]&amp;"S"),FIND("+",Tasks[[#This Row],[_Pred2Text]]&amp;"+"),FIND("-",Tasks[[#This Row],[_Pred2Text]]&amp;"-"))-1)),""))</f>
        <v/>
      </c>
      <c r="DA10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2" s="43" t="str">
        <f aca="false">IF(Tasks[[#This Row],[_Pred2Text]]="","",TRIM(MID(SUBSTITUTE(SUBSTITUTE(SUBSTITUTE(UPPER(Tasks[[#This Row],[_Predecessors]]),";",",")," ",""),",",REPT(" ",99)),199,99)))</f>
        <v/>
      </c>
      <c r="DD102" s="43" t="str">
        <f aca="false">IF(Tasks[[#This Row],[_Pred3Text]]="","",IFERROR(VALUE(LEFT(Tasks[[#This Row],[_Pred3Text]],MIN(FIND("F",Tasks[[#This Row],[_Pred3Text]]&amp;"F"),FIND("S",Tasks[[#This Row],[_Pred3Text]]&amp;"S"),FIND("+",Tasks[[#This Row],[_Pred3Text]]&amp;"+"),FIND("-",Tasks[[#This Row],[_Pred3Text]]&amp;"-"))-1)),""))</f>
        <v/>
      </c>
      <c r="DE10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2" s="43" t="str">
        <f aca="false">IF(Tasks[[#This Row],[_Pred3Text]]="","",TRIM(MID(SUBSTITUTE(SUBSTITUTE(SUBSTITUTE(UPPER(Tasks[[#This Row],[_Predecessors]]),";",",")," ",""),",",REPT(" ",99)),298,99)))</f>
        <v/>
      </c>
      <c r="DH102" s="43" t="str">
        <f aca="false">IF(Tasks[[#This Row],[_Pred4Text]]="","",IFERROR(VALUE(LEFT(Tasks[[#This Row],[_Pred4Text]],MIN(FIND("F",Tasks[[#This Row],[_Pred4Text]]&amp;"F"),FIND("S",Tasks[[#This Row],[_Pred4Text]]&amp;"S"),FIND("+",Tasks[[#This Row],[_Pred4Text]]&amp;"+"),FIND("-",Tasks[[#This Row],[_Pred4Text]]&amp;"-"))-1)),""))</f>
        <v/>
      </c>
      <c r="DI10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2" s="43" t="str">
        <f aca="false">IF(OR(Tasks[[#This Row],[Task Name]]="",Tasks[[#This Row],[_Resources]]=""),"",TRIM(MID(SUBSTITUTE(Tasks[[#This Row],[_Resources]],",",REPT(" ",99)),1,99)))</f>
        <v/>
      </c>
      <c r="DL102" s="43" t="str">
        <f aca="false">IF(Tasks[[#This Row],[_Res1Text]]="","",TRIM(MID(SUBSTITUTE(Tasks[[#This Row],[_Resources]],",",REPT(" ",99)),100,99)))</f>
        <v/>
      </c>
      <c r="DM102" s="43" t="str">
        <f aca="false">IF(Tasks[[#This Row],[_Res2Text]]="","",TRIM(MID(SUBSTITUTE(Tasks[[#This Row],[_Resources]],",",REPT(" ",99)),199,99)))</f>
        <v/>
      </c>
      <c r="DN102" s="43" t="str">
        <f aca="false">IF(Tasks[[#This Row],[_Res3Text]]="","",TRIM(MID(SUBSTITUTE(Tasks[[#This Row],[_Resources]],",",REPT(" ",99)),298,99)))</f>
        <v/>
      </c>
      <c r="DO102" s="43" t="n">
        <f aca="false">IF(Tasks[[#This Row],[_Res1Text]]="",0,IFERROR(MATCH(TRIM(LEFT(Tasks[[#This Row],[_Res1Text]],FIND("[",Tasks[[#This Row],[_Res1Text]]&amp;"[")-1)),res_Name,0),IFERROR(MATCH(TRIM(LEFT(Tasks[[#This Row],[_Res1Text]],FIND("[",Tasks[[#This Row],[_Res1Text]]&amp;"[")-1)),res_Initials,0),0)))</f>
        <v>0</v>
      </c>
      <c r="DP102" s="43" t="n">
        <f aca="false">IF(Tasks[[#This Row],[_Res2Text]]="",0,IFERROR(MATCH(TRIM(LEFT(Tasks[[#This Row],[_Res2Text]],FIND("[",Tasks[[#This Row],[_Res2Text]]&amp;"[")-1)),res_Name,0),IFERROR(MATCH(TRIM(LEFT(Tasks[[#This Row],[_Res2Text]],FIND("[",Tasks[[#This Row],[_Res2Text]]&amp;"[")-1)),res_Initials,0),0)))</f>
        <v>0</v>
      </c>
      <c r="DQ102" s="43" t="n">
        <f aca="false">IF(Tasks[[#This Row],[_Res3Text]]="",0,IFERROR(MATCH(TRIM(LEFT(Tasks[[#This Row],[_Res3Text]],FIND("[",Tasks[[#This Row],[_Res3Text]]&amp;"[")-1)),res_Name,0),IFERROR(MATCH(TRIM(LEFT(Tasks[[#This Row],[_Res3Text]],FIND("[",Tasks[[#This Row],[_Res3Text]]&amp;"[")-1)),res_Initials,0),0)))</f>
        <v>0</v>
      </c>
      <c r="DR102" s="43" t="n">
        <f aca="false">IF(Tasks[[#This Row],[_Res4Text]]="",0,IFERROR(MATCH(TRIM(LEFT(Tasks[[#This Row],[_Res4Text]],FIND("[",Tasks[[#This Row],[_Res4Text]]&amp;"[")-1)),res_Name,0),IFERROR(MATCH(TRIM(LEFT(Tasks[[#This Row],[_Res4Text]],FIND("[",Tasks[[#This Row],[_Res4Text]]&amp;"[")-1)),res_Initials,0),0)))</f>
        <v>0</v>
      </c>
      <c r="DS102" s="43" t="str">
        <f aca="false">IF(Tasks[[#This Row],[_Res1Text]]="","",IF(Tasks[[#This Row],[_Res1Row]]&gt;0,INDEX(res_Name,Tasks[[#This Row],[_Res1Row]]),TRIM(LEFT(Tasks[[#This Row],[_Res1Text]],FIND("[",Tasks[[#This Row],[_Res1Text]]&amp;"[")-1))))</f>
        <v/>
      </c>
      <c r="DT10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2" s="43" t="n">
        <f aca="false">IF(NOT(Tasks[[#This Row],[_IsLeaf]]=1),0,(Tasks[[#This Row],[_Resource1]]&lt;&gt;"")+(Tasks[[#This Row],[_Res2]]&lt;&gt;"")+(Tasks[[#This Row],[_Res3]]&lt;&gt;"")+(Tasks[[#This Row],[_Res4]]&lt;&gt;""))</f>
        <v>0</v>
      </c>
      <c r="DV102" s="43" t="str">
        <f aca="false">IF(Tasks[[#This Row],[_Res2Text]]="","",IF(Tasks[[#This Row],[_Res2Row]]&gt;0,INDEX(res_Name,Tasks[[#This Row],[_Res2Row]]),TRIM(LEFT(Tasks[[#This Row],[_Res2Text]],FIND("[",Tasks[[#This Row],[_Res2Text]]&amp;"[")-1))))</f>
        <v/>
      </c>
      <c r="DW10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2" s="43" t="n">
        <f aca="false">IF(OR(NOT(Tasks[[#This Row],[_IsLeaf]]=1),Tasks[[#This Row],[_Res2Row]]=0),0,N(Tasks[[#This Row],[_Days]])*HoursPerDay*IF(Tasks[[#This Row],[_Res2Units]]="",DefaultUnits,Tasks[[#This Row],[_Res2Units]]))</f>
        <v>0</v>
      </c>
      <c r="DY102" s="43" t="n">
        <f aca="false">IF(AND(AND(Tasks[[#This Row],[_IsLeaf]]=1,Tasks[[#This Row],[_LeafTotalWork]]&gt;0),Tasks[[#This Row],[_Res2Work]]&gt;0),Tasks[[#This Row],[_Res2Work]]/(Tasks[[#This Row],[_FinishWorkday]]-Tasks[[#This Row],[_StartWorkday]]+1),0)</f>
        <v>0</v>
      </c>
      <c r="DZ102" s="43" t="n">
        <f aca="false">Tasks[[#This Row],[_Res2WorkPerWD]]*MAX(0,Tasks[[#This Row],[_StartWorkday]]-1)</f>
        <v>0</v>
      </c>
      <c r="EA102" s="43" t="n">
        <f aca="false">Tasks[[#This Row],[_Res2Work]]*Tasks[[#This Row],[_LeafProgress]]</f>
        <v>0</v>
      </c>
      <c r="EB102" s="43" t="str">
        <f aca="false">IF(Tasks[[#This Row],[_Res3Text]]="","",IF(Tasks[[#This Row],[_Res3Row]]&gt;0,INDEX(res_Name,Tasks[[#This Row],[_Res3Row]]),TRIM(LEFT(Tasks[[#This Row],[_Res3Text]],FIND("[",Tasks[[#This Row],[_Res3Text]]&amp;"[")-1))))</f>
        <v/>
      </c>
      <c r="EC10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2" s="43" t="n">
        <f aca="false">IF(OR(NOT(Tasks[[#This Row],[_IsLeaf]]=1),Tasks[[#This Row],[_Res3Row]]=0),0,N(Tasks[[#This Row],[_Days]])*HoursPerDay*IF(Tasks[[#This Row],[_Res3Units]]="",DefaultUnits,Tasks[[#This Row],[_Res3Units]]))</f>
        <v>0</v>
      </c>
      <c r="EE102" s="43" t="n">
        <f aca="false">IF(AND(AND(Tasks[[#This Row],[_IsLeaf]]=1,Tasks[[#This Row],[_LeafTotalWork]]&gt;0),Tasks[[#This Row],[_Res3Work]]&gt;0),Tasks[[#This Row],[_Res3Work]]/(Tasks[[#This Row],[_FinishWorkday]]-Tasks[[#This Row],[_StartWorkday]]+1),0)</f>
        <v>0</v>
      </c>
      <c r="EF102" s="43" t="n">
        <f aca="false">Tasks[[#This Row],[_Res3WorkPerWD]]*MAX(0,Tasks[[#This Row],[_StartWorkday]]-1)</f>
        <v>0</v>
      </c>
      <c r="EG102" s="43" t="n">
        <f aca="false">Tasks[[#This Row],[_Res3Work]]*Tasks[[#This Row],[_LeafProgress]]</f>
        <v>0</v>
      </c>
      <c r="EH102" s="43" t="str">
        <f aca="false">IF(Tasks[[#This Row],[_Res4Text]]="","",IF(Tasks[[#This Row],[_Res4Row]]&gt;0,INDEX(res_Name,Tasks[[#This Row],[_Res4Row]]),TRIM(LEFT(Tasks[[#This Row],[_Res4Text]],FIND("[",Tasks[[#This Row],[_Res4Text]]&amp;"[")-1))))</f>
        <v/>
      </c>
      <c r="EI10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2" s="43" t="n">
        <f aca="false">IF(OR(NOT(Tasks[[#This Row],[_IsLeaf]]=1),Tasks[[#This Row],[_Res4Row]]=0),0,N(Tasks[[#This Row],[_Days]])*HoursPerDay*IF(Tasks[[#This Row],[_Res4Units]]="",DefaultUnits,Tasks[[#This Row],[_Res4Units]]))</f>
        <v>0</v>
      </c>
      <c r="EK102" s="43" t="n">
        <f aca="false">IF(AND(AND(Tasks[[#This Row],[_IsLeaf]]=1,Tasks[[#This Row],[_LeafTotalWork]]&gt;0),Tasks[[#This Row],[_Res4Work]]&gt;0),Tasks[[#This Row],[_Res4Work]]/(Tasks[[#This Row],[_FinishWorkday]]-Tasks[[#This Row],[_StartWorkday]]+1),0)</f>
        <v>0</v>
      </c>
      <c r="EL102" s="43" t="n">
        <f aca="false">Tasks[[#This Row],[_Res4WorkPerWD]]*MAX(0,Tasks[[#This Row],[_StartWorkday]]-1)</f>
        <v>0</v>
      </c>
      <c r="EM102" s="43" t="n">
        <f aca="false">Tasks[[#This Row],[_Res4Work]]*Tasks[[#This Row],[_LeafProgress]]</f>
        <v>0</v>
      </c>
      <c r="EN102" s="43" t="n">
        <f aca="false">IF(ISNUMBER(Tasks[[#This Row],[% Complete]]),Tasks[[#This Row],[% Complete]],IF(Tasks[[#This Row],[Stage]]="",0,IFERROR(INDEX(stg_Pct,MATCH(Tasks[[#This Row],[Stage]],stg_Name,0)),0)))</f>
        <v>0</v>
      </c>
      <c r="EO102" s="43" t="n">
        <f aca="false">IF(NOT(Tasks[[#This Row],[_IsLeaf]]=1),0,IF(N(Tasks[[#This Row],[Actual Finish]])&gt;0,1,MIN(1,Tasks[[#This Row],[_Pct]])))</f>
        <v>0</v>
      </c>
      <c r="EP102" s="43" t="n">
        <f aca="false">IF(OR(NOT(Tasks[[#This Row],[_IsLeaf]]=1),Tasks[[#This Row],[_Res1Row]]=0),0,N(Tasks[[#This Row],[_Days]])*HoursPerDay*IF(Tasks[[#This Row],[_Units1]]="",DefaultUnits,Tasks[[#This Row],[_Units1]]))</f>
        <v>0</v>
      </c>
      <c r="EQ102" s="43" t="n">
        <f aca="false">Tasks[[#This Row],[_LeafWork]]+Tasks[[#This Row],[_Res2Work]]+Tasks[[#This Row],[_Res3Work]]+Tasks[[#This Row],[_Res4Work]]</f>
        <v>0</v>
      </c>
      <c r="ER10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2" s="43" t="n">
        <f aca="false">IF(NOT(Tasks[[#This Row],[_IsLeaf]]=1),0,MAX(_xlfn.MAXIFS(Tasks[_Row],Tasks[_Pred1UID],Tasks[[#This Row],[UID]]),_xlfn.MAXIFS(Tasks[_Row],Tasks[_Pred2UID],Tasks[[#This Row],[UID]]),_xlfn.MAXIFS(Tasks[_Row],Tasks[_Pred3UID],Tasks[[#This Row],[UID]]),_xlfn.MAXIFS(Tasks[_Row],Tasks[_Pred4UID],Tasks[[#This Row],[UID]])))</f>
        <v>0</v>
      </c>
      <c r="FA10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2" s="91" t="str">
        <f aca="false">IF(NOT(Tasks[[#This Row],[_IsLeaf]]=1),"",IF(N(Tasks[[#This Row],[_Days]])&lt;=0,Tasks[[#This Row],[_LeafLateFinish]],WORKDAY.INTL(Tasks[[#This Row],[_LeafLateFinish]],-(Tasks[[#This Row],[_Days]]-1),WorkWeek,Holidays)))</f>
        <v/>
      </c>
      <c r="FD10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2" s="90" t="b">
        <f aca="false">AND(Tasks[[#This Row],[_IsLeaf]]=1,Tasks[[#This Row],[_LeafProgress]]&lt;1,N(Tasks[[#This Row],[_LeafTotalSlack]])&lt;=CriticalSlackDays)</f>
        <v>0</v>
      </c>
      <c r="FF102" s="43" t="n">
        <f aca="false">IF(AND(Tasks[[#This Row],[_IsLeaf]]=1,Tasks[[#This Row],[_ConstraintCode]]=1,Tasks[[#This Row],[Mode]]&lt;&gt;"Manual",N(Tasks[[#This Row],[Actual Start]])=0),MAX(0,N(Tasks[[#This Row],[Free Slack]])),0)</f>
        <v>0</v>
      </c>
      <c r="FG102" s="91" t="str">
        <f aca="false">IF(NOT(Tasks[[#This Row],[_IsLeaf]]=1),"",IF(Tasks[[#This Row],[_AlapShift]]=0,Tasks[[#This Row],[_LeafCalcStart]],WORKDAY.INTL(Tasks[[#This Row],[_LeafCalcStart]],Tasks[[#This Row],[_AlapShift]],WorkWeek,Holidays)))</f>
        <v/>
      </c>
      <c r="FH102" s="91" t="str">
        <f aca="false">IF(NOT(Tasks[[#This Row],[_IsLeaf]]=1),"",IF(Tasks[[#This Row],[_AlapShift]]=0,Tasks[[#This Row],[_LeafCalcFinish]],WORKDAY.INTL(Tasks[[#This Row],[_LeafCalcFinish]],Tasks[[#This Row],[_AlapShift]],WorkWeek,Holidays)))</f>
        <v/>
      </c>
      <c r="FI102" s="91" t="str">
        <f aca="false">IF(NOT(Tasks[[#This Row],[_IsLeaf]]=1),"",IF(Tasks[[#This Row],[_AlapShift]]=0,Tasks[[#This Row],[_LeafFcstStart]],WORKDAY.INTL(Tasks[[#This Row],[_LeafFcstStart]],Tasks[[#This Row],[_AlapShift]],WorkWeek,Holidays)))</f>
        <v/>
      </c>
      <c r="FJ102" s="91" t="str">
        <f aca="false">IF(NOT(Tasks[[#This Row],[_IsLeaf]]=1),"",IF(Tasks[[#This Row],[_AlapShift]]=0,Tasks[[#This Row],[_LeafFcstFinish]],WORKDAY.INTL(Tasks[[#This Row],[_LeafFcstFinish]],Tasks[[#This Row],[_AlapShift]],WorkWeek,Holidays)))</f>
        <v/>
      </c>
      <c r="FK102" s="91" t="str">
        <f aca="false">IF(Tasks[[#This Row],[Task Name]]="","",IF(Tasks[[#This Row],[_IsSummary]],MIN(INDEX(Tasks[_ShownCalcStart],Tasks[[#This Row],[_Row]]+1):INDEX(Tasks[_ShownCalcStart],Tasks[[#This Row],[_Row]]+Tasks[[#This Row],[_Descendants]])),Tasks[[#This Row],[_ShownCalcStart]]))</f>
        <v/>
      </c>
      <c r="FL102" s="91" t="str">
        <f aca="false">IF(Tasks[[#This Row],[Task Name]]="","",IF(Tasks[[#This Row],[_IsSummary]],MAX(INDEX(Tasks[_ShownCalcFinish],Tasks[[#This Row],[_Row]]+1):INDEX(Tasks[_ShownCalcFinish],Tasks[[#This Row],[_Row]]+Tasks[[#This Row],[_Descendants]])),Tasks[[#This Row],[_ShownCalcFinish]]))</f>
        <v/>
      </c>
      <c r="FM10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2" s="43" t="n">
        <f aca="false">IF(AND(Tasks[[#This Row],[_IsLeaf]]=1,Tasks[[#This Row],[_LeafTotalWork]]&gt;0),NETWORKDAYS.INTL(ProjectStart,Tasks[[#This Row],[_ShownFcstStart]],WorkWeek,Holidays),0)</f>
        <v>0</v>
      </c>
      <c r="FZ102" s="43" t="n">
        <f aca="false">IF(AND(Tasks[[#This Row],[_IsLeaf]]=1,Tasks[[#This Row],[_LeafTotalWork]]&gt;0),MAX(Tasks[[#This Row],[_StartWorkday]],NETWORKDAYS.INTL(ProjectStart,Tasks[[#This Row],[_ShownFcstFinish]],WorkWeek,Holidays)),0)</f>
        <v>0</v>
      </c>
      <c r="GA102" s="43" t="n">
        <f aca="false">IF(AND(Tasks[[#This Row],[_IsLeaf]]=1,Tasks[[#This Row],[_LeafTotalWork]]&gt;0),Tasks[[#This Row],[_LeafWork]]/(Tasks[[#This Row],[_FinishWorkday]]-Tasks[[#This Row],[_StartWorkday]]+1),0)</f>
        <v>0</v>
      </c>
      <c r="GB102" s="43" t="n">
        <f aca="false">Tasks[[#This Row],[_WorkPerWorkday]]*(Tasks[[#This Row],[_StartWorkday]]-1)</f>
        <v>-0</v>
      </c>
      <c r="GC102" s="43" t="n">
        <f aca="false">IF(Tasks[[#This Row],[_IsLeaf]]=1,MAX(N(Tasks[[#This Row],[_Days]]),0.1),0)</f>
        <v>0</v>
      </c>
      <c r="GD102" s="43" t="n">
        <f aca="false">Tasks[[#This Row],[_WeightDur]]*Tasks[[#This Row],[_LeafProgress]]</f>
        <v>0</v>
      </c>
      <c r="GE102" s="43" t="n">
        <f aca="false">Tasks[[#This Row],[_WeightDur]]*Tasks[[#This Row],[_PlannedPct]]</f>
        <v>0</v>
      </c>
      <c r="GF10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2" s="43" t="str">
        <f aca="false">IF(AND(Tasks[[#This Row],[_IsLeaf]]=1,N(Tasks[[#This Row],[_Days]])=0,Tasks[[#This Row],[_LeafProgress]]&lt;1),Tasks[[#This Row],[_ShownFcstFinish]]+Tasks[[#This Row],[_Row]]/100000,"")</f>
        <v/>
      </c>
      <c r="GH10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2" s="43" t="str">
        <f aca="false">IF(Tasks[[#This Row],[Task Name]]="","",LEFT(Tasks[[#This Row],[WBS]],FIND(".",Tasks[[#This Row],[WBS]]&amp;".")-1))</f>
        <v/>
      </c>
      <c r="GJ102" s="43" t="str">
        <f aca="false">IF(AND(Tasks[[#This Row],[Task Name]]&lt;&gt;"",Tasks[[#This Row],[_Level]]=1),Tasks[[#This Row],[_Row]],"")</f>
        <v/>
      </c>
      <c r="GK102" s="43" t="str">
        <f aca="false">IF(AND(Tasks[[#This Row],[_IsLeaf]]=1,N(Tasks[[#This Row],[_Days]])=0),Tasks[[#This Row],[Planned Finish]]+Tasks[[#This Row],[_Row]]/100000,"")</f>
        <v/>
      </c>
      <c r="GL102" s="43" t="str">
        <f aca="false">IF(AND(Tasks[[#This Row],[_IsLeaf]]=1,Tasks[[#This Row],[_LeafProgress]]&lt;1,OR(N(Tasks[[#This Row],[Finish Var]])&gt;0,Tasks[[#This Row],[Status]]="Late Start")),MAX(0,Tasks[[#This Row],[Finish Var]])+1-Tasks[[#This Row],[_Row]]/1000000,"")</f>
        <v/>
      </c>
      <c r="GM102" s="43" t="str">
        <f aca="false">IF(AND(Tasks[[#This Row],[_IsLeaf]]=1,N(Tasks[[#This Row],[Actual Start]])=0,Tasks[[#This Row],[_ShownFcstStart]]&gt;=StatusDate,Tasks[[#This Row],[_ShownFcstStart]]&lt;=LookaheadEnd),Tasks[[#This Row],[_ShownFcstStart]]+Tasks[[#This Row],[_Row]]/100000,"")</f>
        <v/>
      </c>
      <c r="GN102" s="43" t="str">
        <f aca="false">IF(AND(Tasks[[#This Row],[_IsLeaf]]=1,Tasks[[#This Row],[_LeafProgress]]&lt;1,Tasks[[#This Row],[_ShownFcstFinish]]&gt;=StatusDate,Tasks[[#This Row],[_ShownFcstFinish]]&lt;=LookaheadEnd),Tasks[[#This Row],[_ShownFcstFinish]]+Tasks[[#This Row],[_Row]]/100000,"")</f>
        <v/>
      </c>
      <c r="GO102" s="43" t="str">
        <f aca="false">IF(Tasks[[#This Row],[_LeafCritical]],Tasks[[#This Row],[_ShownFcstStart]]+Tasks[[#This Row],[_Row]]/100000,"")</f>
        <v/>
      </c>
      <c r="GP102" s="43" t="n">
        <f aca="false">Tasks[[#This Row],[_LeafWork]]*Tasks[[#This Row],[_LeafProgress]]</f>
        <v>0</v>
      </c>
      <c r="GQ102" s="91" t="str">
        <f aca="false">IF(AND(Tasks[[#This Row],[_IsLeaf]]=1,Tasks[[#This Row],[_LeafProgress]]&gt;=1),IF(N(Tasks[[#This Row],[Actual Finish]])&gt;0,Tasks[[#This Row],[Actual Finish]],Tasks[[#This Row],[_ShownFcstFinish]]),"")</f>
        <v/>
      </c>
      <c r="GR102" s="43" t="n">
        <f aca="false">IF(Tasks[[#This Row],[_IsLeaf]]=1,N(Tasks[[#This Row],[Story Points]]),0)</f>
        <v>0</v>
      </c>
      <c r="GS102" s="43" t="str">
        <f aca="false">""</f>
        <v/>
      </c>
      <c r="GT102" s="90" t="b">
        <f aca="false">IF(Tasks[[#This Row],[Task Name]]="",FALSE(),AND(Tasks[[#This Row],[_IsLeaf]]=1,N(Tasks[[#This Row],[_Days]])=0))</f>
        <v>0</v>
      </c>
      <c r="GU102" s="91" t="n">
        <f aca="false">IF(Tasks[[#This Row],[Task Name]]="",0,IF(AND(Tasks[[#This Row],[_IsLeaf]]=1,NOT(Tasks[[#This Row],[_IsMilestone]]),N(Tasks[[#This Row],[Progress]])&gt;0),Tasks[[#This Row],[Start]],0))</f>
        <v>0</v>
      </c>
      <c r="GV102" s="91" t="n">
        <f aca="false">IF(Tasks[[#This Row],[_DoneFrom]]=0,0,IF(Tasks[[#This Row],[Progress]]&gt;=1,Tasks[[#This Row],[Finish]],MAX(Tasks[[#This Row],[_DoneFrom]],Tasks[[#This Row],[Start]]+ROUND((Tasks[[#This Row],[Finish]]-Tasks[[#This Row],[Start]]+1)*Tasks[[#This Row],[Progress]],0)-1)))</f>
        <v>0</v>
      </c>
      <c r="GW102" s="91" t="n">
        <f aca="false">IF(Tasks[[#This Row],[Task Name]]="",0,IF(OR(NOT(Tasks[[#This Row],[_IsLeaf]]=1),Tasks[[#This Row],[_IsMilestone]],N(Tasks[[#This Row],[Progress]])&gt;=1),0,IF(Tasks[[#This Row],[_DoneTo]]&gt;0,Tasks[[#This Row],[_DoneTo]]+1,Tasks[[#This Row],[Start]])))</f>
        <v>0</v>
      </c>
      <c r="GX102" s="91" t="n">
        <f aca="false">IF(Tasks[[#This Row],[_RemFrom]]=0,0,Tasks[[#This Row],[Finish]])</f>
        <v>0</v>
      </c>
      <c r="GY102" s="90" t="b">
        <f aca="false">IF(Tasks[[#This Row],[Task Name]]="",FALSE(),OR(NOT(BaselineSet),N(Tasks[[#This Row],[Baseline Start]])&gt;0))</f>
        <v>0</v>
      </c>
      <c r="GZ10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2" s="92" t="str">
        <f aca="false">IF(Tasks[[#This Row],[_IsLeaf]]=1,Tasks[[#This Row],[_Row]],"")</f>
        <v/>
      </c>
      <c r="HD102" s="92" t="str">
        <f aca="false">IFERROR(INDEX(Tasks[UID],SMALL(Tasks[_PickKey],Tasks[[#This Row],[_Row]]))&amp;" "&amp;INDEX(Tasks[Task Name],SMALL(Tasks[_PickKey],Tasks[[#This Row],[_Row]])),"")</f>
        <v/>
      </c>
      <c r="HE102" s="43" t="str">
        <f aca="false">IF(Tasks[[#This Row],[Task Name]]="","",IF(Tasks[[#This Row],[_IsSummary]],NETWORKDAYS.INTL(Tasks[[#This Row],[Start]],Tasks[[#This Row],[Finish]],WorkWeek,Holidays),N(Tasks[[#This Row],[_Days]])))</f>
        <v/>
      </c>
      <c r="HF102" s="43" t="n">
        <f aca="false">IF(Tasks[[#This Row],[Expected]]="",0,((Tasks[[#This Row],[Pessimistic]]-Tasks[[#This Row],[Optimistic]])/6)^2)</f>
        <v>0</v>
      </c>
      <c r="HG102" s="43" t="n">
        <f aca="false">IF(Tasks[[#This Row],[Expected]]="",0,Tasks[[#This Row],[Expected]]-N(Tasks[[#This Row],[_Days]]))</f>
        <v>0</v>
      </c>
    </row>
    <row r="103" customFormat="false" ht="15" hidden="false" customHeight="false" outlineLevel="0" collapsed="false">
      <c r="A103" s="21" t="str">
        <f aca="false">IF(Tasks[[#This Row],[Task Name]]="","",COUNTA(Tasks[[#Headers],[Task Name]]:Tasks[[#This Row],[Task Name]])-1)</f>
        <v/>
      </c>
      <c r="B103" s="22" t="n">
        <v>111</v>
      </c>
      <c r="C103" s="22"/>
      <c r="D103" s="23"/>
      <c r="E103" s="22"/>
      <c r="F103" s="23"/>
      <c r="G103" s="22"/>
      <c r="H103" s="22"/>
      <c r="I103" s="23"/>
      <c r="J103" s="22"/>
      <c r="K103" s="22"/>
      <c r="L103" s="23"/>
      <c r="M103" s="22"/>
      <c r="N103" s="22"/>
      <c r="O103" s="23"/>
      <c r="P103" s="22"/>
      <c r="Q103" s="22"/>
      <c r="R103" s="23"/>
      <c r="S103" s="23"/>
      <c r="T103" s="84"/>
      <c r="U103" s="23"/>
      <c r="V103" s="84"/>
      <c r="W103" s="23"/>
      <c r="X103" s="84"/>
      <c r="Y103" s="23"/>
      <c r="Z103" s="84"/>
      <c r="AA103" s="23"/>
      <c r="AB103" s="23"/>
      <c r="AC103" s="7"/>
      <c r="AD103" s="7"/>
      <c r="AE103" s="63" t="str">
        <f aca="false">IF(Tasks[[#This Row],[Task Name]]="","",IF(Tasks[[#This Row],[_IsSummary]],MIN(INDEX(Tasks[_ShownFcstStart],Tasks[[#This Row],[_Row]]+1):INDEX(Tasks[_ShownFcstStart],Tasks[[#This Row],[_Row]]+Tasks[[#This Row],[_Descendants]])),Tasks[[#This Row],[_ShownFcstStart]]))</f>
        <v/>
      </c>
      <c r="AF103" s="63" t="str">
        <f aca="false">IF(Tasks[[#This Row],[Task Name]]="","",IF(Tasks[[#This Row],[_IsSummary]],MAX(INDEX(Tasks[_ShownFcstFinish],Tasks[[#This Row],[_Row]]+1):INDEX(Tasks[_ShownFcstFinish],Tasks[[#This Row],[_Row]]+Tasks[[#This Row],[_Descendants]])),Tasks[[#This Row],[_ShownFcstFinish]]))</f>
        <v/>
      </c>
      <c r="AG103" s="21" t="str">
        <f aca="false">""</f>
        <v/>
      </c>
      <c r="AH103" s="23"/>
      <c r="AI1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3" s="7"/>
      <c r="AK103" s="22"/>
      <c r="AL103" s="23"/>
      <c r="AM103" s="7"/>
      <c r="AN103" s="47" t="str">
        <f aca="false">IF(Tasks[[#This Row],[Task Name]]="","",IF(Tasks[[#This Row],[Finish]]&gt;=Tasks[[#This Row],[Planned Finish]],NETWORKDAYS.INTL(Tasks[[#This Row],[Planned Finish]],Tasks[[#This Row],[Finish]],WorkWeek,Holidays)-1,1-NETWORKDAYS.INTL(Tasks[[#This Row],[Finish]],Tasks[[#This Row],[Planned Finish]],WorkWeek,Holidays)))</f>
        <v/>
      </c>
      <c r="AO103" s="21" t="str">
        <f aca="false">IF(Tasks[[#This Row],[Task Name]]="","",IF(Tasks[[#This Row],[Progress]]&gt;=1,"Complete",IF(OR(N(Tasks[[#This Row],[Actual Start]])&gt;0,Tasks[[#This Row],[Progress]]&gt;0),IF(Tasks[[#This Row],[Finish Var]]&gt;0,"Behind","In Progress"),IF(Tasks[[#This Row],[Planned Start]]&lt;StatusDate,"Late Start","Not Started"))))</f>
        <v/>
      </c>
      <c r="AP103" s="21" t="str">
        <f aca="false">IF(Tasks[[#This Row],[Task Name]]="","",IF(IF(Tasks[[#This Row],[_IsSummary]],COUNTIF(INDEX(Tasks[_LeafCritical],Tasks[[#This Row],[_Row]]+1):INDEX(Tasks[_LeafCritical],Tasks[[#This Row],[_Row]]+Tasks[[#This Row],[_Descendants]]),TRUE())&gt;0,Tasks[[#This Row],[_LeafCritical]]),"Yes",""))</f>
        <v/>
      </c>
      <c r="AQ103" s="63" t="str">
        <f aca="false">IF(Tasks[[#This Row],[Task Name]]="","",IF(N(Tasks[[#This Row],[Baseline Start]])&gt;0,Tasks[[#This Row],[Baseline Start]],Tasks[[#This Row],[_CalcStart]]))</f>
        <v/>
      </c>
      <c r="AR103" s="63" t="str">
        <f aca="false">IF(Tasks[[#This Row],[Task Name]]="","",IF(N(Tasks[[#This Row],[Baseline Finish]])&gt;0,Tasks[[#This Row],[Baseline Finish]],Tasks[[#This Row],[_CalcFinish]]))</f>
        <v/>
      </c>
      <c r="AS103" s="47" t="str">
        <f aca="false">IF(Tasks[[#This Row],[Task Name]]="","",IF(Tasks[[#This Row],[Start]]&gt;=Tasks[[#This Row],[Planned Start]],NETWORKDAYS.INTL(Tasks[[#This Row],[Planned Start]],Tasks[[#This Row],[Start]],WorkWeek,Holidays)-1,1-NETWORKDAYS.INTL(Tasks[[#This Row],[Start]],Tasks[[#This Row],[Planned Start]],WorkWeek,Holidays)))</f>
        <v/>
      </c>
      <c r="AT103" s="63" t="str">
        <f aca="false">IF(Tasks[[#This Row],[Task Name]]="","",IF(Tasks[[#This Row],[_IsSummary]],MIN(INDEX(Tasks[_LeafLateStart],Tasks[[#This Row],[_Row]]+1):INDEX(Tasks[_LeafLateStart],Tasks[[#This Row],[_Row]]+Tasks[[#This Row],[_Descendants]])),Tasks[[#This Row],[_LeafLateStart]]))</f>
        <v/>
      </c>
      <c r="AU103" s="63" t="str">
        <f aca="false">IF(Tasks[[#This Row],[Task Name]]="","",IF(Tasks[[#This Row],[_IsSummary]],MAX(INDEX(Tasks[_LeafLateFinish],Tasks[[#This Row],[_Row]]+1):INDEX(Tasks[_LeafLateFinish],Tasks[[#This Row],[_Row]]+Tasks[[#This Row],[_Descendants]])),Tasks[[#This Row],[_LeafLateFinish]]))</f>
        <v/>
      </c>
      <c r="AV103" s="47" t="str">
        <f aca="false">IF(Tasks[[#This Row],[Task Name]]="","",IF(Tasks[[#This Row],[_IsSummary]],MIN(INDEX(Tasks[_LeafTotalSlack],Tasks[[#This Row],[_Row]]+1):INDEX(Tasks[_LeafTotalSlack],Tasks[[#This Row],[_Row]]+Tasks[[#This Row],[_Descendants]])),Tasks[[#This Row],[_LeafTotalSlack]]))</f>
        <v/>
      </c>
      <c r="AW1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5"/>
      <c r="BA10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1" t="str">
        <f aca="false">IF(Tasks[[#This Row],[Task Name]]="","",IF(Tasks[[#This Row],[_Level]]&lt;=OutlineShowLevel,"Yes","No"))</f>
        <v/>
      </c>
      <c r="BE103" s="86" t="str">
        <f aca="false">IF(Tasks[[#This Row],[Task Name]]="","",IF(Tasks[[#This Row],[_IsSummary]],SUM(INDEX(Tasks[_LeafTotalWork],Tasks[[#This Row],[_Row]]+1):INDEX(Tasks[_LeafTotalWork],Tasks[[#This Row],[_Row]]+Tasks[[#This Row],[_Descendants]])),Tasks[[#This Row],[_LeafTotalWork]]))</f>
        <v/>
      </c>
      <c r="BF103" s="23"/>
      <c r="BG1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3" s="21" t="str">
        <f aca="false">""</f>
        <v/>
      </c>
      <c r="BI103" s="87"/>
      <c r="BJ103" s="22"/>
      <c r="BK103" s="47" t="str">
        <f aca="false">IF(OR(Tasks[[#This Row],[Task Name]]="",Tasks[[#This Row],[Baseline Duration]]=""),"",Tasks[[#This Row],[_SpanDays]]-N(Tasks[[#This Row],[Baseline Duration]]))</f>
        <v/>
      </c>
      <c r="BL103" s="86" t="str">
        <f aca="false">IF(OR(Tasks[[#This Row],[Task Name]]="",Tasks[[#This Row],[Baseline Work]]=""),"",Tasks[[#This Row],[Work]]-N(Tasks[[#This Row],[Baseline Work]]))</f>
        <v/>
      </c>
      <c r="BM103" s="63" t="str">
        <f aca="false">IF(Tasks[[#This Row],[Task Name]]="","",IF(OR(TakeBaseline="Yes",N(Tasks[[#This Row],[Baseline Start]])=0),Tasks[[#This Row],[Start]],Tasks[[#This Row],[Baseline Start]]))</f>
        <v/>
      </c>
      <c r="BN103" s="63" t="str">
        <f aca="false">IF(Tasks[[#This Row],[Task Name]]="","",IF(OR(TakeBaseline="Yes",N(Tasks[[#This Row],[Baseline Finish]])=0),Tasks[[#This Row],[Finish]],Tasks[[#This Row],[Baseline Finish]]))</f>
        <v/>
      </c>
      <c r="BO103" s="21" t="str">
        <f aca="false">IF(Tasks[[#This Row],[Task Name]]="","",IF(OR(TakeBaseline="Yes",N(Tasks[[#This Row],[Baseline Duration]])=0),Tasks[[#This Row],[_SpanDays]],Tasks[[#This Row],[Baseline Duration]]))</f>
        <v/>
      </c>
      <c r="BP103" s="86" t="str">
        <f aca="false">IF(Tasks[[#This Row],[Task Name]]="","",IF(OR(TakeBaseline="Yes",N(Tasks[[#This Row],[Baseline Work]])=0),Tasks[[#This Row],[Work]],Tasks[[#This Row],[Baseline Work]]))</f>
        <v/>
      </c>
      <c r="BQ103" s="7"/>
      <c r="BR103" s="7"/>
      <c r="BS103" s="22"/>
      <c r="BT103" s="88"/>
      <c r="BU103" s="23"/>
      <c r="BV103" s="23"/>
      <c r="BW103" s="23"/>
      <c r="BX103" s="89" t="str">
        <f aca="false">IF(AND(Tasks[[#This Row],[_IsLeaf]]=1,ISNUMBER(Tasks[[#This Row],[Optimistic]]),ISNUMBER(Tasks[[#This Row],[Pessimistic]])),ROUND((Tasks[[#This Row],[Optimistic]]+4*N(Tasks[[#This Row],[_Days]])+Tasks[[#This Row],[Pessimistic]])/6,1),"")</f>
        <v/>
      </c>
      <c r="BY103" s="87"/>
      <c r="BZ103" s="87"/>
      <c r="CA103" s="22"/>
      <c r="CB103" s="43" t="str">
        <f aca="false">IF(Tasks[[#This Row],[Task Name]]="","",MAX(1,N(Tasks[[#This Row],[Level]])))</f>
        <v/>
      </c>
      <c r="CC103" s="43" t="n">
        <f aca="false">ROW()-ROW(Tasks[[#Headers],[ID]])</f>
        <v>98</v>
      </c>
      <c r="CD103" s="43" t="n">
        <f aca="false">IF(OR(Tasks[[#This Row],[Task Name]]="",Tasks[[#This Row],[_Level]]&lt;=1),0,IFERROR(LOOKUP(2,1/(Tasks[[#Headers],[_Level]]:Tasks[[#This Row],[_Level]]=Tasks[[#This Row],[_Level]]-1),ROW(Tasks[[#Headers],[_Level]]:Tasks[[#This Row],[_Level]])),0))</f>
        <v>0</v>
      </c>
      <c r="CE103" s="43" t="n">
        <f aca="false">IFERROR(N(INDEX(Tasks[_Level],Tasks[[#This Row],[_Row]]+1)),0)</f>
        <v>0</v>
      </c>
      <c r="CF103" s="90" t="b">
        <f aca="false">AND(Tasks[[#This Row],[Task Name]]&lt;&gt;"",Tasks[[#This Row],[_NextLevel]]&gt;Tasks[[#This Row],[_Level]])</f>
        <v>0</v>
      </c>
      <c r="CG103" s="43" t="n">
        <f aca="false">IF(Tasks[[#This Row],[_IsSummary]],COUNTIF(Tasks[WBS],Tasks[[#This Row],[WBS]]&amp;".*"),0)</f>
        <v>0</v>
      </c>
      <c r="CH103" s="43" t="n">
        <f aca="false">IF(AND(Tasks[[#This Row],[Task Name]]&lt;&gt;"",NOT(Tasks[[#This Row],[_IsSummary]])),1,0)</f>
        <v>0</v>
      </c>
      <c r="CI103" s="43" t="n">
        <f aca="false">IF(N(Tasks[[#This Row],[_Pred1UID]])=0,0,IFERROR(MATCH(Tasks[[#This Row],[_Pred1UID]],Tasks[UID],0),-1))</f>
        <v>0</v>
      </c>
      <c r="CJ103" s="43" t="n">
        <f aca="false">IF(N(Tasks[[#This Row],[_Pred2UID]])=0,0,IFERROR(MATCH(Tasks[[#This Row],[_Pred2UID]],Tasks[UID],0),-1))</f>
        <v>0</v>
      </c>
      <c r="CK103" s="43" t="n">
        <f aca="false">IF(N(Tasks[[#This Row],[_Pred3UID]])=0,0,IFERROR(MATCH(Tasks[[#This Row],[_Pred3UID]],Tasks[UID],0),-1))</f>
        <v>0</v>
      </c>
      <c r="CL103" s="43" t="n">
        <f aca="false">IF(N(Tasks[[#This Row],[_Pred4UID]])=0,0,IFERROR(MATCH(Tasks[[#This Row],[_Pred4UID]],Tasks[UID],0),-1))</f>
        <v>0</v>
      </c>
      <c r="CM10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3" s="91" t="n">
        <f aca="false">IF(OR(Tasks[[#This Row],[_ConstraintCode]]=2,Tasks[[#This Row],[_ConstraintCode]]=3,Tasks[[#This Row],[_ConstraintCode]]=4,Tasks[[#This Row],[_ConstraintCode]]=6),Tasks[[#This Row],[_ConstraintStart]],0)</f>
        <v>0</v>
      </c>
      <c r="CP103" s="91" t="n">
        <f aca="false">IF(OR(Tasks[[#This Row],[_ConstraintCode]]=2,Tasks[[#This Row],[_ConstraintCode]]=3,Tasks[[#This Row],[_ConstraintCode]]=5,Tasks[[#This Row],[_ConstraintCode]]=7),Tasks[[#This Row],[_ConstraintStart]],2958465)</f>
        <v>2958465</v>
      </c>
      <c r="CQ10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3" s="91" t="str">
        <f aca="false">IF(NOT(Tasks[[#This Row],[_IsLeaf]]=1),"",IF(N(Tasks[[#This Row],[_Days]])&lt;=0,Tasks[[#This Row],[_LeafCalcStart]],WORKDAY.INTL(Tasks[[#This Row],[_LeafCalcStart]],Tasks[[#This Row],[_Days]]-1,WorkWeek,Holidays)))</f>
        <v/>
      </c>
      <c r="CS10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3" s="43" t="str">
        <f aca="false">IF(Tasks[[#This Row],[_Predecessors]]="","",TRIM(MID(SUBSTITUTE(SUBSTITUTE(SUBSTITUTE(UPPER(Tasks[[#This Row],[_Predecessors]]),";",",")," ",""),",",REPT(" ",99)),1,99)))</f>
        <v/>
      </c>
      <c r="CV103" s="43" t="str">
        <f aca="false">IF(Tasks[[#This Row],[_Pred1Text]]="","",IFERROR(VALUE(LEFT(Tasks[[#This Row],[_Pred1Text]],MIN(FIND("F",Tasks[[#This Row],[_Pred1Text]]&amp;"F"),FIND("S",Tasks[[#This Row],[_Pred1Text]]&amp;"S"),FIND("+",Tasks[[#This Row],[_Pred1Text]]&amp;"+"),FIND("-",Tasks[[#This Row],[_Pred1Text]]&amp;"-"))-1)),""))</f>
        <v/>
      </c>
      <c r="CW10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3" s="43" t="str">
        <f aca="false">IF(Tasks[[#This Row],[_Pred1Text]]="","",TRIM(MID(SUBSTITUTE(SUBSTITUTE(SUBSTITUTE(UPPER(Tasks[[#This Row],[_Predecessors]]),";",",")," ",""),",",REPT(" ",99)),100,99)))</f>
        <v/>
      </c>
      <c r="CZ103" s="43" t="str">
        <f aca="false">IF(Tasks[[#This Row],[_Pred2Text]]="","",IFERROR(VALUE(LEFT(Tasks[[#This Row],[_Pred2Text]],MIN(FIND("F",Tasks[[#This Row],[_Pred2Text]]&amp;"F"),FIND("S",Tasks[[#This Row],[_Pred2Text]]&amp;"S"),FIND("+",Tasks[[#This Row],[_Pred2Text]]&amp;"+"),FIND("-",Tasks[[#This Row],[_Pred2Text]]&amp;"-"))-1)),""))</f>
        <v/>
      </c>
      <c r="DA10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3" s="43" t="str">
        <f aca="false">IF(Tasks[[#This Row],[_Pred2Text]]="","",TRIM(MID(SUBSTITUTE(SUBSTITUTE(SUBSTITUTE(UPPER(Tasks[[#This Row],[_Predecessors]]),";",",")," ",""),",",REPT(" ",99)),199,99)))</f>
        <v/>
      </c>
      <c r="DD103" s="43" t="str">
        <f aca="false">IF(Tasks[[#This Row],[_Pred3Text]]="","",IFERROR(VALUE(LEFT(Tasks[[#This Row],[_Pred3Text]],MIN(FIND("F",Tasks[[#This Row],[_Pred3Text]]&amp;"F"),FIND("S",Tasks[[#This Row],[_Pred3Text]]&amp;"S"),FIND("+",Tasks[[#This Row],[_Pred3Text]]&amp;"+"),FIND("-",Tasks[[#This Row],[_Pred3Text]]&amp;"-"))-1)),""))</f>
        <v/>
      </c>
      <c r="DE10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3" s="43" t="str">
        <f aca="false">IF(Tasks[[#This Row],[_Pred3Text]]="","",TRIM(MID(SUBSTITUTE(SUBSTITUTE(SUBSTITUTE(UPPER(Tasks[[#This Row],[_Predecessors]]),";",",")," ",""),",",REPT(" ",99)),298,99)))</f>
        <v/>
      </c>
      <c r="DH103" s="43" t="str">
        <f aca="false">IF(Tasks[[#This Row],[_Pred4Text]]="","",IFERROR(VALUE(LEFT(Tasks[[#This Row],[_Pred4Text]],MIN(FIND("F",Tasks[[#This Row],[_Pred4Text]]&amp;"F"),FIND("S",Tasks[[#This Row],[_Pred4Text]]&amp;"S"),FIND("+",Tasks[[#This Row],[_Pred4Text]]&amp;"+"),FIND("-",Tasks[[#This Row],[_Pred4Text]]&amp;"-"))-1)),""))</f>
        <v/>
      </c>
      <c r="DI10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3" s="43" t="str">
        <f aca="false">IF(OR(Tasks[[#This Row],[Task Name]]="",Tasks[[#This Row],[_Resources]]=""),"",TRIM(MID(SUBSTITUTE(Tasks[[#This Row],[_Resources]],",",REPT(" ",99)),1,99)))</f>
        <v/>
      </c>
      <c r="DL103" s="43" t="str">
        <f aca="false">IF(Tasks[[#This Row],[_Res1Text]]="","",TRIM(MID(SUBSTITUTE(Tasks[[#This Row],[_Resources]],",",REPT(" ",99)),100,99)))</f>
        <v/>
      </c>
      <c r="DM103" s="43" t="str">
        <f aca="false">IF(Tasks[[#This Row],[_Res2Text]]="","",TRIM(MID(SUBSTITUTE(Tasks[[#This Row],[_Resources]],",",REPT(" ",99)),199,99)))</f>
        <v/>
      </c>
      <c r="DN103" s="43" t="str">
        <f aca="false">IF(Tasks[[#This Row],[_Res3Text]]="","",TRIM(MID(SUBSTITUTE(Tasks[[#This Row],[_Resources]],",",REPT(" ",99)),298,99)))</f>
        <v/>
      </c>
      <c r="DO103" s="43" t="n">
        <f aca="false">IF(Tasks[[#This Row],[_Res1Text]]="",0,IFERROR(MATCH(TRIM(LEFT(Tasks[[#This Row],[_Res1Text]],FIND("[",Tasks[[#This Row],[_Res1Text]]&amp;"[")-1)),res_Name,0),IFERROR(MATCH(TRIM(LEFT(Tasks[[#This Row],[_Res1Text]],FIND("[",Tasks[[#This Row],[_Res1Text]]&amp;"[")-1)),res_Initials,0),0)))</f>
        <v>0</v>
      </c>
      <c r="DP103" s="43" t="n">
        <f aca="false">IF(Tasks[[#This Row],[_Res2Text]]="",0,IFERROR(MATCH(TRIM(LEFT(Tasks[[#This Row],[_Res2Text]],FIND("[",Tasks[[#This Row],[_Res2Text]]&amp;"[")-1)),res_Name,0),IFERROR(MATCH(TRIM(LEFT(Tasks[[#This Row],[_Res2Text]],FIND("[",Tasks[[#This Row],[_Res2Text]]&amp;"[")-1)),res_Initials,0),0)))</f>
        <v>0</v>
      </c>
      <c r="DQ103" s="43" t="n">
        <f aca="false">IF(Tasks[[#This Row],[_Res3Text]]="",0,IFERROR(MATCH(TRIM(LEFT(Tasks[[#This Row],[_Res3Text]],FIND("[",Tasks[[#This Row],[_Res3Text]]&amp;"[")-1)),res_Name,0),IFERROR(MATCH(TRIM(LEFT(Tasks[[#This Row],[_Res3Text]],FIND("[",Tasks[[#This Row],[_Res3Text]]&amp;"[")-1)),res_Initials,0),0)))</f>
        <v>0</v>
      </c>
      <c r="DR103" s="43" t="n">
        <f aca="false">IF(Tasks[[#This Row],[_Res4Text]]="",0,IFERROR(MATCH(TRIM(LEFT(Tasks[[#This Row],[_Res4Text]],FIND("[",Tasks[[#This Row],[_Res4Text]]&amp;"[")-1)),res_Name,0),IFERROR(MATCH(TRIM(LEFT(Tasks[[#This Row],[_Res4Text]],FIND("[",Tasks[[#This Row],[_Res4Text]]&amp;"[")-1)),res_Initials,0),0)))</f>
        <v>0</v>
      </c>
      <c r="DS103" s="43" t="str">
        <f aca="false">IF(Tasks[[#This Row],[_Res1Text]]="","",IF(Tasks[[#This Row],[_Res1Row]]&gt;0,INDEX(res_Name,Tasks[[#This Row],[_Res1Row]]),TRIM(LEFT(Tasks[[#This Row],[_Res1Text]],FIND("[",Tasks[[#This Row],[_Res1Text]]&amp;"[")-1))))</f>
        <v/>
      </c>
      <c r="DT10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3" s="43" t="n">
        <f aca="false">IF(NOT(Tasks[[#This Row],[_IsLeaf]]=1),0,(Tasks[[#This Row],[_Resource1]]&lt;&gt;"")+(Tasks[[#This Row],[_Res2]]&lt;&gt;"")+(Tasks[[#This Row],[_Res3]]&lt;&gt;"")+(Tasks[[#This Row],[_Res4]]&lt;&gt;""))</f>
        <v>0</v>
      </c>
      <c r="DV103" s="43" t="str">
        <f aca="false">IF(Tasks[[#This Row],[_Res2Text]]="","",IF(Tasks[[#This Row],[_Res2Row]]&gt;0,INDEX(res_Name,Tasks[[#This Row],[_Res2Row]]),TRIM(LEFT(Tasks[[#This Row],[_Res2Text]],FIND("[",Tasks[[#This Row],[_Res2Text]]&amp;"[")-1))))</f>
        <v/>
      </c>
      <c r="DW10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3" s="43" t="n">
        <f aca="false">IF(OR(NOT(Tasks[[#This Row],[_IsLeaf]]=1),Tasks[[#This Row],[_Res2Row]]=0),0,N(Tasks[[#This Row],[_Days]])*HoursPerDay*IF(Tasks[[#This Row],[_Res2Units]]="",DefaultUnits,Tasks[[#This Row],[_Res2Units]]))</f>
        <v>0</v>
      </c>
      <c r="DY103" s="43" t="n">
        <f aca="false">IF(AND(AND(Tasks[[#This Row],[_IsLeaf]]=1,Tasks[[#This Row],[_LeafTotalWork]]&gt;0),Tasks[[#This Row],[_Res2Work]]&gt;0),Tasks[[#This Row],[_Res2Work]]/(Tasks[[#This Row],[_FinishWorkday]]-Tasks[[#This Row],[_StartWorkday]]+1),0)</f>
        <v>0</v>
      </c>
      <c r="DZ103" s="43" t="n">
        <f aca="false">Tasks[[#This Row],[_Res2WorkPerWD]]*MAX(0,Tasks[[#This Row],[_StartWorkday]]-1)</f>
        <v>0</v>
      </c>
      <c r="EA103" s="43" t="n">
        <f aca="false">Tasks[[#This Row],[_Res2Work]]*Tasks[[#This Row],[_LeafProgress]]</f>
        <v>0</v>
      </c>
      <c r="EB103" s="43" t="str">
        <f aca="false">IF(Tasks[[#This Row],[_Res3Text]]="","",IF(Tasks[[#This Row],[_Res3Row]]&gt;0,INDEX(res_Name,Tasks[[#This Row],[_Res3Row]]),TRIM(LEFT(Tasks[[#This Row],[_Res3Text]],FIND("[",Tasks[[#This Row],[_Res3Text]]&amp;"[")-1))))</f>
        <v/>
      </c>
      <c r="EC10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3" s="43" t="n">
        <f aca="false">IF(OR(NOT(Tasks[[#This Row],[_IsLeaf]]=1),Tasks[[#This Row],[_Res3Row]]=0),0,N(Tasks[[#This Row],[_Days]])*HoursPerDay*IF(Tasks[[#This Row],[_Res3Units]]="",DefaultUnits,Tasks[[#This Row],[_Res3Units]]))</f>
        <v>0</v>
      </c>
      <c r="EE103" s="43" t="n">
        <f aca="false">IF(AND(AND(Tasks[[#This Row],[_IsLeaf]]=1,Tasks[[#This Row],[_LeafTotalWork]]&gt;0),Tasks[[#This Row],[_Res3Work]]&gt;0),Tasks[[#This Row],[_Res3Work]]/(Tasks[[#This Row],[_FinishWorkday]]-Tasks[[#This Row],[_StartWorkday]]+1),0)</f>
        <v>0</v>
      </c>
      <c r="EF103" s="43" t="n">
        <f aca="false">Tasks[[#This Row],[_Res3WorkPerWD]]*MAX(0,Tasks[[#This Row],[_StartWorkday]]-1)</f>
        <v>0</v>
      </c>
      <c r="EG103" s="43" t="n">
        <f aca="false">Tasks[[#This Row],[_Res3Work]]*Tasks[[#This Row],[_LeafProgress]]</f>
        <v>0</v>
      </c>
      <c r="EH103" s="43" t="str">
        <f aca="false">IF(Tasks[[#This Row],[_Res4Text]]="","",IF(Tasks[[#This Row],[_Res4Row]]&gt;0,INDEX(res_Name,Tasks[[#This Row],[_Res4Row]]),TRIM(LEFT(Tasks[[#This Row],[_Res4Text]],FIND("[",Tasks[[#This Row],[_Res4Text]]&amp;"[")-1))))</f>
        <v/>
      </c>
      <c r="EI10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3" s="43" t="n">
        <f aca="false">IF(OR(NOT(Tasks[[#This Row],[_IsLeaf]]=1),Tasks[[#This Row],[_Res4Row]]=0),0,N(Tasks[[#This Row],[_Days]])*HoursPerDay*IF(Tasks[[#This Row],[_Res4Units]]="",DefaultUnits,Tasks[[#This Row],[_Res4Units]]))</f>
        <v>0</v>
      </c>
      <c r="EK103" s="43" t="n">
        <f aca="false">IF(AND(AND(Tasks[[#This Row],[_IsLeaf]]=1,Tasks[[#This Row],[_LeafTotalWork]]&gt;0),Tasks[[#This Row],[_Res4Work]]&gt;0),Tasks[[#This Row],[_Res4Work]]/(Tasks[[#This Row],[_FinishWorkday]]-Tasks[[#This Row],[_StartWorkday]]+1),0)</f>
        <v>0</v>
      </c>
      <c r="EL103" s="43" t="n">
        <f aca="false">Tasks[[#This Row],[_Res4WorkPerWD]]*MAX(0,Tasks[[#This Row],[_StartWorkday]]-1)</f>
        <v>0</v>
      </c>
      <c r="EM103" s="43" t="n">
        <f aca="false">Tasks[[#This Row],[_Res4Work]]*Tasks[[#This Row],[_LeafProgress]]</f>
        <v>0</v>
      </c>
      <c r="EN103" s="43" t="n">
        <f aca="false">IF(ISNUMBER(Tasks[[#This Row],[% Complete]]),Tasks[[#This Row],[% Complete]],IF(Tasks[[#This Row],[Stage]]="",0,IFERROR(INDEX(stg_Pct,MATCH(Tasks[[#This Row],[Stage]],stg_Name,0)),0)))</f>
        <v>0</v>
      </c>
      <c r="EO103" s="43" t="n">
        <f aca="false">IF(NOT(Tasks[[#This Row],[_IsLeaf]]=1),0,IF(N(Tasks[[#This Row],[Actual Finish]])&gt;0,1,MIN(1,Tasks[[#This Row],[_Pct]])))</f>
        <v>0</v>
      </c>
      <c r="EP103" s="43" t="n">
        <f aca="false">IF(OR(NOT(Tasks[[#This Row],[_IsLeaf]]=1),Tasks[[#This Row],[_Res1Row]]=0),0,N(Tasks[[#This Row],[_Days]])*HoursPerDay*IF(Tasks[[#This Row],[_Units1]]="",DefaultUnits,Tasks[[#This Row],[_Units1]]))</f>
        <v>0</v>
      </c>
      <c r="EQ103" s="43" t="n">
        <f aca="false">Tasks[[#This Row],[_LeafWork]]+Tasks[[#This Row],[_Res2Work]]+Tasks[[#This Row],[_Res3Work]]+Tasks[[#This Row],[_Res4Work]]</f>
        <v>0</v>
      </c>
      <c r="ER10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3" s="43" t="n">
        <f aca="false">IF(NOT(Tasks[[#This Row],[_IsLeaf]]=1),0,MAX(_xlfn.MAXIFS(Tasks[_Row],Tasks[_Pred1UID],Tasks[[#This Row],[UID]]),_xlfn.MAXIFS(Tasks[_Row],Tasks[_Pred2UID],Tasks[[#This Row],[UID]]),_xlfn.MAXIFS(Tasks[_Row],Tasks[_Pred3UID],Tasks[[#This Row],[UID]]),_xlfn.MAXIFS(Tasks[_Row],Tasks[_Pred4UID],Tasks[[#This Row],[UID]])))</f>
        <v>0</v>
      </c>
      <c r="FA10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3" s="91" t="str">
        <f aca="false">IF(NOT(Tasks[[#This Row],[_IsLeaf]]=1),"",IF(N(Tasks[[#This Row],[_Days]])&lt;=0,Tasks[[#This Row],[_LeafLateFinish]],WORKDAY.INTL(Tasks[[#This Row],[_LeafLateFinish]],-(Tasks[[#This Row],[_Days]]-1),WorkWeek,Holidays)))</f>
        <v/>
      </c>
      <c r="FD10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3" s="90" t="b">
        <f aca="false">AND(Tasks[[#This Row],[_IsLeaf]]=1,Tasks[[#This Row],[_LeafProgress]]&lt;1,N(Tasks[[#This Row],[_LeafTotalSlack]])&lt;=CriticalSlackDays)</f>
        <v>0</v>
      </c>
      <c r="FF103" s="43" t="n">
        <f aca="false">IF(AND(Tasks[[#This Row],[_IsLeaf]]=1,Tasks[[#This Row],[_ConstraintCode]]=1,Tasks[[#This Row],[Mode]]&lt;&gt;"Manual",N(Tasks[[#This Row],[Actual Start]])=0),MAX(0,N(Tasks[[#This Row],[Free Slack]])),0)</f>
        <v>0</v>
      </c>
      <c r="FG103" s="91" t="str">
        <f aca="false">IF(NOT(Tasks[[#This Row],[_IsLeaf]]=1),"",IF(Tasks[[#This Row],[_AlapShift]]=0,Tasks[[#This Row],[_LeafCalcStart]],WORKDAY.INTL(Tasks[[#This Row],[_LeafCalcStart]],Tasks[[#This Row],[_AlapShift]],WorkWeek,Holidays)))</f>
        <v/>
      </c>
      <c r="FH103" s="91" t="str">
        <f aca="false">IF(NOT(Tasks[[#This Row],[_IsLeaf]]=1),"",IF(Tasks[[#This Row],[_AlapShift]]=0,Tasks[[#This Row],[_LeafCalcFinish]],WORKDAY.INTL(Tasks[[#This Row],[_LeafCalcFinish]],Tasks[[#This Row],[_AlapShift]],WorkWeek,Holidays)))</f>
        <v/>
      </c>
      <c r="FI103" s="91" t="str">
        <f aca="false">IF(NOT(Tasks[[#This Row],[_IsLeaf]]=1),"",IF(Tasks[[#This Row],[_AlapShift]]=0,Tasks[[#This Row],[_LeafFcstStart]],WORKDAY.INTL(Tasks[[#This Row],[_LeafFcstStart]],Tasks[[#This Row],[_AlapShift]],WorkWeek,Holidays)))</f>
        <v/>
      </c>
      <c r="FJ103" s="91" t="str">
        <f aca="false">IF(NOT(Tasks[[#This Row],[_IsLeaf]]=1),"",IF(Tasks[[#This Row],[_AlapShift]]=0,Tasks[[#This Row],[_LeafFcstFinish]],WORKDAY.INTL(Tasks[[#This Row],[_LeafFcstFinish]],Tasks[[#This Row],[_AlapShift]],WorkWeek,Holidays)))</f>
        <v/>
      </c>
      <c r="FK103" s="91" t="str">
        <f aca="false">IF(Tasks[[#This Row],[Task Name]]="","",IF(Tasks[[#This Row],[_IsSummary]],MIN(INDEX(Tasks[_ShownCalcStart],Tasks[[#This Row],[_Row]]+1):INDEX(Tasks[_ShownCalcStart],Tasks[[#This Row],[_Row]]+Tasks[[#This Row],[_Descendants]])),Tasks[[#This Row],[_ShownCalcStart]]))</f>
        <v/>
      </c>
      <c r="FL103" s="91" t="str">
        <f aca="false">IF(Tasks[[#This Row],[Task Name]]="","",IF(Tasks[[#This Row],[_IsSummary]],MAX(INDEX(Tasks[_ShownCalcFinish],Tasks[[#This Row],[_Row]]+1):INDEX(Tasks[_ShownCalcFinish],Tasks[[#This Row],[_Row]]+Tasks[[#This Row],[_Descendants]])),Tasks[[#This Row],[_ShownCalcFinish]]))</f>
        <v/>
      </c>
      <c r="FM10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3" s="43" t="n">
        <f aca="false">IF(AND(Tasks[[#This Row],[_IsLeaf]]=1,Tasks[[#This Row],[_LeafTotalWork]]&gt;0),NETWORKDAYS.INTL(ProjectStart,Tasks[[#This Row],[_ShownFcstStart]],WorkWeek,Holidays),0)</f>
        <v>0</v>
      </c>
      <c r="FZ103" s="43" t="n">
        <f aca="false">IF(AND(Tasks[[#This Row],[_IsLeaf]]=1,Tasks[[#This Row],[_LeafTotalWork]]&gt;0),MAX(Tasks[[#This Row],[_StartWorkday]],NETWORKDAYS.INTL(ProjectStart,Tasks[[#This Row],[_ShownFcstFinish]],WorkWeek,Holidays)),0)</f>
        <v>0</v>
      </c>
      <c r="GA103" s="43" t="n">
        <f aca="false">IF(AND(Tasks[[#This Row],[_IsLeaf]]=1,Tasks[[#This Row],[_LeafTotalWork]]&gt;0),Tasks[[#This Row],[_LeafWork]]/(Tasks[[#This Row],[_FinishWorkday]]-Tasks[[#This Row],[_StartWorkday]]+1),0)</f>
        <v>0</v>
      </c>
      <c r="GB103" s="43" t="n">
        <f aca="false">Tasks[[#This Row],[_WorkPerWorkday]]*(Tasks[[#This Row],[_StartWorkday]]-1)</f>
        <v>-0</v>
      </c>
      <c r="GC103" s="43" t="n">
        <f aca="false">IF(Tasks[[#This Row],[_IsLeaf]]=1,MAX(N(Tasks[[#This Row],[_Days]]),0.1),0)</f>
        <v>0</v>
      </c>
      <c r="GD103" s="43" t="n">
        <f aca="false">Tasks[[#This Row],[_WeightDur]]*Tasks[[#This Row],[_LeafProgress]]</f>
        <v>0</v>
      </c>
      <c r="GE103" s="43" t="n">
        <f aca="false">Tasks[[#This Row],[_WeightDur]]*Tasks[[#This Row],[_PlannedPct]]</f>
        <v>0</v>
      </c>
      <c r="GF10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3" s="43" t="str">
        <f aca="false">IF(AND(Tasks[[#This Row],[_IsLeaf]]=1,N(Tasks[[#This Row],[_Days]])=0,Tasks[[#This Row],[_LeafProgress]]&lt;1),Tasks[[#This Row],[_ShownFcstFinish]]+Tasks[[#This Row],[_Row]]/100000,"")</f>
        <v/>
      </c>
      <c r="GH10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3" s="43" t="str">
        <f aca="false">IF(Tasks[[#This Row],[Task Name]]="","",LEFT(Tasks[[#This Row],[WBS]],FIND(".",Tasks[[#This Row],[WBS]]&amp;".")-1))</f>
        <v/>
      </c>
      <c r="GJ103" s="43" t="str">
        <f aca="false">IF(AND(Tasks[[#This Row],[Task Name]]&lt;&gt;"",Tasks[[#This Row],[_Level]]=1),Tasks[[#This Row],[_Row]],"")</f>
        <v/>
      </c>
      <c r="GK103" s="43" t="str">
        <f aca="false">IF(AND(Tasks[[#This Row],[_IsLeaf]]=1,N(Tasks[[#This Row],[_Days]])=0),Tasks[[#This Row],[Planned Finish]]+Tasks[[#This Row],[_Row]]/100000,"")</f>
        <v/>
      </c>
      <c r="GL103" s="43" t="str">
        <f aca="false">IF(AND(Tasks[[#This Row],[_IsLeaf]]=1,Tasks[[#This Row],[_LeafProgress]]&lt;1,OR(N(Tasks[[#This Row],[Finish Var]])&gt;0,Tasks[[#This Row],[Status]]="Late Start")),MAX(0,Tasks[[#This Row],[Finish Var]])+1-Tasks[[#This Row],[_Row]]/1000000,"")</f>
        <v/>
      </c>
      <c r="GM103" s="43" t="str">
        <f aca="false">IF(AND(Tasks[[#This Row],[_IsLeaf]]=1,N(Tasks[[#This Row],[Actual Start]])=0,Tasks[[#This Row],[_ShownFcstStart]]&gt;=StatusDate,Tasks[[#This Row],[_ShownFcstStart]]&lt;=LookaheadEnd),Tasks[[#This Row],[_ShownFcstStart]]+Tasks[[#This Row],[_Row]]/100000,"")</f>
        <v/>
      </c>
      <c r="GN103" s="43" t="str">
        <f aca="false">IF(AND(Tasks[[#This Row],[_IsLeaf]]=1,Tasks[[#This Row],[_LeafProgress]]&lt;1,Tasks[[#This Row],[_ShownFcstFinish]]&gt;=StatusDate,Tasks[[#This Row],[_ShownFcstFinish]]&lt;=LookaheadEnd),Tasks[[#This Row],[_ShownFcstFinish]]+Tasks[[#This Row],[_Row]]/100000,"")</f>
        <v/>
      </c>
      <c r="GO103" s="43" t="str">
        <f aca="false">IF(Tasks[[#This Row],[_LeafCritical]],Tasks[[#This Row],[_ShownFcstStart]]+Tasks[[#This Row],[_Row]]/100000,"")</f>
        <v/>
      </c>
      <c r="GP103" s="43" t="n">
        <f aca="false">Tasks[[#This Row],[_LeafWork]]*Tasks[[#This Row],[_LeafProgress]]</f>
        <v>0</v>
      </c>
      <c r="GQ103" s="91" t="str">
        <f aca="false">IF(AND(Tasks[[#This Row],[_IsLeaf]]=1,Tasks[[#This Row],[_LeafProgress]]&gt;=1),IF(N(Tasks[[#This Row],[Actual Finish]])&gt;0,Tasks[[#This Row],[Actual Finish]],Tasks[[#This Row],[_ShownFcstFinish]]),"")</f>
        <v/>
      </c>
      <c r="GR103" s="43" t="n">
        <f aca="false">IF(Tasks[[#This Row],[_IsLeaf]]=1,N(Tasks[[#This Row],[Story Points]]),0)</f>
        <v>0</v>
      </c>
      <c r="GS103" s="43" t="str">
        <f aca="false">""</f>
        <v/>
      </c>
      <c r="GT103" s="90" t="b">
        <f aca="false">IF(Tasks[[#This Row],[Task Name]]="",FALSE(),AND(Tasks[[#This Row],[_IsLeaf]]=1,N(Tasks[[#This Row],[_Days]])=0))</f>
        <v>0</v>
      </c>
      <c r="GU103" s="91" t="n">
        <f aca="false">IF(Tasks[[#This Row],[Task Name]]="",0,IF(AND(Tasks[[#This Row],[_IsLeaf]]=1,NOT(Tasks[[#This Row],[_IsMilestone]]),N(Tasks[[#This Row],[Progress]])&gt;0),Tasks[[#This Row],[Start]],0))</f>
        <v>0</v>
      </c>
      <c r="GV103" s="91" t="n">
        <f aca="false">IF(Tasks[[#This Row],[_DoneFrom]]=0,0,IF(Tasks[[#This Row],[Progress]]&gt;=1,Tasks[[#This Row],[Finish]],MAX(Tasks[[#This Row],[_DoneFrom]],Tasks[[#This Row],[Start]]+ROUND((Tasks[[#This Row],[Finish]]-Tasks[[#This Row],[Start]]+1)*Tasks[[#This Row],[Progress]],0)-1)))</f>
        <v>0</v>
      </c>
      <c r="GW103" s="91" t="n">
        <f aca="false">IF(Tasks[[#This Row],[Task Name]]="",0,IF(OR(NOT(Tasks[[#This Row],[_IsLeaf]]=1),Tasks[[#This Row],[_IsMilestone]],N(Tasks[[#This Row],[Progress]])&gt;=1),0,IF(Tasks[[#This Row],[_DoneTo]]&gt;0,Tasks[[#This Row],[_DoneTo]]+1,Tasks[[#This Row],[Start]])))</f>
        <v>0</v>
      </c>
      <c r="GX103" s="91" t="n">
        <f aca="false">IF(Tasks[[#This Row],[_RemFrom]]=0,0,Tasks[[#This Row],[Finish]])</f>
        <v>0</v>
      </c>
      <c r="GY103" s="90" t="b">
        <f aca="false">IF(Tasks[[#This Row],[Task Name]]="",FALSE(),OR(NOT(BaselineSet),N(Tasks[[#This Row],[Baseline Start]])&gt;0))</f>
        <v>0</v>
      </c>
      <c r="GZ10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3" s="92" t="str">
        <f aca="false">IF(Tasks[[#This Row],[_IsLeaf]]=1,Tasks[[#This Row],[_Row]],"")</f>
        <v/>
      </c>
      <c r="HD103" s="92" t="str">
        <f aca="false">IFERROR(INDEX(Tasks[UID],SMALL(Tasks[_PickKey],Tasks[[#This Row],[_Row]]))&amp;" "&amp;INDEX(Tasks[Task Name],SMALL(Tasks[_PickKey],Tasks[[#This Row],[_Row]])),"")</f>
        <v/>
      </c>
      <c r="HE103" s="43" t="str">
        <f aca="false">IF(Tasks[[#This Row],[Task Name]]="","",IF(Tasks[[#This Row],[_IsSummary]],NETWORKDAYS.INTL(Tasks[[#This Row],[Start]],Tasks[[#This Row],[Finish]],WorkWeek,Holidays),N(Tasks[[#This Row],[_Days]])))</f>
        <v/>
      </c>
      <c r="HF103" s="43" t="n">
        <f aca="false">IF(Tasks[[#This Row],[Expected]]="",0,((Tasks[[#This Row],[Pessimistic]]-Tasks[[#This Row],[Optimistic]])/6)^2)</f>
        <v>0</v>
      </c>
      <c r="HG103" s="43" t="n">
        <f aca="false">IF(Tasks[[#This Row],[Expected]]="",0,Tasks[[#This Row],[Expected]]-N(Tasks[[#This Row],[_Days]]))</f>
        <v>0</v>
      </c>
    </row>
    <row r="104" customFormat="false" ht="15" hidden="false" customHeight="false" outlineLevel="0" collapsed="false">
      <c r="A104" s="21" t="str">
        <f aca="false">IF(Tasks[[#This Row],[Task Name]]="","",COUNTA(Tasks[[#Headers],[Task Name]]:Tasks[[#This Row],[Task Name]])-1)</f>
        <v/>
      </c>
      <c r="B104" s="22" t="n">
        <v>112</v>
      </c>
      <c r="C104" s="22"/>
      <c r="D104" s="23"/>
      <c r="E104" s="22"/>
      <c r="F104" s="23"/>
      <c r="G104" s="22"/>
      <c r="H104" s="22"/>
      <c r="I104" s="23"/>
      <c r="J104" s="22"/>
      <c r="K104" s="22"/>
      <c r="L104" s="23"/>
      <c r="M104" s="22"/>
      <c r="N104" s="22"/>
      <c r="O104" s="23"/>
      <c r="P104" s="22"/>
      <c r="Q104" s="22"/>
      <c r="R104" s="23"/>
      <c r="S104" s="23"/>
      <c r="T104" s="84"/>
      <c r="U104" s="23"/>
      <c r="V104" s="84"/>
      <c r="W104" s="23"/>
      <c r="X104" s="84"/>
      <c r="Y104" s="23"/>
      <c r="Z104" s="84"/>
      <c r="AA104" s="23"/>
      <c r="AB104" s="23"/>
      <c r="AC104" s="7"/>
      <c r="AD104" s="7"/>
      <c r="AE104" s="63" t="str">
        <f aca="false">IF(Tasks[[#This Row],[Task Name]]="","",IF(Tasks[[#This Row],[_IsSummary]],MIN(INDEX(Tasks[_ShownFcstStart],Tasks[[#This Row],[_Row]]+1):INDEX(Tasks[_ShownFcstStart],Tasks[[#This Row],[_Row]]+Tasks[[#This Row],[_Descendants]])),Tasks[[#This Row],[_ShownFcstStart]]))</f>
        <v/>
      </c>
      <c r="AF104" s="63" t="str">
        <f aca="false">IF(Tasks[[#This Row],[Task Name]]="","",IF(Tasks[[#This Row],[_IsSummary]],MAX(INDEX(Tasks[_ShownFcstFinish],Tasks[[#This Row],[_Row]]+1):INDEX(Tasks[_ShownFcstFinish],Tasks[[#This Row],[_Row]]+Tasks[[#This Row],[_Descendants]])),Tasks[[#This Row],[_ShownFcstFinish]]))</f>
        <v/>
      </c>
      <c r="AG104" s="21" t="str">
        <f aca="false">""</f>
        <v/>
      </c>
      <c r="AH104" s="23"/>
      <c r="AI1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4" s="7"/>
      <c r="AK104" s="22"/>
      <c r="AL104" s="23"/>
      <c r="AM104" s="7"/>
      <c r="AN104" s="47" t="str">
        <f aca="false">IF(Tasks[[#This Row],[Task Name]]="","",IF(Tasks[[#This Row],[Finish]]&gt;=Tasks[[#This Row],[Planned Finish]],NETWORKDAYS.INTL(Tasks[[#This Row],[Planned Finish]],Tasks[[#This Row],[Finish]],WorkWeek,Holidays)-1,1-NETWORKDAYS.INTL(Tasks[[#This Row],[Finish]],Tasks[[#This Row],[Planned Finish]],WorkWeek,Holidays)))</f>
        <v/>
      </c>
      <c r="AO104" s="21" t="str">
        <f aca="false">IF(Tasks[[#This Row],[Task Name]]="","",IF(Tasks[[#This Row],[Progress]]&gt;=1,"Complete",IF(OR(N(Tasks[[#This Row],[Actual Start]])&gt;0,Tasks[[#This Row],[Progress]]&gt;0),IF(Tasks[[#This Row],[Finish Var]]&gt;0,"Behind","In Progress"),IF(Tasks[[#This Row],[Planned Start]]&lt;StatusDate,"Late Start","Not Started"))))</f>
        <v/>
      </c>
      <c r="AP104" s="21" t="str">
        <f aca="false">IF(Tasks[[#This Row],[Task Name]]="","",IF(IF(Tasks[[#This Row],[_IsSummary]],COUNTIF(INDEX(Tasks[_LeafCritical],Tasks[[#This Row],[_Row]]+1):INDEX(Tasks[_LeafCritical],Tasks[[#This Row],[_Row]]+Tasks[[#This Row],[_Descendants]]),TRUE())&gt;0,Tasks[[#This Row],[_LeafCritical]]),"Yes",""))</f>
        <v/>
      </c>
      <c r="AQ104" s="63" t="str">
        <f aca="false">IF(Tasks[[#This Row],[Task Name]]="","",IF(N(Tasks[[#This Row],[Baseline Start]])&gt;0,Tasks[[#This Row],[Baseline Start]],Tasks[[#This Row],[_CalcStart]]))</f>
        <v/>
      </c>
      <c r="AR104" s="63" t="str">
        <f aca="false">IF(Tasks[[#This Row],[Task Name]]="","",IF(N(Tasks[[#This Row],[Baseline Finish]])&gt;0,Tasks[[#This Row],[Baseline Finish]],Tasks[[#This Row],[_CalcFinish]]))</f>
        <v/>
      </c>
      <c r="AS104" s="47" t="str">
        <f aca="false">IF(Tasks[[#This Row],[Task Name]]="","",IF(Tasks[[#This Row],[Start]]&gt;=Tasks[[#This Row],[Planned Start]],NETWORKDAYS.INTL(Tasks[[#This Row],[Planned Start]],Tasks[[#This Row],[Start]],WorkWeek,Holidays)-1,1-NETWORKDAYS.INTL(Tasks[[#This Row],[Start]],Tasks[[#This Row],[Planned Start]],WorkWeek,Holidays)))</f>
        <v/>
      </c>
      <c r="AT104" s="63" t="str">
        <f aca="false">IF(Tasks[[#This Row],[Task Name]]="","",IF(Tasks[[#This Row],[_IsSummary]],MIN(INDEX(Tasks[_LeafLateStart],Tasks[[#This Row],[_Row]]+1):INDEX(Tasks[_LeafLateStart],Tasks[[#This Row],[_Row]]+Tasks[[#This Row],[_Descendants]])),Tasks[[#This Row],[_LeafLateStart]]))</f>
        <v/>
      </c>
      <c r="AU104" s="63" t="str">
        <f aca="false">IF(Tasks[[#This Row],[Task Name]]="","",IF(Tasks[[#This Row],[_IsSummary]],MAX(INDEX(Tasks[_LeafLateFinish],Tasks[[#This Row],[_Row]]+1):INDEX(Tasks[_LeafLateFinish],Tasks[[#This Row],[_Row]]+Tasks[[#This Row],[_Descendants]])),Tasks[[#This Row],[_LeafLateFinish]]))</f>
        <v/>
      </c>
      <c r="AV104" s="47" t="str">
        <f aca="false">IF(Tasks[[#This Row],[Task Name]]="","",IF(Tasks[[#This Row],[_IsSummary]],MIN(INDEX(Tasks[_LeafTotalSlack],Tasks[[#This Row],[_Row]]+1):INDEX(Tasks[_LeafTotalSlack],Tasks[[#This Row],[_Row]]+Tasks[[#This Row],[_Descendants]])),Tasks[[#This Row],[_LeafTotalSlack]]))</f>
        <v/>
      </c>
      <c r="AW1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5"/>
      <c r="BA10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1" t="str">
        <f aca="false">IF(Tasks[[#This Row],[Task Name]]="","",IF(Tasks[[#This Row],[_Level]]&lt;=OutlineShowLevel,"Yes","No"))</f>
        <v/>
      </c>
      <c r="BE104" s="86" t="str">
        <f aca="false">IF(Tasks[[#This Row],[Task Name]]="","",IF(Tasks[[#This Row],[_IsSummary]],SUM(INDEX(Tasks[_LeafTotalWork],Tasks[[#This Row],[_Row]]+1):INDEX(Tasks[_LeafTotalWork],Tasks[[#This Row],[_Row]]+Tasks[[#This Row],[_Descendants]])),Tasks[[#This Row],[_LeafTotalWork]]))</f>
        <v/>
      </c>
      <c r="BF104" s="23"/>
      <c r="BG1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4" s="21" t="str">
        <f aca="false">""</f>
        <v/>
      </c>
      <c r="BI104" s="87"/>
      <c r="BJ104" s="22"/>
      <c r="BK104" s="47" t="str">
        <f aca="false">IF(OR(Tasks[[#This Row],[Task Name]]="",Tasks[[#This Row],[Baseline Duration]]=""),"",Tasks[[#This Row],[_SpanDays]]-N(Tasks[[#This Row],[Baseline Duration]]))</f>
        <v/>
      </c>
      <c r="BL104" s="86" t="str">
        <f aca="false">IF(OR(Tasks[[#This Row],[Task Name]]="",Tasks[[#This Row],[Baseline Work]]=""),"",Tasks[[#This Row],[Work]]-N(Tasks[[#This Row],[Baseline Work]]))</f>
        <v/>
      </c>
      <c r="BM104" s="63" t="str">
        <f aca="false">IF(Tasks[[#This Row],[Task Name]]="","",IF(OR(TakeBaseline="Yes",N(Tasks[[#This Row],[Baseline Start]])=0),Tasks[[#This Row],[Start]],Tasks[[#This Row],[Baseline Start]]))</f>
        <v/>
      </c>
      <c r="BN104" s="63" t="str">
        <f aca="false">IF(Tasks[[#This Row],[Task Name]]="","",IF(OR(TakeBaseline="Yes",N(Tasks[[#This Row],[Baseline Finish]])=0),Tasks[[#This Row],[Finish]],Tasks[[#This Row],[Baseline Finish]]))</f>
        <v/>
      </c>
      <c r="BO104" s="21" t="str">
        <f aca="false">IF(Tasks[[#This Row],[Task Name]]="","",IF(OR(TakeBaseline="Yes",N(Tasks[[#This Row],[Baseline Duration]])=0),Tasks[[#This Row],[_SpanDays]],Tasks[[#This Row],[Baseline Duration]]))</f>
        <v/>
      </c>
      <c r="BP104" s="86" t="str">
        <f aca="false">IF(Tasks[[#This Row],[Task Name]]="","",IF(OR(TakeBaseline="Yes",N(Tasks[[#This Row],[Baseline Work]])=0),Tasks[[#This Row],[Work]],Tasks[[#This Row],[Baseline Work]]))</f>
        <v/>
      </c>
      <c r="BQ104" s="7"/>
      <c r="BR104" s="7"/>
      <c r="BS104" s="22"/>
      <c r="BT104" s="88"/>
      <c r="BU104" s="23"/>
      <c r="BV104" s="23"/>
      <c r="BW104" s="23"/>
      <c r="BX104" s="89" t="str">
        <f aca="false">IF(AND(Tasks[[#This Row],[_IsLeaf]]=1,ISNUMBER(Tasks[[#This Row],[Optimistic]]),ISNUMBER(Tasks[[#This Row],[Pessimistic]])),ROUND((Tasks[[#This Row],[Optimistic]]+4*N(Tasks[[#This Row],[_Days]])+Tasks[[#This Row],[Pessimistic]])/6,1),"")</f>
        <v/>
      </c>
      <c r="BY104" s="87"/>
      <c r="BZ104" s="87"/>
      <c r="CA104" s="22"/>
      <c r="CB104" s="43" t="str">
        <f aca="false">IF(Tasks[[#This Row],[Task Name]]="","",MAX(1,N(Tasks[[#This Row],[Level]])))</f>
        <v/>
      </c>
      <c r="CC104" s="43" t="n">
        <f aca="false">ROW()-ROW(Tasks[[#Headers],[ID]])</f>
        <v>99</v>
      </c>
      <c r="CD104" s="43" t="n">
        <f aca="false">IF(OR(Tasks[[#This Row],[Task Name]]="",Tasks[[#This Row],[_Level]]&lt;=1),0,IFERROR(LOOKUP(2,1/(Tasks[[#Headers],[_Level]]:Tasks[[#This Row],[_Level]]=Tasks[[#This Row],[_Level]]-1),ROW(Tasks[[#Headers],[_Level]]:Tasks[[#This Row],[_Level]])),0))</f>
        <v>0</v>
      </c>
      <c r="CE104" s="43" t="n">
        <f aca="false">IFERROR(N(INDEX(Tasks[_Level],Tasks[[#This Row],[_Row]]+1)),0)</f>
        <v>0</v>
      </c>
      <c r="CF104" s="90" t="b">
        <f aca="false">AND(Tasks[[#This Row],[Task Name]]&lt;&gt;"",Tasks[[#This Row],[_NextLevel]]&gt;Tasks[[#This Row],[_Level]])</f>
        <v>0</v>
      </c>
      <c r="CG104" s="43" t="n">
        <f aca="false">IF(Tasks[[#This Row],[_IsSummary]],COUNTIF(Tasks[WBS],Tasks[[#This Row],[WBS]]&amp;".*"),0)</f>
        <v>0</v>
      </c>
      <c r="CH104" s="43" t="n">
        <f aca="false">IF(AND(Tasks[[#This Row],[Task Name]]&lt;&gt;"",NOT(Tasks[[#This Row],[_IsSummary]])),1,0)</f>
        <v>0</v>
      </c>
      <c r="CI104" s="43" t="n">
        <f aca="false">IF(N(Tasks[[#This Row],[_Pred1UID]])=0,0,IFERROR(MATCH(Tasks[[#This Row],[_Pred1UID]],Tasks[UID],0),-1))</f>
        <v>0</v>
      </c>
      <c r="CJ104" s="43" t="n">
        <f aca="false">IF(N(Tasks[[#This Row],[_Pred2UID]])=0,0,IFERROR(MATCH(Tasks[[#This Row],[_Pred2UID]],Tasks[UID],0),-1))</f>
        <v>0</v>
      </c>
      <c r="CK104" s="43" t="n">
        <f aca="false">IF(N(Tasks[[#This Row],[_Pred3UID]])=0,0,IFERROR(MATCH(Tasks[[#This Row],[_Pred3UID]],Tasks[UID],0),-1))</f>
        <v>0</v>
      </c>
      <c r="CL104" s="43" t="n">
        <f aca="false">IF(N(Tasks[[#This Row],[_Pred4UID]])=0,0,IFERROR(MATCH(Tasks[[#This Row],[_Pred4UID]],Tasks[UID],0),-1))</f>
        <v>0</v>
      </c>
      <c r="CM10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4" s="91" t="n">
        <f aca="false">IF(OR(Tasks[[#This Row],[_ConstraintCode]]=2,Tasks[[#This Row],[_ConstraintCode]]=3,Tasks[[#This Row],[_ConstraintCode]]=4,Tasks[[#This Row],[_ConstraintCode]]=6),Tasks[[#This Row],[_ConstraintStart]],0)</f>
        <v>0</v>
      </c>
      <c r="CP104" s="91" t="n">
        <f aca="false">IF(OR(Tasks[[#This Row],[_ConstraintCode]]=2,Tasks[[#This Row],[_ConstraintCode]]=3,Tasks[[#This Row],[_ConstraintCode]]=5,Tasks[[#This Row],[_ConstraintCode]]=7),Tasks[[#This Row],[_ConstraintStart]],2958465)</f>
        <v>2958465</v>
      </c>
      <c r="CQ10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4" s="91" t="str">
        <f aca="false">IF(NOT(Tasks[[#This Row],[_IsLeaf]]=1),"",IF(N(Tasks[[#This Row],[_Days]])&lt;=0,Tasks[[#This Row],[_LeafCalcStart]],WORKDAY.INTL(Tasks[[#This Row],[_LeafCalcStart]],Tasks[[#This Row],[_Days]]-1,WorkWeek,Holidays)))</f>
        <v/>
      </c>
      <c r="CS10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4" s="43" t="str">
        <f aca="false">IF(Tasks[[#This Row],[_Predecessors]]="","",TRIM(MID(SUBSTITUTE(SUBSTITUTE(SUBSTITUTE(UPPER(Tasks[[#This Row],[_Predecessors]]),";",",")," ",""),",",REPT(" ",99)),1,99)))</f>
        <v/>
      </c>
      <c r="CV104" s="43" t="str">
        <f aca="false">IF(Tasks[[#This Row],[_Pred1Text]]="","",IFERROR(VALUE(LEFT(Tasks[[#This Row],[_Pred1Text]],MIN(FIND("F",Tasks[[#This Row],[_Pred1Text]]&amp;"F"),FIND("S",Tasks[[#This Row],[_Pred1Text]]&amp;"S"),FIND("+",Tasks[[#This Row],[_Pred1Text]]&amp;"+"),FIND("-",Tasks[[#This Row],[_Pred1Text]]&amp;"-"))-1)),""))</f>
        <v/>
      </c>
      <c r="CW10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4" s="43" t="str">
        <f aca="false">IF(Tasks[[#This Row],[_Pred1Text]]="","",TRIM(MID(SUBSTITUTE(SUBSTITUTE(SUBSTITUTE(UPPER(Tasks[[#This Row],[_Predecessors]]),";",",")," ",""),",",REPT(" ",99)),100,99)))</f>
        <v/>
      </c>
      <c r="CZ104" s="43" t="str">
        <f aca="false">IF(Tasks[[#This Row],[_Pred2Text]]="","",IFERROR(VALUE(LEFT(Tasks[[#This Row],[_Pred2Text]],MIN(FIND("F",Tasks[[#This Row],[_Pred2Text]]&amp;"F"),FIND("S",Tasks[[#This Row],[_Pred2Text]]&amp;"S"),FIND("+",Tasks[[#This Row],[_Pred2Text]]&amp;"+"),FIND("-",Tasks[[#This Row],[_Pred2Text]]&amp;"-"))-1)),""))</f>
        <v/>
      </c>
      <c r="DA10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4" s="43" t="str">
        <f aca="false">IF(Tasks[[#This Row],[_Pred2Text]]="","",TRIM(MID(SUBSTITUTE(SUBSTITUTE(SUBSTITUTE(UPPER(Tasks[[#This Row],[_Predecessors]]),";",",")," ",""),",",REPT(" ",99)),199,99)))</f>
        <v/>
      </c>
      <c r="DD104" s="43" t="str">
        <f aca="false">IF(Tasks[[#This Row],[_Pred3Text]]="","",IFERROR(VALUE(LEFT(Tasks[[#This Row],[_Pred3Text]],MIN(FIND("F",Tasks[[#This Row],[_Pred3Text]]&amp;"F"),FIND("S",Tasks[[#This Row],[_Pred3Text]]&amp;"S"),FIND("+",Tasks[[#This Row],[_Pred3Text]]&amp;"+"),FIND("-",Tasks[[#This Row],[_Pred3Text]]&amp;"-"))-1)),""))</f>
        <v/>
      </c>
      <c r="DE10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4" s="43" t="str">
        <f aca="false">IF(Tasks[[#This Row],[_Pred3Text]]="","",TRIM(MID(SUBSTITUTE(SUBSTITUTE(SUBSTITUTE(UPPER(Tasks[[#This Row],[_Predecessors]]),";",",")," ",""),",",REPT(" ",99)),298,99)))</f>
        <v/>
      </c>
      <c r="DH104" s="43" t="str">
        <f aca="false">IF(Tasks[[#This Row],[_Pred4Text]]="","",IFERROR(VALUE(LEFT(Tasks[[#This Row],[_Pred4Text]],MIN(FIND("F",Tasks[[#This Row],[_Pred4Text]]&amp;"F"),FIND("S",Tasks[[#This Row],[_Pred4Text]]&amp;"S"),FIND("+",Tasks[[#This Row],[_Pred4Text]]&amp;"+"),FIND("-",Tasks[[#This Row],[_Pred4Text]]&amp;"-"))-1)),""))</f>
        <v/>
      </c>
      <c r="DI10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4" s="43" t="str">
        <f aca="false">IF(OR(Tasks[[#This Row],[Task Name]]="",Tasks[[#This Row],[_Resources]]=""),"",TRIM(MID(SUBSTITUTE(Tasks[[#This Row],[_Resources]],",",REPT(" ",99)),1,99)))</f>
        <v/>
      </c>
      <c r="DL104" s="43" t="str">
        <f aca="false">IF(Tasks[[#This Row],[_Res1Text]]="","",TRIM(MID(SUBSTITUTE(Tasks[[#This Row],[_Resources]],",",REPT(" ",99)),100,99)))</f>
        <v/>
      </c>
      <c r="DM104" s="43" t="str">
        <f aca="false">IF(Tasks[[#This Row],[_Res2Text]]="","",TRIM(MID(SUBSTITUTE(Tasks[[#This Row],[_Resources]],",",REPT(" ",99)),199,99)))</f>
        <v/>
      </c>
      <c r="DN104" s="43" t="str">
        <f aca="false">IF(Tasks[[#This Row],[_Res3Text]]="","",TRIM(MID(SUBSTITUTE(Tasks[[#This Row],[_Resources]],",",REPT(" ",99)),298,99)))</f>
        <v/>
      </c>
      <c r="DO104" s="43" t="n">
        <f aca="false">IF(Tasks[[#This Row],[_Res1Text]]="",0,IFERROR(MATCH(TRIM(LEFT(Tasks[[#This Row],[_Res1Text]],FIND("[",Tasks[[#This Row],[_Res1Text]]&amp;"[")-1)),res_Name,0),IFERROR(MATCH(TRIM(LEFT(Tasks[[#This Row],[_Res1Text]],FIND("[",Tasks[[#This Row],[_Res1Text]]&amp;"[")-1)),res_Initials,0),0)))</f>
        <v>0</v>
      </c>
      <c r="DP104" s="43" t="n">
        <f aca="false">IF(Tasks[[#This Row],[_Res2Text]]="",0,IFERROR(MATCH(TRIM(LEFT(Tasks[[#This Row],[_Res2Text]],FIND("[",Tasks[[#This Row],[_Res2Text]]&amp;"[")-1)),res_Name,0),IFERROR(MATCH(TRIM(LEFT(Tasks[[#This Row],[_Res2Text]],FIND("[",Tasks[[#This Row],[_Res2Text]]&amp;"[")-1)),res_Initials,0),0)))</f>
        <v>0</v>
      </c>
      <c r="DQ104" s="43" t="n">
        <f aca="false">IF(Tasks[[#This Row],[_Res3Text]]="",0,IFERROR(MATCH(TRIM(LEFT(Tasks[[#This Row],[_Res3Text]],FIND("[",Tasks[[#This Row],[_Res3Text]]&amp;"[")-1)),res_Name,0),IFERROR(MATCH(TRIM(LEFT(Tasks[[#This Row],[_Res3Text]],FIND("[",Tasks[[#This Row],[_Res3Text]]&amp;"[")-1)),res_Initials,0),0)))</f>
        <v>0</v>
      </c>
      <c r="DR104" s="43" t="n">
        <f aca="false">IF(Tasks[[#This Row],[_Res4Text]]="",0,IFERROR(MATCH(TRIM(LEFT(Tasks[[#This Row],[_Res4Text]],FIND("[",Tasks[[#This Row],[_Res4Text]]&amp;"[")-1)),res_Name,0),IFERROR(MATCH(TRIM(LEFT(Tasks[[#This Row],[_Res4Text]],FIND("[",Tasks[[#This Row],[_Res4Text]]&amp;"[")-1)),res_Initials,0),0)))</f>
        <v>0</v>
      </c>
      <c r="DS104" s="43" t="str">
        <f aca="false">IF(Tasks[[#This Row],[_Res1Text]]="","",IF(Tasks[[#This Row],[_Res1Row]]&gt;0,INDEX(res_Name,Tasks[[#This Row],[_Res1Row]]),TRIM(LEFT(Tasks[[#This Row],[_Res1Text]],FIND("[",Tasks[[#This Row],[_Res1Text]]&amp;"[")-1))))</f>
        <v/>
      </c>
      <c r="DT10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4" s="43" t="n">
        <f aca="false">IF(NOT(Tasks[[#This Row],[_IsLeaf]]=1),0,(Tasks[[#This Row],[_Resource1]]&lt;&gt;"")+(Tasks[[#This Row],[_Res2]]&lt;&gt;"")+(Tasks[[#This Row],[_Res3]]&lt;&gt;"")+(Tasks[[#This Row],[_Res4]]&lt;&gt;""))</f>
        <v>0</v>
      </c>
      <c r="DV104" s="43" t="str">
        <f aca="false">IF(Tasks[[#This Row],[_Res2Text]]="","",IF(Tasks[[#This Row],[_Res2Row]]&gt;0,INDEX(res_Name,Tasks[[#This Row],[_Res2Row]]),TRIM(LEFT(Tasks[[#This Row],[_Res2Text]],FIND("[",Tasks[[#This Row],[_Res2Text]]&amp;"[")-1))))</f>
        <v/>
      </c>
      <c r="DW10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4" s="43" t="n">
        <f aca="false">IF(OR(NOT(Tasks[[#This Row],[_IsLeaf]]=1),Tasks[[#This Row],[_Res2Row]]=0),0,N(Tasks[[#This Row],[_Days]])*HoursPerDay*IF(Tasks[[#This Row],[_Res2Units]]="",DefaultUnits,Tasks[[#This Row],[_Res2Units]]))</f>
        <v>0</v>
      </c>
      <c r="DY104" s="43" t="n">
        <f aca="false">IF(AND(AND(Tasks[[#This Row],[_IsLeaf]]=1,Tasks[[#This Row],[_LeafTotalWork]]&gt;0),Tasks[[#This Row],[_Res2Work]]&gt;0),Tasks[[#This Row],[_Res2Work]]/(Tasks[[#This Row],[_FinishWorkday]]-Tasks[[#This Row],[_StartWorkday]]+1),0)</f>
        <v>0</v>
      </c>
      <c r="DZ104" s="43" t="n">
        <f aca="false">Tasks[[#This Row],[_Res2WorkPerWD]]*MAX(0,Tasks[[#This Row],[_StartWorkday]]-1)</f>
        <v>0</v>
      </c>
      <c r="EA104" s="43" t="n">
        <f aca="false">Tasks[[#This Row],[_Res2Work]]*Tasks[[#This Row],[_LeafProgress]]</f>
        <v>0</v>
      </c>
      <c r="EB104" s="43" t="str">
        <f aca="false">IF(Tasks[[#This Row],[_Res3Text]]="","",IF(Tasks[[#This Row],[_Res3Row]]&gt;0,INDEX(res_Name,Tasks[[#This Row],[_Res3Row]]),TRIM(LEFT(Tasks[[#This Row],[_Res3Text]],FIND("[",Tasks[[#This Row],[_Res3Text]]&amp;"[")-1))))</f>
        <v/>
      </c>
      <c r="EC10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4" s="43" t="n">
        <f aca="false">IF(OR(NOT(Tasks[[#This Row],[_IsLeaf]]=1),Tasks[[#This Row],[_Res3Row]]=0),0,N(Tasks[[#This Row],[_Days]])*HoursPerDay*IF(Tasks[[#This Row],[_Res3Units]]="",DefaultUnits,Tasks[[#This Row],[_Res3Units]]))</f>
        <v>0</v>
      </c>
      <c r="EE104" s="43" t="n">
        <f aca="false">IF(AND(AND(Tasks[[#This Row],[_IsLeaf]]=1,Tasks[[#This Row],[_LeafTotalWork]]&gt;0),Tasks[[#This Row],[_Res3Work]]&gt;0),Tasks[[#This Row],[_Res3Work]]/(Tasks[[#This Row],[_FinishWorkday]]-Tasks[[#This Row],[_StartWorkday]]+1),0)</f>
        <v>0</v>
      </c>
      <c r="EF104" s="43" t="n">
        <f aca="false">Tasks[[#This Row],[_Res3WorkPerWD]]*MAX(0,Tasks[[#This Row],[_StartWorkday]]-1)</f>
        <v>0</v>
      </c>
      <c r="EG104" s="43" t="n">
        <f aca="false">Tasks[[#This Row],[_Res3Work]]*Tasks[[#This Row],[_LeafProgress]]</f>
        <v>0</v>
      </c>
      <c r="EH104" s="43" t="str">
        <f aca="false">IF(Tasks[[#This Row],[_Res4Text]]="","",IF(Tasks[[#This Row],[_Res4Row]]&gt;0,INDEX(res_Name,Tasks[[#This Row],[_Res4Row]]),TRIM(LEFT(Tasks[[#This Row],[_Res4Text]],FIND("[",Tasks[[#This Row],[_Res4Text]]&amp;"[")-1))))</f>
        <v/>
      </c>
      <c r="EI10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4" s="43" t="n">
        <f aca="false">IF(OR(NOT(Tasks[[#This Row],[_IsLeaf]]=1),Tasks[[#This Row],[_Res4Row]]=0),0,N(Tasks[[#This Row],[_Days]])*HoursPerDay*IF(Tasks[[#This Row],[_Res4Units]]="",DefaultUnits,Tasks[[#This Row],[_Res4Units]]))</f>
        <v>0</v>
      </c>
      <c r="EK104" s="43" t="n">
        <f aca="false">IF(AND(AND(Tasks[[#This Row],[_IsLeaf]]=1,Tasks[[#This Row],[_LeafTotalWork]]&gt;0),Tasks[[#This Row],[_Res4Work]]&gt;0),Tasks[[#This Row],[_Res4Work]]/(Tasks[[#This Row],[_FinishWorkday]]-Tasks[[#This Row],[_StartWorkday]]+1),0)</f>
        <v>0</v>
      </c>
      <c r="EL104" s="43" t="n">
        <f aca="false">Tasks[[#This Row],[_Res4WorkPerWD]]*MAX(0,Tasks[[#This Row],[_StartWorkday]]-1)</f>
        <v>0</v>
      </c>
      <c r="EM104" s="43" t="n">
        <f aca="false">Tasks[[#This Row],[_Res4Work]]*Tasks[[#This Row],[_LeafProgress]]</f>
        <v>0</v>
      </c>
      <c r="EN104" s="43" t="n">
        <f aca="false">IF(ISNUMBER(Tasks[[#This Row],[% Complete]]),Tasks[[#This Row],[% Complete]],IF(Tasks[[#This Row],[Stage]]="",0,IFERROR(INDEX(stg_Pct,MATCH(Tasks[[#This Row],[Stage]],stg_Name,0)),0)))</f>
        <v>0</v>
      </c>
      <c r="EO104" s="43" t="n">
        <f aca="false">IF(NOT(Tasks[[#This Row],[_IsLeaf]]=1),0,IF(N(Tasks[[#This Row],[Actual Finish]])&gt;0,1,MIN(1,Tasks[[#This Row],[_Pct]])))</f>
        <v>0</v>
      </c>
      <c r="EP104" s="43" t="n">
        <f aca="false">IF(OR(NOT(Tasks[[#This Row],[_IsLeaf]]=1),Tasks[[#This Row],[_Res1Row]]=0),0,N(Tasks[[#This Row],[_Days]])*HoursPerDay*IF(Tasks[[#This Row],[_Units1]]="",DefaultUnits,Tasks[[#This Row],[_Units1]]))</f>
        <v>0</v>
      </c>
      <c r="EQ104" s="43" t="n">
        <f aca="false">Tasks[[#This Row],[_LeafWork]]+Tasks[[#This Row],[_Res2Work]]+Tasks[[#This Row],[_Res3Work]]+Tasks[[#This Row],[_Res4Work]]</f>
        <v>0</v>
      </c>
      <c r="ER10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4" s="43" t="n">
        <f aca="false">IF(NOT(Tasks[[#This Row],[_IsLeaf]]=1),0,MAX(_xlfn.MAXIFS(Tasks[_Row],Tasks[_Pred1UID],Tasks[[#This Row],[UID]]),_xlfn.MAXIFS(Tasks[_Row],Tasks[_Pred2UID],Tasks[[#This Row],[UID]]),_xlfn.MAXIFS(Tasks[_Row],Tasks[_Pred3UID],Tasks[[#This Row],[UID]]),_xlfn.MAXIFS(Tasks[_Row],Tasks[_Pred4UID],Tasks[[#This Row],[UID]])))</f>
        <v>0</v>
      </c>
      <c r="FA10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4" s="91" t="str">
        <f aca="false">IF(NOT(Tasks[[#This Row],[_IsLeaf]]=1),"",IF(N(Tasks[[#This Row],[_Days]])&lt;=0,Tasks[[#This Row],[_LeafLateFinish]],WORKDAY.INTL(Tasks[[#This Row],[_LeafLateFinish]],-(Tasks[[#This Row],[_Days]]-1),WorkWeek,Holidays)))</f>
        <v/>
      </c>
      <c r="FD10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4" s="90" t="b">
        <f aca="false">AND(Tasks[[#This Row],[_IsLeaf]]=1,Tasks[[#This Row],[_LeafProgress]]&lt;1,N(Tasks[[#This Row],[_LeafTotalSlack]])&lt;=CriticalSlackDays)</f>
        <v>0</v>
      </c>
      <c r="FF104" s="43" t="n">
        <f aca="false">IF(AND(Tasks[[#This Row],[_IsLeaf]]=1,Tasks[[#This Row],[_ConstraintCode]]=1,Tasks[[#This Row],[Mode]]&lt;&gt;"Manual",N(Tasks[[#This Row],[Actual Start]])=0),MAX(0,N(Tasks[[#This Row],[Free Slack]])),0)</f>
        <v>0</v>
      </c>
      <c r="FG104" s="91" t="str">
        <f aca="false">IF(NOT(Tasks[[#This Row],[_IsLeaf]]=1),"",IF(Tasks[[#This Row],[_AlapShift]]=0,Tasks[[#This Row],[_LeafCalcStart]],WORKDAY.INTL(Tasks[[#This Row],[_LeafCalcStart]],Tasks[[#This Row],[_AlapShift]],WorkWeek,Holidays)))</f>
        <v/>
      </c>
      <c r="FH104" s="91" t="str">
        <f aca="false">IF(NOT(Tasks[[#This Row],[_IsLeaf]]=1),"",IF(Tasks[[#This Row],[_AlapShift]]=0,Tasks[[#This Row],[_LeafCalcFinish]],WORKDAY.INTL(Tasks[[#This Row],[_LeafCalcFinish]],Tasks[[#This Row],[_AlapShift]],WorkWeek,Holidays)))</f>
        <v/>
      </c>
      <c r="FI104" s="91" t="str">
        <f aca="false">IF(NOT(Tasks[[#This Row],[_IsLeaf]]=1),"",IF(Tasks[[#This Row],[_AlapShift]]=0,Tasks[[#This Row],[_LeafFcstStart]],WORKDAY.INTL(Tasks[[#This Row],[_LeafFcstStart]],Tasks[[#This Row],[_AlapShift]],WorkWeek,Holidays)))</f>
        <v/>
      </c>
      <c r="FJ104" s="91" t="str">
        <f aca="false">IF(NOT(Tasks[[#This Row],[_IsLeaf]]=1),"",IF(Tasks[[#This Row],[_AlapShift]]=0,Tasks[[#This Row],[_LeafFcstFinish]],WORKDAY.INTL(Tasks[[#This Row],[_LeafFcstFinish]],Tasks[[#This Row],[_AlapShift]],WorkWeek,Holidays)))</f>
        <v/>
      </c>
      <c r="FK104" s="91" t="str">
        <f aca="false">IF(Tasks[[#This Row],[Task Name]]="","",IF(Tasks[[#This Row],[_IsSummary]],MIN(INDEX(Tasks[_ShownCalcStart],Tasks[[#This Row],[_Row]]+1):INDEX(Tasks[_ShownCalcStart],Tasks[[#This Row],[_Row]]+Tasks[[#This Row],[_Descendants]])),Tasks[[#This Row],[_ShownCalcStart]]))</f>
        <v/>
      </c>
      <c r="FL104" s="91" t="str">
        <f aca="false">IF(Tasks[[#This Row],[Task Name]]="","",IF(Tasks[[#This Row],[_IsSummary]],MAX(INDEX(Tasks[_ShownCalcFinish],Tasks[[#This Row],[_Row]]+1):INDEX(Tasks[_ShownCalcFinish],Tasks[[#This Row],[_Row]]+Tasks[[#This Row],[_Descendants]])),Tasks[[#This Row],[_ShownCalcFinish]]))</f>
        <v/>
      </c>
      <c r="FM10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4" s="43" t="n">
        <f aca="false">IF(AND(Tasks[[#This Row],[_IsLeaf]]=1,Tasks[[#This Row],[_LeafTotalWork]]&gt;0),NETWORKDAYS.INTL(ProjectStart,Tasks[[#This Row],[_ShownFcstStart]],WorkWeek,Holidays),0)</f>
        <v>0</v>
      </c>
      <c r="FZ104" s="43" t="n">
        <f aca="false">IF(AND(Tasks[[#This Row],[_IsLeaf]]=1,Tasks[[#This Row],[_LeafTotalWork]]&gt;0),MAX(Tasks[[#This Row],[_StartWorkday]],NETWORKDAYS.INTL(ProjectStart,Tasks[[#This Row],[_ShownFcstFinish]],WorkWeek,Holidays)),0)</f>
        <v>0</v>
      </c>
      <c r="GA104" s="43" t="n">
        <f aca="false">IF(AND(Tasks[[#This Row],[_IsLeaf]]=1,Tasks[[#This Row],[_LeafTotalWork]]&gt;0),Tasks[[#This Row],[_LeafWork]]/(Tasks[[#This Row],[_FinishWorkday]]-Tasks[[#This Row],[_StartWorkday]]+1),0)</f>
        <v>0</v>
      </c>
      <c r="GB104" s="43" t="n">
        <f aca="false">Tasks[[#This Row],[_WorkPerWorkday]]*(Tasks[[#This Row],[_StartWorkday]]-1)</f>
        <v>-0</v>
      </c>
      <c r="GC104" s="43" t="n">
        <f aca="false">IF(Tasks[[#This Row],[_IsLeaf]]=1,MAX(N(Tasks[[#This Row],[_Days]]),0.1),0)</f>
        <v>0</v>
      </c>
      <c r="GD104" s="43" t="n">
        <f aca="false">Tasks[[#This Row],[_WeightDur]]*Tasks[[#This Row],[_LeafProgress]]</f>
        <v>0</v>
      </c>
      <c r="GE104" s="43" t="n">
        <f aca="false">Tasks[[#This Row],[_WeightDur]]*Tasks[[#This Row],[_PlannedPct]]</f>
        <v>0</v>
      </c>
      <c r="GF10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4" s="43" t="str">
        <f aca="false">IF(AND(Tasks[[#This Row],[_IsLeaf]]=1,N(Tasks[[#This Row],[_Days]])=0,Tasks[[#This Row],[_LeafProgress]]&lt;1),Tasks[[#This Row],[_ShownFcstFinish]]+Tasks[[#This Row],[_Row]]/100000,"")</f>
        <v/>
      </c>
      <c r="GH10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4" s="43" t="str">
        <f aca="false">IF(Tasks[[#This Row],[Task Name]]="","",LEFT(Tasks[[#This Row],[WBS]],FIND(".",Tasks[[#This Row],[WBS]]&amp;".")-1))</f>
        <v/>
      </c>
      <c r="GJ104" s="43" t="str">
        <f aca="false">IF(AND(Tasks[[#This Row],[Task Name]]&lt;&gt;"",Tasks[[#This Row],[_Level]]=1),Tasks[[#This Row],[_Row]],"")</f>
        <v/>
      </c>
      <c r="GK104" s="43" t="str">
        <f aca="false">IF(AND(Tasks[[#This Row],[_IsLeaf]]=1,N(Tasks[[#This Row],[_Days]])=0),Tasks[[#This Row],[Planned Finish]]+Tasks[[#This Row],[_Row]]/100000,"")</f>
        <v/>
      </c>
      <c r="GL104" s="43" t="str">
        <f aca="false">IF(AND(Tasks[[#This Row],[_IsLeaf]]=1,Tasks[[#This Row],[_LeafProgress]]&lt;1,OR(N(Tasks[[#This Row],[Finish Var]])&gt;0,Tasks[[#This Row],[Status]]="Late Start")),MAX(0,Tasks[[#This Row],[Finish Var]])+1-Tasks[[#This Row],[_Row]]/1000000,"")</f>
        <v/>
      </c>
      <c r="GM104" s="43" t="str">
        <f aca="false">IF(AND(Tasks[[#This Row],[_IsLeaf]]=1,N(Tasks[[#This Row],[Actual Start]])=0,Tasks[[#This Row],[_ShownFcstStart]]&gt;=StatusDate,Tasks[[#This Row],[_ShownFcstStart]]&lt;=LookaheadEnd),Tasks[[#This Row],[_ShownFcstStart]]+Tasks[[#This Row],[_Row]]/100000,"")</f>
        <v/>
      </c>
      <c r="GN104" s="43" t="str">
        <f aca="false">IF(AND(Tasks[[#This Row],[_IsLeaf]]=1,Tasks[[#This Row],[_LeafProgress]]&lt;1,Tasks[[#This Row],[_ShownFcstFinish]]&gt;=StatusDate,Tasks[[#This Row],[_ShownFcstFinish]]&lt;=LookaheadEnd),Tasks[[#This Row],[_ShownFcstFinish]]+Tasks[[#This Row],[_Row]]/100000,"")</f>
        <v/>
      </c>
      <c r="GO104" s="43" t="str">
        <f aca="false">IF(Tasks[[#This Row],[_LeafCritical]],Tasks[[#This Row],[_ShownFcstStart]]+Tasks[[#This Row],[_Row]]/100000,"")</f>
        <v/>
      </c>
      <c r="GP104" s="43" t="n">
        <f aca="false">Tasks[[#This Row],[_LeafWork]]*Tasks[[#This Row],[_LeafProgress]]</f>
        <v>0</v>
      </c>
      <c r="GQ104" s="91" t="str">
        <f aca="false">IF(AND(Tasks[[#This Row],[_IsLeaf]]=1,Tasks[[#This Row],[_LeafProgress]]&gt;=1),IF(N(Tasks[[#This Row],[Actual Finish]])&gt;0,Tasks[[#This Row],[Actual Finish]],Tasks[[#This Row],[_ShownFcstFinish]]),"")</f>
        <v/>
      </c>
      <c r="GR104" s="43" t="n">
        <f aca="false">IF(Tasks[[#This Row],[_IsLeaf]]=1,N(Tasks[[#This Row],[Story Points]]),0)</f>
        <v>0</v>
      </c>
      <c r="GS104" s="43" t="str">
        <f aca="false">""</f>
        <v/>
      </c>
      <c r="GT104" s="90" t="b">
        <f aca="false">IF(Tasks[[#This Row],[Task Name]]="",FALSE(),AND(Tasks[[#This Row],[_IsLeaf]]=1,N(Tasks[[#This Row],[_Days]])=0))</f>
        <v>0</v>
      </c>
      <c r="GU104" s="91" t="n">
        <f aca="false">IF(Tasks[[#This Row],[Task Name]]="",0,IF(AND(Tasks[[#This Row],[_IsLeaf]]=1,NOT(Tasks[[#This Row],[_IsMilestone]]),N(Tasks[[#This Row],[Progress]])&gt;0),Tasks[[#This Row],[Start]],0))</f>
        <v>0</v>
      </c>
      <c r="GV104" s="91" t="n">
        <f aca="false">IF(Tasks[[#This Row],[_DoneFrom]]=0,0,IF(Tasks[[#This Row],[Progress]]&gt;=1,Tasks[[#This Row],[Finish]],MAX(Tasks[[#This Row],[_DoneFrom]],Tasks[[#This Row],[Start]]+ROUND((Tasks[[#This Row],[Finish]]-Tasks[[#This Row],[Start]]+1)*Tasks[[#This Row],[Progress]],0)-1)))</f>
        <v>0</v>
      </c>
      <c r="GW104" s="91" t="n">
        <f aca="false">IF(Tasks[[#This Row],[Task Name]]="",0,IF(OR(NOT(Tasks[[#This Row],[_IsLeaf]]=1),Tasks[[#This Row],[_IsMilestone]],N(Tasks[[#This Row],[Progress]])&gt;=1),0,IF(Tasks[[#This Row],[_DoneTo]]&gt;0,Tasks[[#This Row],[_DoneTo]]+1,Tasks[[#This Row],[Start]])))</f>
        <v>0</v>
      </c>
      <c r="GX104" s="91" t="n">
        <f aca="false">IF(Tasks[[#This Row],[_RemFrom]]=0,0,Tasks[[#This Row],[Finish]])</f>
        <v>0</v>
      </c>
      <c r="GY104" s="90" t="b">
        <f aca="false">IF(Tasks[[#This Row],[Task Name]]="",FALSE(),OR(NOT(BaselineSet),N(Tasks[[#This Row],[Baseline Start]])&gt;0))</f>
        <v>0</v>
      </c>
      <c r="GZ10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4" s="92" t="str">
        <f aca="false">IF(Tasks[[#This Row],[_IsLeaf]]=1,Tasks[[#This Row],[_Row]],"")</f>
        <v/>
      </c>
      <c r="HD104" s="92" t="str">
        <f aca="false">IFERROR(INDEX(Tasks[UID],SMALL(Tasks[_PickKey],Tasks[[#This Row],[_Row]]))&amp;" "&amp;INDEX(Tasks[Task Name],SMALL(Tasks[_PickKey],Tasks[[#This Row],[_Row]])),"")</f>
        <v/>
      </c>
      <c r="HE104" s="43" t="str">
        <f aca="false">IF(Tasks[[#This Row],[Task Name]]="","",IF(Tasks[[#This Row],[_IsSummary]],NETWORKDAYS.INTL(Tasks[[#This Row],[Start]],Tasks[[#This Row],[Finish]],WorkWeek,Holidays),N(Tasks[[#This Row],[_Days]])))</f>
        <v/>
      </c>
      <c r="HF104" s="43" t="n">
        <f aca="false">IF(Tasks[[#This Row],[Expected]]="",0,((Tasks[[#This Row],[Pessimistic]]-Tasks[[#This Row],[Optimistic]])/6)^2)</f>
        <v>0</v>
      </c>
      <c r="HG104" s="43" t="n">
        <f aca="false">IF(Tasks[[#This Row],[Expected]]="",0,Tasks[[#This Row],[Expected]]-N(Tasks[[#This Row],[_Days]]))</f>
        <v>0</v>
      </c>
    </row>
    <row r="105" customFormat="false" ht="15" hidden="false" customHeight="false" outlineLevel="0" collapsed="false">
      <c r="A105" s="21" t="str">
        <f aca="false">IF(Tasks[[#This Row],[Task Name]]="","",COUNTA(Tasks[[#Headers],[Task Name]]:Tasks[[#This Row],[Task Name]])-1)</f>
        <v/>
      </c>
      <c r="B105" s="22" t="n">
        <v>113</v>
      </c>
      <c r="C105" s="22"/>
      <c r="D105" s="23"/>
      <c r="E105" s="22"/>
      <c r="F105" s="23"/>
      <c r="G105" s="22"/>
      <c r="H105" s="22"/>
      <c r="I105" s="23"/>
      <c r="J105" s="22"/>
      <c r="K105" s="22"/>
      <c r="L105" s="23"/>
      <c r="M105" s="22"/>
      <c r="N105" s="22"/>
      <c r="O105" s="23"/>
      <c r="P105" s="22"/>
      <c r="Q105" s="22"/>
      <c r="R105" s="23"/>
      <c r="S105" s="23"/>
      <c r="T105" s="84"/>
      <c r="U105" s="23"/>
      <c r="V105" s="84"/>
      <c r="W105" s="23"/>
      <c r="X105" s="84"/>
      <c r="Y105" s="23"/>
      <c r="Z105" s="84"/>
      <c r="AA105" s="23"/>
      <c r="AB105" s="23"/>
      <c r="AC105" s="7"/>
      <c r="AD105" s="7"/>
      <c r="AE105" s="63" t="str">
        <f aca="false">IF(Tasks[[#This Row],[Task Name]]="","",IF(Tasks[[#This Row],[_IsSummary]],MIN(INDEX(Tasks[_ShownFcstStart],Tasks[[#This Row],[_Row]]+1):INDEX(Tasks[_ShownFcstStart],Tasks[[#This Row],[_Row]]+Tasks[[#This Row],[_Descendants]])),Tasks[[#This Row],[_ShownFcstStart]]))</f>
        <v/>
      </c>
      <c r="AF105" s="63" t="str">
        <f aca="false">IF(Tasks[[#This Row],[Task Name]]="","",IF(Tasks[[#This Row],[_IsSummary]],MAX(INDEX(Tasks[_ShownFcstFinish],Tasks[[#This Row],[_Row]]+1):INDEX(Tasks[_ShownFcstFinish],Tasks[[#This Row],[_Row]]+Tasks[[#This Row],[_Descendants]])),Tasks[[#This Row],[_ShownFcstFinish]]))</f>
        <v/>
      </c>
      <c r="AG105" s="21" t="str">
        <f aca="false">""</f>
        <v/>
      </c>
      <c r="AH105" s="23"/>
      <c r="AI1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5" s="7"/>
      <c r="AK105" s="22"/>
      <c r="AL105" s="23"/>
      <c r="AM105" s="7"/>
      <c r="AN105" s="47" t="str">
        <f aca="false">IF(Tasks[[#This Row],[Task Name]]="","",IF(Tasks[[#This Row],[Finish]]&gt;=Tasks[[#This Row],[Planned Finish]],NETWORKDAYS.INTL(Tasks[[#This Row],[Planned Finish]],Tasks[[#This Row],[Finish]],WorkWeek,Holidays)-1,1-NETWORKDAYS.INTL(Tasks[[#This Row],[Finish]],Tasks[[#This Row],[Planned Finish]],WorkWeek,Holidays)))</f>
        <v/>
      </c>
      <c r="AO105" s="21" t="str">
        <f aca="false">IF(Tasks[[#This Row],[Task Name]]="","",IF(Tasks[[#This Row],[Progress]]&gt;=1,"Complete",IF(OR(N(Tasks[[#This Row],[Actual Start]])&gt;0,Tasks[[#This Row],[Progress]]&gt;0),IF(Tasks[[#This Row],[Finish Var]]&gt;0,"Behind","In Progress"),IF(Tasks[[#This Row],[Planned Start]]&lt;StatusDate,"Late Start","Not Started"))))</f>
        <v/>
      </c>
      <c r="AP105" s="21" t="str">
        <f aca="false">IF(Tasks[[#This Row],[Task Name]]="","",IF(IF(Tasks[[#This Row],[_IsSummary]],COUNTIF(INDEX(Tasks[_LeafCritical],Tasks[[#This Row],[_Row]]+1):INDEX(Tasks[_LeafCritical],Tasks[[#This Row],[_Row]]+Tasks[[#This Row],[_Descendants]]),TRUE())&gt;0,Tasks[[#This Row],[_LeafCritical]]),"Yes",""))</f>
        <v/>
      </c>
      <c r="AQ105" s="63" t="str">
        <f aca="false">IF(Tasks[[#This Row],[Task Name]]="","",IF(N(Tasks[[#This Row],[Baseline Start]])&gt;0,Tasks[[#This Row],[Baseline Start]],Tasks[[#This Row],[_CalcStart]]))</f>
        <v/>
      </c>
      <c r="AR105" s="63" t="str">
        <f aca="false">IF(Tasks[[#This Row],[Task Name]]="","",IF(N(Tasks[[#This Row],[Baseline Finish]])&gt;0,Tasks[[#This Row],[Baseline Finish]],Tasks[[#This Row],[_CalcFinish]]))</f>
        <v/>
      </c>
      <c r="AS105" s="47" t="str">
        <f aca="false">IF(Tasks[[#This Row],[Task Name]]="","",IF(Tasks[[#This Row],[Start]]&gt;=Tasks[[#This Row],[Planned Start]],NETWORKDAYS.INTL(Tasks[[#This Row],[Planned Start]],Tasks[[#This Row],[Start]],WorkWeek,Holidays)-1,1-NETWORKDAYS.INTL(Tasks[[#This Row],[Start]],Tasks[[#This Row],[Planned Start]],WorkWeek,Holidays)))</f>
        <v/>
      </c>
      <c r="AT105" s="63" t="str">
        <f aca="false">IF(Tasks[[#This Row],[Task Name]]="","",IF(Tasks[[#This Row],[_IsSummary]],MIN(INDEX(Tasks[_LeafLateStart],Tasks[[#This Row],[_Row]]+1):INDEX(Tasks[_LeafLateStart],Tasks[[#This Row],[_Row]]+Tasks[[#This Row],[_Descendants]])),Tasks[[#This Row],[_LeafLateStart]]))</f>
        <v/>
      </c>
      <c r="AU105" s="63" t="str">
        <f aca="false">IF(Tasks[[#This Row],[Task Name]]="","",IF(Tasks[[#This Row],[_IsSummary]],MAX(INDEX(Tasks[_LeafLateFinish],Tasks[[#This Row],[_Row]]+1):INDEX(Tasks[_LeafLateFinish],Tasks[[#This Row],[_Row]]+Tasks[[#This Row],[_Descendants]])),Tasks[[#This Row],[_LeafLateFinish]]))</f>
        <v/>
      </c>
      <c r="AV105" s="47" t="str">
        <f aca="false">IF(Tasks[[#This Row],[Task Name]]="","",IF(Tasks[[#This Row],[_IsSummary]],MIN(INDEX(Tasks[_LeafTotalSlack],Tasks[[#This Row],[_Row]]+1):INDEX(Tasks[_LeafTotalSlack],Tasks[[#This Row],[_Row]]+Tasks[[#This Row],[_Descendants]])),Tasks[[#This Row],[_LeafTotalSlack]]))</f>
        <v/>
      </c>
      <c r="AW1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5"/>
      <c r="BA10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1" t="str">
        <f aca="false">IF(Tasks[[#This Row],[Task Name]]="","",IF(Tasks[[#This Row],[_Level]]&lt;=OutlineShowLevel,"Yes","No"))</f>
        <v/>
      </c>
      <c r="BE105" s="86" t="str">
        <f aca="false">IF(Tasks[[#This Row],[Task Name]]="","",IF(Tasks[[#This Row],[_IsSummary]],SUM(INDEX(Tasks[_LeafTotalWork],Tasks[[#This Row],[_Row]]+1):INDEX(Tasks[_LeafTotalWork],Tasks[[#This Row],[_Row]]+Tasks[[#This Row],[_Descendants]])),Tasks[[#This Row],[_LeafTotalWork]]))</f>
        <v/>
      </c>
      <c r="BF105" s="23"/>
      <c r="BG1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5" s="21" t="str">
        <f aca="false">""</f>
        <v/>
      </c>
      <c r="BI105" s="87"/>
      <c r="BJ105" s="22"/>
      <c r="BK105" s="47" t="str">
        <f aca="false">IF(OR(Tasks[[#This Row],[Task Name]]="",Tasks[[#This Row],[Baseline Duration]]=""),"",Tasks[[#This Row],[_SpanDays]]-N(Tasks[[#This Row],[Baseline Duration]]))</f>
        <v/>
      </c>
      <c r="BL105" s="86" t="str">
        <f aca="false">IF(OR(Tasks[[#This Row],[Task Name]]="",Tasks[[#This Row],[Baseline Work]]=""),"",Tasks[[#This Row],[Work]]-N(Tasks[[#This Row],[Baseline Work]]))</f>
        <v/>
      </c>
      <c r="BM105" s="63" t="str">
        <f aca="false">IF(Tasks[[#This Row],[Task Name]]="","",IF(OR(TakeBaseline="Yes",N(Tasks[[#This Row],[Baseline Start]])=0),Tasks[[#This Row],[Start]],Tasks[[#This Row],[Baseline Start]]))</f>
        <v/>
      </c>
      <c r="BN105" s="63" t="str">
        <f aca="false">IF(Tasks[[#This Row],[Task Name]]="","",IF(OR(TakeBaseline="Yes",N(Tasks[[#This Row],[Baseline Finish]])=0),Tasks[[#This Row],[Finish]],Tasks[[#This Row],[Baseline Finish]]))</f>
        <v/>
      </c>
      <c r="BO105" s="21" t="str">
        <f aca="false">IF(Tasks[[#This Row],[Task Name]]="","",IF(OR(TakeBaseline="Yes",N(Tasks[[#This Row],[Baseline Duration]])=0),Tasks[[#This Row],[_SpanDays]],Tasks[[#This Row],[Baseline Duration]]))</f>
        <v/>
      </c>
      <c r="BP105" s="86" t="str">
        <f aca="false">IF(Tasks[[#This Row],[Task Name]]="","",IF(OR(TakeBaseline="Yes",N(Tasks[[#This Row],[Baseline Work]])=0),Tasks[[#This Row],[Work]],Tasks[[#This Row],[Baseline Work]]))</f>
        <v/>
      </c>
      <c r="BQ105" s="7"/>
      <c r="BR105" s="7"/>
      <c r="BS105" s="22"/>
      <c r="BT105" s="88"/>
      <c r="BU105" s="23"/>
      <c r="BV105" s="23"/>
      <c r="BW105" s="23"/>
      <c r="BX105" s="89" t="str">
        <f aca="false">IF(AND(Tasks[[#This Row],[_IsLeaf]]=1,ISNUMBER(Tasks[[#This Row],[Optimistic]]),ISNUMBER(Tasks[[#This Row],[Pessimistic]])),ROUND((Tasks[[#This Row],[Optimistic]]+4*N(Tasks[[#This Row],[_Days]])+Tasks[[#This Row],[Pessimistic]])/6,1),"")</f>
        <v/>
      </c>
      <c r="BY105" s="87"/>
      <c r="BZ105" s="87"/>
      <c r="CA105" s="22"/>
      <c r="CB105" s="43" t="str">
        <f aca="false">IF(Tasks[[#This Row],[Task Name]]="","",MAX(1,N(Tasks[[#This Row],[Level]])))</f>
        <v/>
      </c>
      <c r="CC105" s="43" t="n">
        <f aca="false">ROW()-ROW(Tasks[[#Headers],[ID]])</f>
        <v>100</v>
      </c>
      <c r="CD105" s="43" t="n">
        <f aca="false">IF(OR(Tasks[[#This Row],[Task Name]]="",Tasks[[#This Row],[_Level]]&lt;=1),0,IFERROR(LOOKUP(2,1/(Tasks[[#Headers],[_Level]]:Tasks[[#This Row],[_Level]]=Tasks[[#This Row],[_Level]]-1),ROW(Tasks[[#Headers],[_Level]]:Tasks[[#This Row],[_Level]])),0))</f>
        <v>0</v>
      </c>
      <c r="CE105" s="43" t="n">
        <f aca="false">IFERROR(N(INDEX(Tasks[_Level],Tasks[[#This Row],[_Row]]+1)),0)</f>
        <v>0</v>
      </c>
      <c r="CF105" s="90" t="b">
        <f aca="false">AND(Tasks[[#This Row],[Task Name]]&lt;&gt;"",Tasks[[#This Row],[_NextLevel]]&gt;Tasks[[#This Row],[_Level]])</f>
        <v>0</v>
      </c>
      <c r="CG105" s="43" t="n">
        <f aca="false">IF(Tasks[[#This Row],[_IsSummary]],COUNTIF(Tasks[WBS],Tasks[[#This Row],[WBS]]&amp;".*"),0)</f>
        <v>0</v>
      </c>
      <c r="CH105" s="43" t="n">
        <f aca="false">IF(AND(Tasks[[#This Row],[Task Name]]&lt;&gt;"",NOT(Tasks[[#This Row],[_IsSummary]])),1,0)</f>
        <v>0</v>
      </c>
      <c r="CI105" s="43" t="n">
        <f aca="false">IF(N(Tasks[[#This Row],[_Pred1UID]])=0,0,IFERROR(MATCH(Tasks[[#This Row],[_Pred1UID]],Tasks[UID],0),-1))</f>
        <v>0</v>
      </c>
      <c r="CJ105" s="43" t="n">
        <f aca="false">IF(N(Tasks[[#This Row],[_Pred2UID]])=0,0,IFERROR(MATCH(Tasks[[#This Row],[_Pred2UID]],Tasks[UID],0),-1))</f>
        <v>0</v>
      </c>
      <c r="CK105" s="43" t="n">
        <f aca="false">IF(N(Tasks[[#This Row],[_Pred3UID]])=0,0,IFERROR(MATCH(Tasks[[#This Row],[_Pred3UID]],Tasks[UID],0),-1))</f>
        <v>0</v>
      </c>
      <c r="CL105" s="43" t="n">
        <f aca="false">IF(N(Tasks[[#This Row],[_Pred4UID]])=0,0,IFERROR(MATCH(Tasks[[#This Row],[_Pred4UID]],Tasks[UID],0),-1))</f>
        <v>0</v>
      </c>
      <c r="CM10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5" s="91" t="n">
        <f aca="false">IF(OR(Tasks[[#This Row],[_ConstraintCode]]=2,Tasks[[#This Row],[_ConstraintCode]]=3,Tasks[[#This Row],[_ConstraintCode]]=4,Tasks[[#This Row],[_ConstraintCode]]=6),Tasks[[#This Row],[_ConstraintStart]],0)</f>
        <v>0</v>
      </c>
      <c r="CP105" s="91" t="n">
        <f aca="false">IF(OR(Tasks[[#This Row],[_ConstraintCode]]=2,Tasks[[#This Row],[_ConstraintCode]]=3,Tasks[[#This Row],[_ConstraintCode]]=5,Tasks[[#This Row],[_ConstraintCode]]=7),Tasks[[#This Row],[_ConstraintStart]],2958465)</f>
        <v>2958465</v>
      </c>
      <c r="CQ10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5" s="91" t="str">
        <f aca="false">IF(NOT(Tasks[[#This Row],[_IsLeaf]]=1),"",IF(N(Tasks[[#This Row],[_Days]])&lt;=0,Tasks[[#This Row],[_LeafCalcStart]],WORKDAY.INTL(Tasks[[#This Row],[_LeafCalcStart]],Tasks[[#This Row],[_Days]]-1,WorkWeek,Holidays)))</f>
        <v/>
      </c>
      <c r="CS10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5" s="43" t="str">
        <f aca="false">IF(Tasks[[#This Row],[_Predecessors]]="","",TRIM(MID(SUBSTITUTE(SUBSTITUTE(SUBSTITUTE(UPPER(Tasks[[#This Row],[_Predecessors]]),";",",")," ",""),",",REPT(" ",99)),1,99)))</f>
        <v/>
      </c>
      <c r="CV105" s="43" t="str">
        <f aca="false">IF(Tasks[[#This Row],[_Pred1Text]]="","",IFERROR(VALUE(LEFT(Tasks[[#This Row],[_Pred1Text]],MIN(FIND("F",Tasks[[#This Row],[_Pred1Text]]&amp;"F"),FIND("S",Tasks[[#This Row],[_Pred1Text]]&amp;"S"),FIND("+",Tasks[[#This Row],[_Pred1Text]]&amp;"+"),FIND("-",Tasks[[#This Row],[_Pred1Text]]&amp;"-"))-1)),""))</f>
        <v/>
      </c>
      <c r="CW10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5" s="43" t="str">
        <f aca="false">IF(Tasks[[#This Row],[_Pred1Text]]="","",TRIM(MID(SUBSTITUTE(SUBSTITUTE(SUBSTITUTE(UPPER(Tasks[[#This Row],[_Predecessors]]),";",",")," ",""),",",REPT(" ",99)),100,99)))</f>
        <v/>
      </c>
      <c r="CZ105" s="43" t="str">
        <f aca="false">IF(Tasks[[#This Row],[_Pred2Text]]="","",IFERROR(VALUE(LEFT(Tasks[[#This Row],[_Pred2Text]],MIN(FIND("F",Tasks[[#This Row],[_Pred2Text]]&amp;"F"),FIND("S",Tasks[[#This Row],[_Pred2Text]]&amp;"S"),FIND("+",Tasks[[#This Row],[_Pred2Text]]&amp;"+"),FIND("-",Tasks[[#This Row],[_Pred2Text]]&amp;"-"))-1)),""))</f>
        <v/>
      </c>
      <c r="DA10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5" s="43" t="str">
        <f aca="false">IF(Tasks[[#This Row],[_Pred2Text]]="","",TRIM(MID(SUBSTITUTE(SUBSTITUTE(SUBSTITUTE(UPPER(Tasks[[#This Row],[_Predecessors]]),";",",")," ",""),",",REPT(" ",99)),199,99)))</f>
        <v/>
      </c>
      <c r="DD105" s="43" t="str">
        <f aca="false">IF(Tasks[[#This Row],[_Pred3Text]]="","",IFERROR(VALUE(LEFT(Tasks[[#This Row],[_Pred3Text]],MIN(FIND("F",Tasks[[#This Row],[_Pred3Text]]&amp;"F"),FIND("S",Tasks[[#This Row],[_Pred3Text]]&amp;"S"),FIND("+",Tasks[[#This Row],[_Pred3Text]]&amp;"+"),FIND("-",Tasks[[#This Row],[_Pred3Text]]&amp;"-"))-1)),""))</f>
        <v/>
      </c>
      <c r="DE10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5" s="43" t="str">
        <f aca="false">IF(Tasks[[#This Row],[_Pred3Text]]="","",TRIM(MID(SUBSTITUTE(SUBSTITUTE(SUBSTITUTE(UPPER(Tasks[[#This Row],[_Predecessors]]),";",",")," ",""),",",REPT(" ",99)),298,99)))</f>
        <v/>
      </c>
      <c r="DH105" s="43" t="str">
        <f aca="false">IF(Tasks[[#This Row],[_Pred4Text]]="","",IFERROR(VALUE(LEFT(Tasks[[#This Row],[_Pred4Text]],MIN(FIND("F",Tasks[[#This Row],[_Pred4Text]]&amp;"F"),FIND("S",Tasks[[#This Row],[_Pred4Text]]&amp;"S"),FIND("+",Tasks[[#This Row],[_Pred4Text]]&amp;"+"),FIND("-",Tasks[[#This Row],[_Pred4Text]]&amp;"-"))-1)),""))</f>
        <v/>
      </c>
      <c r="DI10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5" s="43" t="str">
        <f aca="false">IF(OR(Tasks[[#This Row],[Task Name]]="",Tasks[[#This Row],[_Resources]]=""),"",TRIM(MID(SUBSTITUTE(Tasks[[#This Row],[_Resources]],",",REPT(" ",99)),1,99)))</f>
        <v/>
      </c>
      <c r="DL105" s="43" t="str">
        <f aca="false">IF(Tasks[[#This Row],[_Res1Text]]="","",TRIM(MID(SUBSTITUTE(Tasks[[#This Row],[_Resources]],",",REPT(" ",99)),100,99)))</f>
        <v/>
      </c>
      <c r="DM105" s="43" t="str">
        <f aca="false">IF(Tasks[[#This Row],[_Res2Text]]="","",TRIM(MID(SUBSTITUTE(Tasks[[#This Row],[_Resources]],",",REPT(" ",99)),199,99)))</f>
        <v/>
      </c>
      <c r="DN105" s="43" t="str">
        <f aca="false">IF(Tasks[[#This Row],[_Res3Text]]="","",TRIM(MID(SUBSTITUTE(Tasks[[#This Row],[_Resources]],",",REPT(" ",99)),298,99)))</f>
        <v/>
      </c>
      <c r="DO105" s="43" t="n">
        <f aca="false">IF(Tasks[[#This Row],[_Res1Text]]="",0,IFERROR(MATCH(TRIM(LEFT(Tasks[[#This Row],[_Res1Text]],FIND("[",Tasks[[#This Row],[_Res1Text]]&amp;"[")-1)),res_Name,0),IFERROR(MATCH(TRIM(LEFT(Tasks[[#This Row],[_Res1Text]],FIND("[",Tasks[[#This Row],[_Res1Text]]&amp;"[")-1)),res_Initials,0),0)))</f>
        <v>0</v>
      </c>
      <c r="DP105" s="43" t="n">
        <f aca="false">IF(Tasks[[#This Row],[_Res2Text]]="",0,IFERROR(MATCH(TRIM(LEFT(Tasks[[#This Row],[_Res2Text]],FIND("[",Tasks[[#This Row],[_Res2Text]]&amp;"[")-1)),res_Name,0),IFERROR(MATCH(TRIM(LEFT(Tasks[[#This Row],[_Res2Text]],FIND("[",Tasks[[#This Row],[_Res2Text]]&amp;"[")-1)),res_Initials,0),0)))</f>
        <v>0</v>
      </c>
      <c r="DQ105" s="43" t="n">
        <f aca="false">IF(Tasks[[#This Row],[_Res3Text]]="",0,IFERROR(MATCH(TRIM(LEFT(Tasks[[#This Row],[_Res3Text]],FIND("[",Tasks[[#This Row],[_Res3Text]]&amp;"[")-1)),res_Name,0),IFERROR(MATCH(TRIM(LEFT(Tasks[[#This Row],[_Res3Text]],FIND("[",Tasks[[#This Row],[_Res3Text]]&amp;"[")-1)),res_Initials,0),0)))</f>
        <v>0</v>
      </c>
      <c r="DR105" s="43" t="n">
        <f aca="false">IF(Tasks[[#This Row],[_Res4Text]]="",0,IFERROR(MATCH(TRIM(LEFT(Tasks[[#This Row],[_Res4Text]],FIND("[",Tasks[[#This Row],[_Res4Text]]&amp;"[")-1)),res_Name,0),IFERROR(MATCH(TRIM(LEFT(Tasks[[#This Row],[_Res4Text]],FIND("[",Tasks[[#This Row],[_Res4Text]]&amp;"[")-1)),res_Initials,0),0)))</f>
        <v>0</v>
      </c>
      <c r="DS105" s="43" t="str">
        <f aca="false">IF(Tasks[[#This Row],[_Res1Text]]="","",IF(Tasks[[#This Row],[_Res1Row]]&gt;0,INDEX(res_Name,Tasks[[#This Row],[_Res1Row]]),TRIM(LEFT(Tasks[[#This Row],[_Res1Text]],FIND("[",Tasks[[#This Row],[_Res1Text]]&amp;"[")-1))))</f>
        <v/>
      </c>
      <c r="DT10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5" s="43" t="n">
        <f aca="false">IF(NOT(Tasks[[#This Row],[_IsLeaf]]=1),0,(Tasks[[#This Row],[_Resource1]]&lt;&gt;"")+(Tasks[[#This Row],[_Res2]]&lt;&gt;"")+(Tasks[[#This Row],[_Res3]]&lt;&gt;"")+(Tasks[[#This Row],[_Res4]]&lt;&gt;""))</f>
        <v>0</v>
      </c>
      <c r="DV105" s="43" t="str">
        <f aca="false">IF(Tasks[[#This Row],[_Res2Text]]="","",IF(Tasks[[#This Row],[_Res2Row]]&gt;0,INDEX(res_Name,Tasks[[#This Row],[_Res2Row]]),TRIM(LEFT(Tasks[[#This Row],[_Res2Text]],FIND("[",Tasks[[#This Row],[_Res2Text]]&amp;"[")-1))))</f>
        <v/>
      </c>
      <c r="DW10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5" s="43" t="n">
        <f aca="false">IF(OR(NOT(Tasks[[#This Row],[_IsLeaf]]=1),Tasks[[#This Row],[_Res2Row]]=0),0,N(Tasks[[#This Row],[_Days]])*HoursPerDay*IF(Tasks[[#This Row],[_Res2Units]]="",DefaultUnits,Tasks[[#This Row],[_Res2Units]]))</f>
        <v>0</v>
      </c>
      <c r="DY105" s="43" t="n">
        <f aca="false">IF(AND(AND(Tasks[[#This Row],[_IsLeaf]]=1,Tasks[[#This Row],[_LeafTotalWork]]&gt;0),Tasks[[#This Row],[_Res2Work]]&gt;0),Tasks[[#This Row],[_Res2Work]]/(Tasks[[#This Row],[_FinishWorkday]]-Tasks[[#This Row],[_StartWorkday]]+1),0)</f>
        <v>0</v>
      </c>
      <c r="DZ105" s="43" t="n">
        <f aca="false">Tasks[[#This Row],[_Res2WorkPerWD]]*MAX(0,Tasks[[#This Row],[_StartWorkday]]-1)</f>
        <v>0</v>
      </c>
      <c r="EA105" s="43" t="n">
        <f aca="false">Tasks[[#This Row],[_Res2Work]]*Tasks[[#This Row],[_LeafProgress]]</f>
        <v>0</v>
      </c>
      <c r="EB105" s="43" t="str">
        <f aca="false">IF(Tasks[[#This Row],[_Res3Text]]="","",IF(Tasks[[#This Row],[_Res3Row]]&gt;0,INDEX(res_Name,Tasks[[#This Row],[_Res3Row]]),TRIM(LEFT(Tasks[[#This Row],[_Res3Text]],FIND("[",Tasks[[#This Row],[_Res3Text]]&amp;"[")-1))))</f>
        <v/>
      </c>
      <c r="EC10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5" s="43" t="n">
        <f aca="false">IF(OR(NOT(Tasks[[#This Row],[_IsLeaf]]=1),Tasks[[#This Row],[_Res3Row]]=0),0,N(Tasks[[#This Row],[_Days]])*HoursPerDay*IF(Tasks[[#This Row],[_Res3Units]]="",DefaultUnits,Tasks[[#This Row],[_Res3Units]]))</f>
        <v>0</v>
      </c>
      <c r="EE105" s="43" t="n">
        <f aca="false">IF(AND(AND(Tasks[[#This Row],[_IsLeaf]]=1,Tasks[[#This Row],[_LeafTotalWork]]&gt;0),Tasks[[#This Row],[_Res3Work]]&gt;0),Tasks[[#This Row],[_Res3Work]]/(Tasks[[#This Row],[_FinishWorkday]]-Tasks[[#This Row],[_StartWorkday]]+1),0)</f>
        <v>0</v>
      </c>
      <c r="EF105" s="43" t="n">
        <f aca="false">Tasks[[#This Row],[_Res3WorkPerWD]]*MAX(0,Tasks[[#This Row],[_StartWorkday]]-1)</f>
        <v>0</v>
      </c>
      <c r="EG105" s="43" t="n">
        <f aca="false">Tasks[[#This Row],[_Res3Work]]*Tasks[[#This Row],[_LeafProgress]]</f>
        <v>0</v>
      </c>
      <c r="EH105" s="43" t="str">
        <f aca="false">IF(Tasks[[#This Row],[_Res4Text]]="","",IF(Tasks[[#This Row],[_Res4Row]]&gt;0,INDEX(res_Name,Tasks[[#This Row],[_Res4Row]]),TRIM(LEFT(Tasks[[#This Row],[_Res4Text]],FIND("[",Tasks[[#This Row],[_Res4Text]]&amp;"[")-1))))</f>
        <v/>
      </c>
      <c r="EI10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5" s="43" t="n">
        <f aca="false">IF(OR(NOT(Tasks[[#This Row],[_IsLeaf]]=1),Tasks[[#This Row],[_Res4Row]]=0),0,N(Tasks[[#This Row],[_Days]])*HoursPerDay*IF(Tasks[[#This Row],[_Res4Units]]="",DefaultUnits,Tasks[[#This Row],[_Res4Units]]))</f>
        <v>0</v>
      </c>
      <c r="EK105" s="43" t="n">
        <f aca="false">IF(AND(AND(Tasks[[#This Row],[_IsLeaf]]=1,Tasks[[#This Row],[_LeafTotalWork]]&gt;0),Tasks[[#This Row],[_Res4Work]]&gt;0),Tasks[[#This Row],[_Res4Work]]/(Tasks[[#This Row],[_FinishWorkday]]-Tasks[[#This Row],[_StartWorkday]]+1),0)</f>
        <v>0</v>
      </c>
      <c r="EL105" s="43" t="n">
        <f aca="false">Tasks[[#This Row],[_Res4WorkPerWD]]*MAX(0,Tasks[[#This Row],[_StartWorkday]]-1)</f>
        <v>0</v>
      </c>
      <c r="EM105" s="43" t="n">
        <f aca="false">Tasks[[#This Row],[_Res4Work]]*Tasks[[#This Row],[_LeafProgress]]</f>
        <v>0</v>
      </c>
      <c r="EN105" s="43" t="n">
        <f aca="false">IF(ISNUMBER(Tasks[[#This Row],[% Complete]]),Tasks[[#This Row],[% Complete]],IF(Tasks[[#This Row],[Stage]]="",0,IFERROR(INDEX(stg_Pct,MATCH(Tasks[[#This Row],[Stage]],stg_Name,0)),0)))</f>
        <v>0</v>
      </c>
      <c r="EO105" s="43" t="n">
        <f aca="false">IF(NOT(Tasks[[#This Row],[_IsLeaf]]=1),0,IF(N(Tasks[[#This Row],[Actual Finish]])&gt;0,1,MIN(1,Tasks[[#This Row],[_Pct]])))</f>
        <v>0</v>
      </c>
      <c r="EP105" s="43" t="n">
        <f aca="false">IF(OR(NOT(Tasks[[#This Row],[_IsLeaf]]=1),Tasks[[#This Row],[_Res1Row]]=0),0,N(Tasks[[#This Row],[_Days]])*HoursPerDay*IF(Tasks[[#This Row],[_Units1]]="",DefaultUnits,Tasks[[#This Row],[_Units1]]))</f>
        <v>0</v>
      </c>
      <c r="EQ105" s="43" t="n">
        <f aca="false">Tasks[[#This Row],[_LeafWork]]+Tasks[[#This Row],[_Res2Work]]+Tasks[[#This Row],[_Res3Work]]+Tasks[[#This Row],[_Res4Work]]</f>
        <v>0</v>
      </c>
      <c r="ER10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5" s="43" t="n">
        <f aca="false">IF(NOT(Tasks[[#This Row],[_IsLeaf]]=1),0,MAX(_xlfn.MAXIFS(Tasks[_Row],Tasks[_Pred1UID],Tasks[[#This Row],[UID]]),_xlfn.MAXIFS(Tasks[_Row],Tasks[_Pred2UID],Tasks[[#This Row],[UID]]),_xlfn.MAXIFS(Tasks[_Row],Tasks[_Pred3UID],Tasks[[#This Row],[UID]]),_xlfn.MAXIFS(Tasks[_Row],Tasks[_Pred4UID],Tasks[[#This Row],[UID]])))</f>
        <v>0</v>
      </c>
      <c r="FA10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5" s="91" t="str">
        <f aca="false">IF(NOT(Tasks[[#This Row],[_IsLeaf]]=1),"",IF(N(Tasks[[#This Row],[_Days]])&lt;=0,Tasks[[#This Row],[_LeafLateFinish]],WORKDAY.INTL(Tasks[[#This Row],[_LeafLateFinish]],-(Tasks[[#This Row],[_Days]]-1),WorkWeek,Holidays)))</f>
        <v/>
      </c>
      <c r="FD10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5" s="90" t="b">
        <f aca="false">AND(Tasks[[#This Row],[_IsLeaf]]=1,Tasks[[#This Row],[_LeafProgress]]&lt;1,N(Tasks[[#This Row],[_LeafTotalSlack]])&lt;=CriticalSlackDays)</f>
        <v>0</v>
      </c>
      <c r="FF105" s="43" t="n">
        <f aca="false">IF(AND(Tasks[[#This Row],[_IsLeaf]]=1,Tasks[[#This Row],[_ConstraintCode]]=1,Tasks[[#This Row],[Mode]]&lt;&gt;"Manual",N(Tasks[[#This Row],[Actual Start]])=0),MAX(0,N(Tasks[[#This Row],[Free Slack]])),0)</f>
        <v>0</v>
      </c>
      <c r="FG105" s="91" t="str">
        <f aca="false">IF(NOT(Tasks[[#This Row],[_IsLeaf]]=1),"",IF(Tasks[[#This Row],[_AlapShift]]=0,Tasks[[#This Row],[_LeafCalcStart]],WORKDAY.INTL(Tasks[[#This Row],[_LeafCalcStart]],Tasks[[#This Row],[_AlapShift]],WorkWeek,Holidays)))</f>
        <v/>
      </c>
      <c r="FH105" s="91" t="str">
        <f aca="false">IF(NOT(Tasks[[#This Row],[_IsLeaf]]=1),"",IF(Tasks[[#This Row],[_AlapShift]]=0,Tasks[[#This Row],[_LeafCalcFinish]],WORKDAY.INTL(Tasks[[#This Row],[_LeafCalcFinish]],Tasks[[#This Row],[_AlapShift]],WorkWeek,Holidays)))</f>
        <v/>
      </c>
      <c r="FI105" s="91" t="str">
        <f aca="false">IF(NOT(Tasks[[#This Row],[_IsLeaf]]=1),"",IF(Tasks[[#This Row],[_AlapShift]]=0,Tasks[[#This Row],[_LeafFcstStart]],WORKDAY.INTL(Tasks[[#This Row],[_LeafFcstStart]],Tasks[[#This Row],[_AlapShift]],WorkWeek,Holidays)))</f>
        <v/>
      </c>
      <c r="FJ105" s="91" t="str">
        <f aca="false">IF(NOT(Tasks[[#This Row],[_IsLeaf]]=1),"",IF(Tasks[[#This Row],[_AlapShift]]=0,Tasks[[#This Row],[_LeafFcstFinish]],WORKDAY.INTL(Tasks[[#This Row],[_LeafFcstFinish]],Tasks[[#This Row],[_AlapShift]],WorkWeek,Holidays)))</f>
        <v/>
      </c>
      <c r="FK105" s="91" t="str">
        <f aca="false">IF(Tasks[[#This Row],[Task Name]]="","",IF(Tasks[[#This Row],[_IsSummary]],MIN(INDEX(Tasks[_ShownCalcStart],Tasks[[#This Row],[_Row]]+1):INDEX(Tasks[_ShownCalcStart],Tasks[[#This Row],[_Row]]+Tasks[[#This Row],[_Descendants]])),Tasks[[#This Row],[_ShownCalcStart]]))</f>
        <v/>
      </c>
      <c r="FL105" s="91" t="str">
        <f aca="false">IF(Tasks[[#This Row],[Task Name]]="","",IF(Tasks[[#This Row],[_IsSummary]],MAX(INDEX(Tasks[_ShownCalcFinish],Tasks[[#This Row],[_Row]]+1):INDEX(Tasks[_ShownCalcFinish],Tasks[[#This Row],[_Row]]+Tasks[[#This Row],[_Descendants]])),Tasks[[#This Row],[_ShownCalcFinish]]))</f>
        <v/>
      </c>
      <c r="FM10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5" s="43" t="n">
        <f aca="false">IF(AND(Tasks[[#This Row],[_IsLeaf]]=1,Tasks[[#This Row],[_LeafTotalWork]]&gt;0),NETWORKDAYS.INTL(ProjectStart,Tasks[[#This Row],[_ShownFcstStart]],WorkWeek,Holidays),0)</f>
        <v>0</v>
      </c>
      <c r="FZ105" s="43" t="n">
        <f aca="false">IF(AND(Tasks[[#This Row],[_IsLeaf]]=1,Tasks[[#This Row],[_LeafTotalWork]]&gt;0),MAX(Tasks[[#This Row],[_StartWorkday]],NETWORKDAYS.INTL(ProjectStart,Tasks[[#This Row],[_ShownFcstFinish]],WorkWeek,Holidays)),0)</f>
        <v>0</v>
      </c>
      <c r="GA105" s="43" t="n">
        <f aca="false">IF(AND(Tasks[[#This Row],[_IsLeaf]]=1,Tasks[[#This Row],[_LeafTotalWork]]&gt;0),Tasks[[#This Row],[_LeafWork]]/(Tasks[[#This Row],[_FinishWorkday]]-Tasks[[#This Row],[_StartWorkday]]+1),0)</f>
        <v>0</v>
      </c>
      <c r="GB105" s="43" t="n">
        <f aca="false">Tasks[[#This Row],[_WorkPerWorkday]]*(Tasks[[#This Row],[_StartWorkday]]-1)</f>
        <v>-0</v>
      </c>
      <c r="GC105" s="43" t="n">
        <f aca="false">IF(Tasks[[#This Row],[_IsLeaf]]=1,MAX(N(Tasks[[#This Row],[_Days]]),0.1),0)</f>
        <v>0</v>
      </c>
      <c r="GD105" s="43" t="n">
        <f aca="false">Tasks[[#This Row],[_WeightDur]]*Tasks[[#This Row],[_LeafProgress]]</f>
        <v>0</v>
      </c>
      <c r="GE105" s="43" t="n">
        <f aca="false">Tasks[[#This Row],[_WeightDur]]*Tasks[[#This Row],[_PlannedPct]]</f>
        <v>0</v>
      </c>
      <c r="GF10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5" s="43" t="str">
        <f aca="false">IF(AND(Tasks[[#This Row],[_IsLeaf]]=1,N(Tasks[[#This Row],[_Days]])=0,Tasks[[#This Row],[_LeafProgress]]&lt;1),Tasks[[#This Row],[_ShownFcstFinish]]+Tasks[[#This Row],[_Row]]/100000,"")</f>
        <v/>
      </c>
      <c r="GH10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5" s="43" t="str">
        <f aca="false">IF(Tasks[[#This Row],[Task Name]]="","",LEFT(Tasks[[#This Row],[WBS]],FIND(".",Tasks[[#This Row],[WBS]]&amp;".")-1))</f>
        <v/>
      </c>
      <c r="GJ105" s="43" t="str">
        <f aca="false">IF(AND(Tasks[[#This Row],[Task Name]]&lt;&gt;"",Tasks[[#This Row],[_Level]]=1),Tasks[[#This Row],[_Row]],"")</f>
        <v/>
      </c>
      <c r="GK105" s="43" t="str">
        <f aca="false">IF(AND(Tasks[[#This Row],[_IsLeaf]]=1,N(Tasks[[#This Row],[_Days]])=0),Tasks[[#This Row],[Planned Finish]]+Tasks[[#This Row],[_Row]]/100000,"")</f>
        <v/>
      </c>
      <c r="GL105" s="43" t="str">
        <f aca="false">IF(AND(Tasks[[#This Row],[_IsLeaf]]=1,Tasks[[#This Row],[_LeafProgress]]&lt;1,OR(N(Tasks[[#This Row],[Finish Var]])&gt;0,Tasks[[#This Row],[Status]]="Late Start")),MAX(0,Tasks[[#This Row],[Finish Var]])+1-Tasks[[#This Row],[_Row]]/1000000,"")</f>
        <v/>
      </c>
      <c r="GM105" s="43" t="str">
        <f aca="false">IF(AND(Tasks[[#This Row],[_IsLeaf]]=1,N(Tasks[[#This Row],[Actual Start]])=0,Tasks[[#This Row],[_ShownFcstStart]]&gt;=StatusDate,Tasks[[#This Row],[_ShownFcstStart]]&lt;=LookaheadEnd),Tasks[[#This Row],[_ShownFcstStart]]+Tasks[[#This Row],[_Row]]/100000,"")</f>
        <v/>
      </c>
      <c r="GN105" s="43" t="str">
        <f aca="false">IF(AND(Tasks[[#This Row],[_IsLeaf]]=1,Tasks[[#This Row],[_LeafProgress]]&lt;1,Tasks[[#This Row],[_ShownFcstFinish]]&gt;=StatusDate,Tasks[[#This Row],[_ShownFcstFinish]]&lt;=LookaheadEnd),Tasks[[#This Row],[_ShownFcstFinish]]+Tasks[[#This Row],[_Row]]/100000,"")</f>
        <v/>
      </c>
      <c r="GO105" s="43" t="str">
        <f aca="false">IF(Tasks[[#This Row],[_LeafCritical]],Tasks[[#This Row],[_ShownFcstStart]]+Tasks[[#This Row],[_Row]]/100000,"")</f>
        <v/>
      </c>
      <c r="GP105" s="43" t="n">
        <f aca="false">Tasks[[#This Row],[_LeafWork]]*Tasks[[#This Row],[_LeafProgress]]</f>
        <v>0</v>
      </c>
      <c r="GQ105" s="91" t="str">
        <f aca="false">IF(AND(Tasks[[#This Row],[_IsLeaf]]=1,Tasks[[#This Row],[_LeafProgress]]&gt;=1),IF(N(Tasks[[#This Row],[Actual Finish]])&gt;0,Tasks[[#This Row],[Actual Finish]],Tasks[[#This Row],[_ShownFcstFinish]]),"")</f>
        <v/>
      </c>
      <c r="GR105" s="43" t="n">
        <f aca="false">IF(Tasks[[#This Row],[_IsLeaf]]=1,N(Tasks[[#This Row],[Story Points]]),0)</f>
        <v>0</v>
      </c>
      <c r="GS105" s="43" t="str">
        <f aca="false">""</f>
        <v/>
      </c>
      <c r="GT105" s="90" t="b">
        <f aca="false">IF(Tasks[[#This Row],[Task Name]]="",FALSE(),AND(Tasks[[#This Row],[_IsLeaf]]=1,N(Tasks[[#This Row],[_Days]])=0))</f>
        <v>0</v>
      </c>
      <c r="GU105" s="91" t="n">
        <f aca="false">IF(Tasks[[#This Row],[Task Name]]="",0,IF(AND(Tasks[[#This Row],[_IsLeaf]]=1,NOT(Tasks[[#This Row],[_IsMilestone]]),N(Tasks[[#This Row],[Progress]])&gt;0),Tasks[[#This Row],[Start]],0))</f>
        <v>0</v>
      </c>
      <c r="GV105" s="91" t="n">
        <f aca="false">IF(Tasks[[#This Row],[_DoneFrom]]=0,0,IF(Tasks[[#This Row],[Progress]]&gt;=1,Tasks[[#This Row],[Finish]],MAX(Tasks[[#This Row],[_DoneFrom]],Tasks[[#This Row],[Start]]+ROUND((Tasks[[#This Row],[Finish]]-Tasks[[#This Row],[Start]]+1)*Tasks[[#This Row],[Progress]],0)-1)))</f>
        <v>0</v>
      </c>
      <c r="GW105" s="91" t="n">
        <f aca="false">IF(Tasks[[#This Row],[Task Name]]="",0,IF(OR(NOT(Tasks[[#This Row],[_IsLeaf]]=1),Tasks[[#This Row],[_IsMilestone]],N(Tasks[[#This Row],[Progress]])&gt;=1),0,IF(Tasks[[#This Row],[_DoneTo]]&gt;0,Tasks[[#This Row],[_DoneTo]]+1,Tasks[[#This Row],[Start]])))</f>
        <v>0</v>
      </c>
      <c r="GX105" s="91" t="n">
        <f aca="false">IF(Tasks[[#This Row],[_RemFrom]]=0,0,Tasks[[#This Row],[Finish]])</f>
        <v>0</v>
      </c>
      <c r="GY105" s="90" t="b">
        <f aca="false">IF(Tasks[[#This Row],[Task Name]]="",FALSE(),OR(NOT(BaselineSet),N(Tasks[[#This Row],[Baseline Start]])&gt;0))</f>
        <v>0</v>
      </c>
      <c r="GZ10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5" s="92" t="str">
        <f aca="false">IF(Tasks[[#This Row],[_IsLeaf]]=1,Tasks[[#This Row],[_Row]],"")</f>
        <v/>
      </c>
      <c r="HD105" s="92" t="str">
        <f aca="false">IFERROR(INDEX(Tasks[UID],SMALL(Tasks[_PickKey],Tasks[[#This Row],[_Row]]))&amp;" "&amp;INDEX(Tasks[Task Name],SMALL(Tasks[_PickKey],Tasks[[#This Row],[_Row]])),"")</f>
        <v/>
      </c>
      <c r="HE105" s="43" t="str">
        <f aca="false">IF(Tasks[[#This Row],[Task Name]]="","",IF(Tasks[[#This Row],[_IsSummary]],NETWORKDAYS.INTL(Tasks[[#This Row],[Start]],Tasks[[#This Row],[Finish]],WorkWeek,Holidays),N(Tasks[[#This Row],[_Days]])))</f>
        <v/>
      </c>
      <c r="HF105" s="43" t="n">
        <f aca="false">IF(Tasks[[#This Row],[Expected]]="",0,((Tasks[[#This Row],[Pessimistic]]-Tasks[[#This Row],[Optimistic]])/6)^2)</f>
        <v>0</v>
      </c>
      <c r="HG105" s="43" t="n">
        <f aca="false">IF(Tasks[[#This Row],[Expected]]="",0,Tasks[[#This Row],[Expected]]-N(Tasks[[#This Row],[_Days]]))</f>
        <v>0</v>
      </c>
    </row>
    <row r="106" customFormat="false" ht="15" hidden="false" customHeight="false" outlineLevel="0" collapsed="false">
      <c r="A106" s="21" t="str">
        <f aca="false">IF(Tasks[[#This Row],[Task Name]]="","",COUNTA(Tasks[[#Headers],[Task Name]]:Tasks[[#This Row],[Task Name]])-1)</f>
        <v/>
      </c>
      <c r="B106" s="22" t="n">
        <v>114</v>
      </c>
      <c r="C106" s="22"/>
      <c r="D106" s="23"/>
      <c r="E106" s="22"/>
      <c r="F106" s="23"/>
      <c r="G106" s="22"/>
      <c r="H106" s="22"/>
      <c r="I106" s="23"/>
      <c r="J106" s="22"/>
      <c r="K106" s="22"/>
      <c r="L106" s="23"/>
      <c r="M106" s="22"/>
      <c r="N106" s="22"/>
      <c r="O106" s="23"/>
      <c r="P106" s="22"/>
      <c r="Q106" s="22"/>
      <c r="R106" s="23"/>
      <c r="S106" s="23"/>
      <c r="T106" s="84"/>
      <c r="U106" s="23"/>
      <c r="V106" s="84"/>
      <c r="W106" s="23"/>
      <c r="X106" s="84"/>
      <c r="Y106" s="23"/>
      <c r="Z106" s="84"/>
      <c r="AA106" s="23"/>
      <c r="AB106" s="23"/>
      <c r="AC106" s="7"/>
      <c r="AD106" s="7"/>
      <c r="AE106" s="63" t="str">
        <f aca="false">IF(Tasks[[#This Row],[Task Name]]="","",IF(Tasks[[#This Row],[_IsSummary]],MIN(INDEX(Tasks[_ShownFcstStart],Tasks[[#This Row],[_Row]]+1):INDEX(Tasks[_ShownFcstStart],Tasks[[#This Row],[_Row]]+Tasks[[#This Row],[_Descendants]])),Tasks[[#This Row],[_ShownFcstStart]]))</f>
        <v/>
      </c>
      <c r="AF106" s="63" t="str">
        <f aca="false">IF(Tasks[[#This Row],[Task Name]]="","",IF(Tasks[[#This Row],[_IsSummary]],MAX(INDEX(Tasks[_ShownFcstFinish],Tasks[[#This Row],[_Row]]+1):INDEX(Tasks[_ShownFcstFinish],Tasks[[#This Row],[_Row]]+Tasks[[#This Row],[_Descendants]])),Tasks[[#This Row],[_ShownFcstFinish]]))</f>
        <v/>
      </c>
      <c r="AG106" s="21" t="str">
        <f aca="false">""</f>
        <v/>
      </c>
      <c r="AH106" s="23"/>
      <c r="AI10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6" s="7"/>
      <c r="AK106" s="22"/>
      <c r="AL106" s="23"/>
      <c r="AM106" s="7"/>
      <c r="AN106" s="47" t="str">
        <f aca="false">IF(Tasks[[#This Row],[Task Name]]="","",IF(Tasks[[#This Row],[Finish]]&gt;=Tasks[[#This Row],[Planned Finish]],NETWORKDAYS.INTL(Tasks[[#This Row],[Planned Finish]],Tasks[[#This Row],[Finish]],WorkWeek,Holidays)-1,1-NETWORKDAYS.INTL(Tasks[[#This Row],[Finish]],Tasks[[#This Row],[Planned Finish]],WorkWeek,Holidays)))</f>
        <v/>
      </c>
      <c r="AO106" s="21" t="str">
        <f aca="false">IF(Tasks[[#This Row],[Task Name]]="","",IF(Tasks[[#This Row],[Progress]]&gt;=1,"Complete",IF(OR(N(Tasks[[#This Row],[Actual Start]])&gt;0,Tasks[[#This Row],[Progress]]&gt;0),IF(Tasks[[#This Row],[Finish Var]]&gt;0,"Behind","In Progress"),IF(Tasks[[#This Row],[Planned Start]]&lt;StatusDate,"Late Start","Not Started"))))</f>
        <v/>
      </c>
      <c r="AP106" s="21" t="str">
        <f aca="false">IF(Tasks[[#This Row],[Task Name]]="","",IF(IF(Tasks[[#This Row],[_IsSummary]],COUNTIF(INDEX(Tasks[_LeafCritical],Tasks[[#This Row],[_Row]]+1):INDEX(Tasks[_LeafCritical],Tasks[[#This Row],[_Row]]+Tasks[[#This Row],[_Descendants]]),TRUE())&gt;0,Tasks[[#This Row],[_LeafCritical]]),"Yes",""))</f>
        <v/>
      </c>
      <c r="AQ106" s="63" t="str">
        <f aca="false">IF(Tasks[[#This Row],[Task Name]]="","",IF(N(Tasks[[#This Row],[Baseline Start]])&gt;0,Tasks[[#This Row],[Baseline Start]],Tasks[[#This Row],[_CalcStart]]))</f>
        <v/>
      </c>
      <c r="AR106" s="63" t="str">
        <f aca="false">IF(Tasks[[#This Row],[Task Name]]="","",IF(N(Tasks[[#This Row],[Baseline Finish]])&gt;0,Tasks[[#This Row],[Baseline Finish]],Tasks[[#This Row],[_CalcFinish]]))</f>
        <v/>
      </c>
      <c r="AS106" s="47" t="str">
        <f aca="false">IF(Tasks[[#This Row],[Task Name]]="","",IF(Tasks[[#This Row],[Start]]&gt;=Tasks[[#This Row],[Planned Start]],NETWORKDAYS.INTL(Tasks[[#This Row],[Planned Start]],Tasks[[#This Row],[Start]],WorkWeek,Holidays)-1,1-NETWORKDAYS.INTL(Tasks[[#This Row],[Start]],Tasks[[#This Row],[Planned Start]],WorkWeek,Holidays)))</f>
        <v/>
      </c>
      <c r="AT106" s="63" t="str">
        <f aca="false">IF(Tasks[[#This Row],[Task Name]]="","",IF(Tasks[[#This Row],[_IsSummary]],MIN(INDEX(Tasks[_LeafLateStart],Tasks[[#This Row],[_Row]]+1):INDEX(Tasks[_LeafLateStart],Tasks[[#This Row],[_Row]]+Tasks[[#This Row],[_Descendants]])),Tasks[[#This Row],[_LeafLateStart]]))</f>
        <v/>
      </c>
      <c r="AU106" s="63" t="str">
        <f aca="false">IF(Tasks[[#This Row],[Task Name]]="","",IF(Tasks[[#This Row],[_IsSummary]],MAX(INDEX(Tasks[_LeafLateFinish],Tasks[[#This Row],[_Row]]+1):INDEX(Tasks[_LeafLateFinish],Tasks[[#This Row],[_Row]]+Tasks[[#This Row],[_Descendants]])),Tasks[[#This Row],[_LeafLateFinish]]))</f>
        <v/>
      </c>
      <c r="AV106" s="47" t="str">
        <f aca="false">IF(Tasks[[#This Row],[Task Name]]="","",IF(Tasks[[#This Row],[_IsSummary]],MIN(INDEX(Tasks[_LeafTotalSlack],Tasks[[#This Row],[_Row]]+1):INDEX(Tasks[_LeafTotalSlack],Tasks[[#This Row],[_Row]]+Tasks[[#This Row],[_Descendants]])),Tasks[[#This Row],[_LeafTotalSlack]]))</f>
        <v/>
      </c>
      <c r="AW10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5"/>
      <c r="BA10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1" t="str">
        <f aca="false">IF(Tasks[[#This Row],[Task Name]]="","",IF(Tasks[[#This Row],[_Level]]&lt;=OutlineShowLevel,"Yes","No"))</f>
        <v/>
      </c>
      <c r="BE106" s="86" t="str">
        <f aca="false">IF(Tasks[[#This Row],[Task Name]]="","",IF(Tasks[[#This Row],[_IsSummary]],SUM(INDEX(Tasks[_LeafTotalWork],Tasks[[#This Row],[_Row]]+1):INDEX(Tasks[_LeafTotalWork],Tasks[[#This Row],[_Row]]+Tasks[[#This Row],[_Descendants]])),Tasks[[#This Row],[_LeafTotalWork]]))</f>
        <v/>
      </c>
      <c r="BF106" s="23"/>
      <c r="BG10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6" s="21" t="str">
        <f aca="false">""</f>
        <v/>
      </c>
      <c r="BI106" s="87"/>
      <c r="BJ106" s="22"/>
      <c r="BK106" s="47" t="str">
        <f aca="false">IF(OR(Tasks[[#This Row],[Task Name]]="",Tasks[[#This Row],[Baseline Duration]]=""),"",Tasks[[#This Row],[_SpanDays]]-N(Tasks[[#This Row],[Baseline Duration]]))</f>
        <v/>
      </c>
      <c r="BL106" s="86" t="str">
        <f aca="false">IF(OR(Tasks[[#This Row],[Task Name]]="",Tasks[[#This Row],[Baseline Work]]=""),"",Tasks[[#This Row],[Work]]-N(Tasks[[#This Row],[Baseline Work]]))</f>
        <v/>
      </c>
      <c r="BM106" s="63" t="str">
        <f aca="false">IF(Tasks[[#This Row],[Task Name]]="","",IF(OR(TakeBaseline="Yes",N(Tasks[[#This Row],[Baseline Start]])=0),Tasks[[#This Row],[Start]],Tasks[[#This Row],[Baseline Start]]))</f>
        <v/>
      </c>
      <c r="BN106" s="63" t="str">
        <f aca="false">IF(Tasks[[#This Row],[Task Name]]="","",IF(OR(TakeBaseline="Yes",N(Tasks[[#This Row],[Baseline Finish]])=0),Tasks[[#This Row],[Finish]],Tasks[[#This Row],[Baseline Finish]]))</f>
        <v/>
      </c>
      <c r="BO106" s="21" t="str">
        <f aca="false">IF(Tasks[[#This Row],[Task Name]]="","",IF(OR(TakeBaseline="Yes",N(Tasks[[#This Row],[Baseline Duration]])=0),Tasks[[#This Row],[_SpanDays]],Tasks[[#This Row],[Baseline Duration]]))</f>
        <v/>
      </c>
      <c r="BP106" s="86" t="str">
        <f aca="false">IF(Tasks[[#This Row],[Task Name]]="","",IF(OR(TakeBaseline="Yes",N(Tasks[[#This Row],[Baseline Work]])=0),Tasks[[#This Row],[Work]],Tasks[[#This Row],[Baseline Work]]))</f>
        <v/>
      </c>
      <c r="BQ106" s="7"/>
      <c r="BR106" s="7"/>
      <c r="BS106" s="22"/>
      <c r="BT106" s="88"/>
      <c r="BU106" s="23"/>
      <c r="BV106" s="23"/>
      <c r="BW106" s="23"/>
      <c r="BX106" s="89" t="str">
        <f aca="false">IF(AND(Tasks[[#This Row],[_IsLeaf]]=1,ISNUMBER(Tasks[[#This Row],[Optimistic]]),ISNUMBER(Tasks[[#This Row],[Pessimistic]])),ROUND((Tasks[[#This Row],[Optimistic]]+4*N(Tasks[[#This Row],[_Days]])+Tasks[[#This Row],[Pessimistic]])/6,1),"")</f>
        <v/>
      </c>
      <c r="BY106" s="87"/>
      <c r="BZ106" s="87"/>
      <c r="CA106" s="22"/>
      <c r="CB106" s="43" t="str">
        <f aca="false">IF(Tasks[[#This Row],[Task Name]]="","",MAX(1,N(Tasks[[#This Row],[Level]])))</f>
        <v/>
      </c>
      <c r="CC106" s="43" t="n">
        <f aca="false">ROW()-ROW(Tasks[[#Headers],[ID]])</f>
        <v>101</v>
      </c>
      <c r="CD106" s="43" t="n">
        <f aca="false">IF(OR(Tasks[[#This Row],[Task Name]]="",Tasks[[#This Row],[_Level]]&lt;=1),0,IFERROR(LOOKUP(2,1/(Tasks[[#Headers],[_Level]]:Tasks[[#This Row],[_Level]]=Tasks[[#This Row],[_Level]]-1),ROW(Tasks[[#Headers],[_Level]]:Tasks[[#This Row],[_Level]])),0))</f>
        <v>0</v>
      </c>
      <c r="CE106" s="43" t="n">
        <f aca="false">IFERROR(N(INDEX(Tasks[_Level],Tasks[[#This Row],[_Row]]+1)),0)</f>
        <v>0</v>
      </c>
      <c r="CF106" s="90" t="b">
        <f aca="false">AND(Tasks[[#This Row],[Task Name]]&lt;&gt;"",Tasks[[#This Row],[_NextLevel]]&gt;Tasks[[#This Row],[_Level]])</f>
        <v>0</v>
      </c>
      <c r="CG106" s="43" t="n">
        <f aca="false">IF(Tasks[[#This Row],[_IsSummary]],COUNTIF(Tasks[WBS],Tasks[[#This Row],[WBS]]&amp;".*"),0)</f>
        <v>0</v>
      </c>
      <c r="CH106" s="43" t="n">
        <f aca="false">IF(AND(Tasks[[#This Row],[Task Name]]&lt;&gt;"",NOT(Tasks[[#This Row],[_IsSummary]])),1,0)</f>
        <v>0</v>
      </c>
      <c r="CI106" s="43" t="n">
        <f aca="false">IF(N(Tasks[[#This Row],[_Pred1UID]])=0,0,IFERROR(MATCH(Tasks[[#This Row],[_Pred1UID]],Tasks[UID],0),-1))</f>
        <v>0</v>
      </c>
      <c r="CJ106" s="43" t="n">
        <f aca="false">IF(N(Tasks[[#This Row],[_Pred2UID]])=0,0,IFERROR(MATCH(Tasks[[#This Row],[_Pred2UID]],Tasks[UID],0),-1))</f>
        <v>0</v>
      </c>
      <c r="CK106" s="43" t="n">
        <f aca="false">IF(N(Tasks[[#This Row],[_Pred3UID]])=0,0,IFERROR(MATCH(Tasks[[#This Row],[_Pred3UID]],Tasks[UID],0),-1))</f>
        <v>0</v>
      </c>
      <c r="CL106" s="43" t="n">
        <f aca="false">IF(N(Tasks[[#This Row],[_Pred4UID]])=0,0,IFERROR(MATCH(Tasks[[#This Row],[_Pred4UID]],Tasks[UID],0),-1))</f>
        <v>0</v>
      </c>
      <c r="CM10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6" s="91" t="n">
        <f aca="false">IF(OR(Tasks[[#This Row],[_ConstraintCode]]=2,Tasks[[#This Row],[_ConstraintCode]]=3,Tasks[[#This Row],[_ConstraintCode]]=4,Tasks[[#This Row],[_ConstraintCode]]=6),Tasks[[#This Row],[_ConstraintStart]],0)</f>
        <v>0</v>
      </c>
      <c r="CP106" s="91" t="n">
        <f aca="false">IF(OR(Tasks[[#This Row],[_ConstraintCode]]=2,Tasks[[#This Row],[_ConstraintCode]]=3,Tasks[[#This Row],[_ConstraintCode]]=5,Tasks[[#This Row],[_ConstraintCode]]=7),Tasks[[#This Row],[_ConstraintStart]],2958465)</f>
        <v>2958465</v>
      </c>
      <c r="CQ10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6" s="91" t="str">
        <f aca="false">IF(NOT(Tasks[[#This Row],[_IsLeaf]]=1),"",IF(N(Tasks[[#This Row],[_Days]])&lt;=0,Tasks[[#This Row],[_LeafCalcStart]],WORKDAY.INTL(Tasks[[#This Row],[_LeafCalcStart]],Tasks[[#This Row],[_Days]]-1,WorkWeek,Holidays)))</f>
        <v/>
      </c>
      <c r="CS10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6" s="43" t="str">
        <f aca="false">IF(Tasks[[#This Row],[_Predecessors]]="","",TRIM(MID(SUBSTITUTE(SUBSTITUTE(SUBSTITUTE(UPPER(Tasks[[#This Row],[_Predecessors]]),";",",")," ",""),",",REPT(" ",99)),1,99)))</f>
        <v/>
      </c>
      <c r="CV106" s="43" t="str">
        <f aca="false">IF(Tasks[[#This Row],[_Pred1Text]]="","",IFERROR(VALUE(LEFT(Tasks[[#This Row],[_Pred1Text]],MIN(FIND("F",Tasks[[#This Row],[_Pred1Text]]&amp;"F"),FIND("S",Tasks[[#This Row],[_Pred1Text]]&amp;"S"),FIND("+",Tasks[[#This Row],[_Pred1Text]]&amp;"+"),FIND("-",Tasks[[#This Row],[_Pred1Text]]&amp;"-"))-1)),""))</f>
        <v/>
      </c>
      <c r="CW10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6" s="43" t="str">
        <f aca="false">IF(Tasks[[#This Row],[_Pred1Text]]="","",TRIM(MID(SUBSTITUTE(SUBSTITUTE(SUBSTITUTE(UPPER(Tasks[[#This Row],[_Predecessors]]),";",",")," ",""),",",REPT(" ",99)),100,99)))</f>
        <v/>
      </c>
      <c r="CZ106" s="43" t="str">
        <f aca="false">IF(Tasks[[#This Row],[_Pred2Text]]="","",IFERROR(VALUE(LEFT(Tasks[[#This Row],[_Pred2Text]],MIN(FIND("F",Tasks[[#This Row],[_Pred2Text]]&amp;"F"),FIND("S",Tasks[[#This Row],[_Pred2Text]]&amp;"S"),FIND("+",Tasks[[#This Row],[_Pred2Text]]&amp;"+"),FIND("-",Tasks[[#This Row],[_Pred2Text]]&amp;"-"))-1)),""))</f>
        <v/>
      </c>
      <c r="DA10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6" s="43" t="str">
        <f aca="false">IF(Tasks[[#This Row],[_Pred2Text]]="","",TRIM(MID(SUBSTITUTE(SUBSTITUTE(SUBSTITUTE(UPPER(Tasks[[#This Row],[_Predecessors]]),";",",")," ",""),",",REPT(" ",99)),199,99)))</f>
        <v/>
      </c>
      <c r="DD106" s="43" t="str">
        <f aca="false">IF(Tasks[[#This Row],[_Pred3Text]]="","",IFERROR(VALUE(LEFT(Tasks[[#This Row],[_Pred3Text]],MIN(FIND("F",Tasks[[#This Row],[_Pred3Text]]&amp;"F"),FIND("S",Tasks[[#This Row],[_Pred3Text]]&amp;"S"),FIND("+",Tasks[[#This Row],[_Pred3Text]]&amp;"+"),FIND("-",Tasks[[#This Row],[_Pred3Text]]&amp;"-"))-1)),""))</f>
        <v/>
      </c>
      <c r="DE10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6" s="43" t="str">
        <f aca="false">IF(Tasks[[#This Row],[_Pred3Text]]="","",TRIM(MID(SUBSTITUTE(SUBSTITUTE(SUBSTITUTE(UPPER(Tasks[[#This Row],[_Predecessors]]),";",",")," ",""),",",REPT(" ",99)),298,99)))</f>
        <v/>
      </c>
      <c r="DH106" s="43" t="str">
        <f aca="false">IF(Tasks[[#This Row],[_Pred4Text]]="","",IFERROR(VALUE(LEFT(Tasks[[#This Row],[_Pred4Text]],MIN(FIND("F",Tasks[[#This Row],[_Pred4Text]]&amp;"F"),FIND("S",Tasks[[#This Row],[_Pred4Text]]&amp;"S"),FIND("+",Tasks[[#This Row],[_Pred4Text]]&amp;"+"),FIND("-",Tasks[[#This Row],[_Pred4Text]]&amp;"-"))-1)),""))</f>
        <v/>
      </c>
      <c r="DI10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6" s="43" t="str">
        <f aca="false">IF(OR(Tasks[[#This Row],[Task Name]]="",Tasks[[#This Row],[_Resources]]=""),"",TRIM(MID(SUBSTITUTE(Tasks[[#This Row],[_Resources]],",",REPT(" ",99)),1,99)))</f>
        <v/>
      </c>
      <c r="DL106" s="43" t="str">
        <f aca="false">IF(Tasks[[#This Row],[_Res1Text]]="","",TRIM(MID(SUBSTITUTE(Tasks[[#This Row],[_Resources]],",",REPT(" ",99)),100,99)))</f>
        <v/>
      </c>
      <c r="DM106" s="43" t="str">
        <f aca="false">IF(Tasks[[#This Row],[_Res2Text]]="","",TRIM(MID(SUBSTITUTE(Tasks[[#This Row],[_Resources]],",",REPT(" ",99)),199,99)))</f>
        <v/>
      </c>
      <c r="DN106" s="43" t="str">
        <f aca="false">IF(Tasks[[#This Row],[_Res3Text]]="","",TRIM(MID(SUBSTITUTE(Tasks[[#This Row],[_Resources]],",",REPT(" ",99)),298,99)))</f>
        <v/>
      </c>
      <c r="DO106" s="43" t="n">
        <f aca="false">IF(Tasks[[#This Row],[_Res1Text]]="",0,IFERROR(MATCH(TRIM(LEFT(Tasks[[#This Row],[_Res1Text]],FIND("[",Tasks[[#This Row],[_Res1Text]]&amp;"[")-1)),res_Name,0),IFERROR(MATCH(TRIM(LEFT(Tasks[[#This Row],[_Res1Text]],FIND("[",Tasks[[#This Row],[_Res1Text]]&amp;"[")-1)),res_Initials,0),0)))</f>
        <v>0</v>
      </c>
      <c r="DP106" s="43" t="n">
        <f aca="false">IF(Tasks[[#This Row],[_Res2Text]]="",0,IFERROR(MATCH(TRIM(LEFT(Tasks[[#This Row],[_Res2Text]],FIND("[",Tasks[[#This Row],[_Res2Text]]&amp;"[")-1)),res_Name,0),IFERROR(MATCH(TRIM(LEFT(Tasks[[#This Row],[_Res2Text]],FIND("[",Tasks[[#This Row],[_Res2Text]]&amp;"[")-1)),res_Initials,0),0)))</f>
        <v>0</v>
      </c>
      <c r="DQ106" s="43" t="n">
        <f aca="false">IF(Tasks[[#This Row],[_Res3Text]]="",0,IFERROR(MATCH(TRIM(LEFT(Tasks[[#This Row],[_Res3Text]],FIND("[",Tasks[[#This Row],[_Res3Text]]&amp;"[")-1)),res_Name,0),IFERROR(MATCH(TRIM(LEFT(Tasks[[#This Row],[_Res3Text]],FIND("[",Tasks[[#This Row],[_Res3Text]]&amp;"[")-1)),res_Initials,0),0)))</f>
        <v>0</v>
      </c>
      <c r="DR106" s="43" t="n">
        <f aca="false">IF(Tasks[[#This Row],[_Res4Text]]="",0,IFERROR(MATCH(TRIM(LEFT(Tasks[[#This Row],[_Res4Text]],FIND("[",Tasks[[#This Row],[_Res4Text]]&amp;"[")-1)),res_Name,0),IFERROR(MATCH(TRIM(LEFT(Tasks[[#This Row],[_Res4Text]],FIND("[",Tasks[[#This Row],[_Res4Text]]&amp;"[")-1)),res_Initials,0),0)))</f>
        <v>0</v>
      </c>
      <c r="DS106" s="43" t="str">
        <f aca="false">IF(Tasks[[#This Row],[_Res1Text]]="","",IF(Tasks[[#This Row],[_Res1Row]]&gt;0,INDEX(res_Name,Tasks[[#This Row],[_Res1Row]]),TRIM(LEFT(Tasks[[#This Row],[_Res1Text]],FIND("[",Tasks[[#This Row],[_Res1Text]]&amp;"[")-1))))</f>
        <v/>
      </c>
      <c r="DT10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6" s="43" t="n">
        <f aca="false">IF(NOT(Tasks[[#This Row],[_IsLeaf]]=1),0,(Tasks[[#This Row],[_Resource1]]&lt;&gt;"")+(Tasks[[#This Row],[_Res2]]&lt;&gt;"")+(Tasks[[#This Row],[_Res3]]&lt;&gt;"")+(Tasks[[#This Row],[_Res4]]&lt;&gt;""))</f>
        <v>0</v>
      </c>
      <c r="DV106" s="43" t="str">
        <f aca="false">IF(Tasks[[#This Row],[_Res2Text]]="","",IF(Tasks[[#This Row],[_Res2Row]]&gt;0,INDEX(res_Name,Tasks[[#This Row],[_Res2Row]]),TRIM(LEFT(Tasks[[#This Row],[_Res2Text]],FIND("[",Tasks[[#This Row],[_Res2Text]]&amp;"[")-1))))</f>
        <v/>
      </c>
      <c r="DW10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6" s="43" t="n">
        <f aca="false">IF(OR(NOT(Tasks[[#This Row],[_IsLeaf]]=1),Tasks[[#This Row],[_Res2Row]]=0),0,N(Tasks[[#This Row],[_Days]])*HoursPerDay*IF(Tasks[[#This Row],[_Res2Units]]="",DefaultUnits,Tasks[[#This Row],[_Res2Units]]))</f>
        <v>0</v>
      </c>
      <c r="DY106" s="43" t="n">
        <f aca="false">IF(AND(AND(Tasks[[#This Row],[_IsLeaf]]=1,Tasks[[#This Row],[_LeafTotalWork]]&gt;0),Tasks[[#This Row],[_Res2Work]]&gt;0),Tasks[[#This Row],[_Res2Work]]/(Tasks[[#This Row],[_FinishWorkday]]-Tasks[[#This Row],[_StartWorkday]]+1),0)</f>
        <v>0</v>
      </c>
      <c r="DZ106" s="43" t="n">
        <f aca="false">Tasks[[#This Row],[_Res2WorkPerWD]]*MAX(0,Tasks[[#This Row],[_StartWorkday]]-1)</f>
        <v>0</v>
      </c>
      <c r="EA106" s="43" t="n">
        <f aca="false">Tasks[[#This Row],[_Res2Work]]*Tasks[[#This Row],[_LeafProgress]]</f>
        <v>0</v>
      </c>
      <c r="EB106" s="43" t="str">
        <f aca="false">IF(Tasks[[#This Row],[_Res3Text]]="","",IF(Tasks[[#This Row],[_Res3Row]]&gt;0,INDEX(res_Name,Tasks[[#This Row],[_Res3Row]]),TRIM(LEFT(Tasks[[#This Row],[_Res3Text]],FIND("[",Tasks[[#This Row],[_Res3Text]]&amp;"[")-1))))</f>
        <v/>
      </c>
      <c r="EC10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6" s="43" t="n">
        <f aca="false">IF(OR(NOT(Tasks[[#This Row],[_IsLeaf]]=1),Tasks[[#This Row],[_Res3Row]]=0),0,N(Tasks[[#This Row],[_Days]])*HoursPerDay*IF(Tasks[[#This Row],[_Res3Units]]="",DefaultUnits,Tasks[[#This Row],[_Res3Units]]))</f>
        <v>0</v>
      </c>
      <c r="EE106" s="43" t="n">
        <f aca="false">IF(AND(AND(Tasks[[#This Row],[_IsLeaf]]=1,Tasks[[#This Row],[_LeafTotalWork]]&gt;0),Tasks[[#This Row],[_Res3Work]]&gt;0),Tasks[[#This Row],[_Res3Work]]/(Tasks[[#This Row],[_FinishWorkday]]-Tasks[[#This Row],[_StartWorkday]]+1),0)</f>
        <v>0</v>
      </c>
      <c r="EF106" s="43" t="n">
        <f aca="false">Tasks[[#This Row],[_Res3WorkPerWD]]*MAX(0,Tasks[[#This Row],[_StartWorkday]]-1)</f>
        <v>0</v>
      </c>
      <c r="EG106" s="43" t="n">
        <f aca="false">Tasks[[#This Row],[_Res3Work]]*Tasks[[#This Row],[_LeafProgress]]</f>
        <v>0</v>
      </c>
      <c r="EH106" s="43" t="str">
        <f aca="false">IF(Tasks[[#This Row],[_Res4Text]]="","",IF(Tasks[[#This Row],[_Res4Row]]&gt;0,INDEX(res_Name,Tasks[[#This Row],[_Res4Row]]),TRIM(LEFT(Tasks[[#This Row],[_Res4Text]],FIND("[",Tasks[[#This Row],[_Res4Text]]&amp;"[")-1))))</f>
        <v/>
      </c>
      <c r="EI10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6" s="43" t="n">
        <f aca="false">IF(OR(NOT(Tasks[[#This Row],[_IsLeaf]]=1),Tasks[[#This Row],[_Res4Row]]=0),0,N(Tasks[[#This Row],[_Days]])*HoursPerDay*IF(Tasks[[#This Row],[_Res4Units]]="",DefaultUnits,Tasks[[#This Row],[_Res4Units]]))</f>
        <v>0</v>
      </c>
      <c r="EK106" s="43" t="n">
        <f aca="false">IF(AND(AND(Tasks[[#This Row],[_IsLeaf]]=1,Tasks[[#This Row],[_LeafTotalWork]]&gt;0),Tasks[[#This Row],[_Res4Work]]&gt;0),Tasks[[#This Row],[_Res4Work]]/(Tasks[[#This Row],[_FinishWorkday]]-Tasks[[#This Row],[_StartWorkday]]+1),0)</f>
        <v>0</v>
      </c>
      <c r="EL106" s="43" t="n">
        <f aca="false">Tasks[[#This Row],[_Res4WorkPerWD]]*MAX(0,Tasks[[#This Row],[_StartWorkday]]-1)</f>
        <v>0</v>
      </c>
      <c r="EM106" s="43" t="n">
        <f aca="false">Tasks[[#This Row],[_Res4Work]]*Tasks[[#This Row],[_LeafProgress]]</f>
        <v>0</v>
      </c>
      <c r="EN106" s="43" t="n">
        <f aca="false">IF(ISNUMBER(Tasks[[#This Row],[% Complete]]),Tasks[[#This Row],[% Complete]],IF(Tasks[[#This Row],[Stage]]="",0,IFERROR(INDEX(stg_Pct,MATCH(Tasks[[#This Row],[Stage]],stg_Name,0)),0)))</f>
        <v>0</v>
      </c>
      <c r="EO106" s="43" t="n">
        <f aca="false">IF(NOT(Tasks[[#This Row],[_IsLeaf]]=1),0,IF(N(Tasks[[#This Row],[Actual Finish]])&gt;0,1,MIN(1,Tasks[[#This Row],[_Pct]])))</f>
        <v>0</v>
      </c>
      <c r="EP106" s="43" t="n">
        <f aca="false">IF(OR(NOT(Tasks[[#This Row],[_IsLeaf]]=1),Tasks[[#This Row],[_Res1Row]]=0),0,N(Tasks[[#This Row],[_Days]])*HoursPerDay*IF(Tasks[[#This Row],[_Units1]]="",DefaultUnits,Tasks[[#This Row],[_Units1]]))</f>
        <v>0</v>
      </c>
      <c r="EQ106" s="43" t="n">
        <f aca="false">Tasks[[#This Row],[_LeafWork]]+Tasks[[#This Row],[_Res2Work]]+Tasks[[#This Row],[_Res3Work]]+Tasks[[#This Row],[_Res4Work]]</f>
        <v>0</v>
      </c>
      <c r="ER10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6" s="43" t="n">
        <f aca="false">IF(NOT(Tasks[[#This Row],[_IsLeaf]]=1),0,MAX(_xlfn.MAXIFS(Tasks[_Row],Tasks[_Pred1UID],Tasks[[#This Row],[UID]]),_xlfn.MAXIFS(Tasks[_Row],Tasks[_Pred2UID],Tasks[[#This Row],[UID]]),_xlfn.MAXIFS(Tasks[_Row],Tasks[_Pred3UID],Tasks[[#This Row],[UID]]),_xlfn.MAXIFS(Tasks[_Row],Tasks[_Pred4UID],Tasks[[#This Row],[UID]])))</f>
        <v>0</v>
      </c>
      <c r="FA10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6" s="91" t="str">
        <f aca="false">IF(NOT(Tasks[[#This Row],[_IsLeaf]]=1),"",IF(N(Tasks[[#This Row],[_Days]])&lt;=0,Tasks[[#This Row],[_LeafLateFinish]],WORKDAY.INTL(Tasks[[#This Row],[_LeafLateFinish]],-(Tasks[[#This Row],[_Days]]-1),WorkWeek,Holidays)))</f>
        <v/>
      </c>
      <c r="FD10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6" s="90" t="b">
        <f aca="false">AND(Tasks[[#This Row],[_IsLeaf]]=1,Tasks[[#This Row],[_LeafProgress]]&lt;1,N(Tasks[[#This Row],[_LeafTotalSlack]])&lt;=CriticalSlackDays)</f>
        <v>0</v>
      </c>
      <c r="FF106" s="43" t="n">
        <f aca="false">IF(AND(Tasks[[#This Row],[_IsLeaf]]=1,Tasks[[#This Row],[_ConstraintCode]]=1,Tasks[[#This Row],[Mode]]&lt;&gt;"Manual",N(Tasks[[#This Row],[Actual Start]])=0),MAX(0,N(Tasks[[#This Row],[Free Slack]])),0)</f>
        <v>0</v>
      </c>
      <c r="FG106" s="91" t="str">
        <f aca="false">IF(NOT(Tasks[[#This Row],[_IsLeaf]]=1),"",IF(Tasks[[#This Row],[_AlapShift]]=0,Tasks[[#This Row],[_LeafCalcStart]],WORKDAY.INTL(Tasks[[#This Row],[_LeafCalcStart]],Tasks[[#This Row],[_AlapShift]],WorkWeek,Holidays)))</f>
        <v/>
      </c>
      <c r="FH106" s="91" t="str">
        <f aca="false">IF(NOT(Tasks[[#This Row],[_IsLeaf]]=1),"",IF(Tasks[[#This Row],[_AlapShift]]=0,Tasks[[#This Row],[_LeafCalcFinish]],WORKDAY.INTL(Tasks[[#This Row],[_LeafCalcFinish]],Tasks[[#This Row],[_AlapShift]],WorkWeek,Holidays)))</f>
        <v/>
      </c>
      <c r="FI106" s="91" t="str">
        <f aca="false">IF(NOT(Tasks[[#This Row],[_IsLeaf]]=1),"",IF(Tasks[[#This Row],[_AlapShift]]=0,Tasks[[#This Row],[_LeafFcstStart]],WORKDAY.INTL(Tasks[[#This Row],[_LeafFcstStart]],Tasks[[#This Row],[_AlapShift]],WorkWeek,Holidays)))</f>
        <v/>
      </c>
      <c r="FJ106" s="91" t="str">
        <f aca="false">IF(NOT(Tasks[[#This Row],[_IsLeaf]]=1),"",IF(Tasks[[#This Row],[_AlapShift]]=0,Tasks[[#This Row],[_LeafFcstFinish]],WORKDAY.INTL(Tasks[[#This Row],[_LeafFcstFinish]],Tasks[[#This Row],[_AlapShift]],WorkWeek,Holidays)))</f>
        <v/>
      </c>
      <c r="FK106" s="91" t="str">
        <f aca="false">IF(Tasks[[#This Row],[Task Name]]="","",IF(Tasks[[#This Row],[_IsSummary]],MIN(INDEX(Tasks[_ShownCalcStart],Tasks[[#This Row],[_Row]]+1):INDEX(Tasks[_ShownCalcStart],Tasks[[#This Row],[_Row]]+Tasks[[#This Row],[_Descendants]])),Tasks[[#This Row],[_ShownCalcStart]]))</f>
        <v/>
      </c>
      <c r="FL106" s="91" t="str">
        <f aca="false">IF(Tasks[[#This Row],[Task Name]]="","",IF(Tasks[[#This Row],[_IsSummary]],MAX(INDEX(Tasks[_ShownCalcFinish],Tasks[[#This Row],[_Row]]+1):INDEX(Tasks[_ShownCalcFinish],Tasks[[#This Row],[_Row]]+Tasks[[#This Row],[_Descendants]])),Tasks[[#This Row],[_ShownCalcFinish]]))</f>
        <v/>
      </c>
      <c r="FM10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6" s="43" t="n">
        <f aca="false">IF(AND(Tasks[[#This Row],[_IsLeaf]]=1,Tasks[[#This Row],[_LeafTotalWork]]&gt;0),NETWORKDAYS.INTL(ProjectStart,Tasks[[#This Row],[_ShownFcstStart]],WorkWeek,Holidays),0)</f>
        <v>0</v>
      </c>
      <c r="FZ106" s="43" t="n">
        <f aca="false">IF(AND(Tasks[[#This Row],[_IsLeaf]]=1,Tasks[[#This Row],[_LeafTotalWork]]&gt;0),MAX(Tasks[[#This Row],[_StartWorkday]],NETWORKDAYS.INTL(ProjectStart,Tasks[[#This Row],[_ShownFcstFinish]],WorkWeek,Holidays)),0)</f>
        <v>0</v>
      </c>
      <c r="GA106" s="43" t="n">
        <f aca="false">IF(AND(Tasks[[#This Row],[_IsLeaf]]=1,Tasks[[#This Row],[_LeafTotalWork]]&gt;0),Tasks[[#This Row],[_LeafWork]]/(Tasks[[#This Row],[_FinishWorkday]]-Tasks[[#This Row],[_StartWorkday]]+1),0)</f>
        <v>0</v>
      </c>
      <c r="GB106" s="43" t="n">
        <f aca="false">Tasks[[#This Row],[_WorkPerWorkday]]*(Tasks[[#This Row],[_StartWorkday]]-1)</f>
        <v>-0</v>
      </c>
      <c r="GC106" s="43" t="n">
        <f aca="false">IF(Tasks[[#This Row],[_IsLeaf]]=1,MAX(N(Tasks[[#This Row],[_Days]]),0.1),0)</f>
        <v>0</v>
      </c>
      <c r="GD106" s="43" t="n">
        <f aca="false">Tasks[[#This Row],[_WeightDur]]*Tasks[[#This Row],[_LeafProgress]]</f>
        <v>0</v>
      </c>
      <c r="GE106" s="43" t="n">
        <f aca="false">Tasks[[#This Row],[_WeightDur]]*Tasks[[#This Row],[_PlannedPct]]</f>
        <v>0</v>
      </c>
      <c r="GF10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6" s="43" t="str">
        <f aca="false">IF(AND(Tasks[[#This Row],[_IsLeaf]]=1,N(Tasks[[#This Row],[_Days]])=0,Tasks[[#This Row],[_LeafProgress]]&lt;1),Tasks[[#This Row],[_ShownFcstFinish]]+Tasks[[#This Row],[_Row]]/100000,"")</f>
        <v/>
      </c>
      <c r="GH10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6" s="43" t="str">
        <f aca="false">IF(Tasks[[#This Row],[Task Name]]="","",LEFT(Tasks[[#This Row],[WBS]],FIND(".",Tasks[[#This Row],[WBS]]&amp;".")-1))</f>
        <v/>
      </c>
      <c r="GJ106" s="43" t="str">
        <f aca="false">IF(AND(Tasks[[#This Row],[Task Name]]&lt;&gt;"",Tasks[[#This Row],[_Level]]=1),Tasks[[#This Row],[_Row]],"")</f>
        <v/>
      </c>
      <c r="GK106" s="43" t="str">
        <f aca="false">IF(AND(Tasks[[#This Row],[_IsLeaf]]=1,N(Tasks[[#This Row],[_Days]])=0),Tasks[[#This Row],[Planned Finish]]+Tasks[[#This Row],[_Row]]/100000,"")</f>
        <v/>
      </c>
      <c r="GL106" s="43" t="str">
        <f aca="false">IF(AND(Tasks[[#This Row],[_IsLeaf]]=1,Tasks[[#This Row],[_LeafProgress]]&lt;1,OR(N(Tasks[[#This Row],[Finish Var]])&gt;0,Tasks[[#This Row],[Status]]="Late Start")),MAX(0,Tasks[[#This Row],[Finish Var]])+1-Tasks[[#This Row],[_Row]]/1000000,"")</f>
        <v/>
      </c>
      <c r="GM106" s="43" t="str">
        <f aca="false">IF(AND(Tasks[[#This Row],[_IsLeaf]]=1,N(Tasks[[#This Row],[Actual Start]])=0,Tasks[[#This Row],[_ShownFcstStart]]&gt;=StatusDate,Tasks[[#This Row],[_ShownFcstStart]]&lt;=LookaheadEnd),Tasks[[#This Row],[_ShownFcstStart]]+Tasks[[#This Row],[_Row]]/100000,"")</f>
        <v/>
      </c>
      <c r="GN106" s="43" t="str">
        <f aca="false">IF(AND(Tasks[[#This Row],[_IsLeaf]]=1,Tasks[[#This Row],[_LeafProgress]]&lt;1,Tasks[[#This Row],[_ShownFcstFinish]]&gt;=StatusDate,Tasks[[#This Row],[_ShownFcstFinish]]&lt;=LookaheadEnd),Tasks[[#This Row],[_ShownFcstFinish]]+Tasks[[#This Row],[_Row]]/100000,"")</f>
        <v/>
      </c>
      <c r="GO106" s="43" t="str">
        <f aca="false">IF(Tasks[[#This Row],[_LeafCritical]],Tasks[[#This Row],[_ShownFcstStart]]+Tasks[[#This Row],[_Row]]/100000,"")</f>
        <v/>
      </c>
      <c r="GP106" s="43" t="n">
        <f aca="false">Tasks[[#This Row],[_LeafWork]]*Tasks[[#This Row],[_LeafProgress]]</f>
        <v>0</v>
      </c>
      <c r="GQ106" s="91" t="str">
        <f aca="false">IF(AND(Tasks[[#This Row],[_IsLeaf]]=1,Tasks[[#This Row],[_LeafProgress]]&gt;=1),IF(N(Tasks[[#This Row],[Actual Finish]])&gt;0,Tasks[[#This Row],[Actual Finish]],Tasks[[#This Row],[_ShownFcstFinish]]),"")</f>
        <v/>
      </c>
      <c r="GR106" s="43" t="n">
        <f aca="false">IF(Tasks[[#This Row],[_IsLeaf]]=1,N(Tasks[[#This Row],[Story Points]]),0)</f>
        <v>0</v>
      </c>
      <c r="GS106" s="43" t="str">
        <f aca="false">""</f>
        <v/>
      </c>
      <c r="GT106" s="90" t="b">
        <f aca="false">IF(Tasks[[#This Row],[Task Name]]="",FALSE(),AND(Tasks[[#This Row],[_IsLeaf]]=1,N(Tasks[[#This Row],[_Days]])=0))</f>
        <v>0</v>
      </c>
      <c r="GU106" s="91" t="n">
        <f aca="false">IF(Tasks[[#This Row],[Task Name]]="",0,IF(AND(Tasks[[#This Row],[_IsLeaf]]=1,NOT(Tasks[[#This Row],[_IsMilestone]]),N(Tasks[[#This Row],[Progress]])&gt;0),Tasks[[#This Row],[Start]],0))</f>
        <v>0</v>
      </c>
      <c r="GV106" s="91" t="n">
        <f aca="false">IF(Tasks[[#This Row],[_DoneFrom]]=0,0,IF(Tasks[[#This Row],[Progress]]&gt;=1,Tasks[[#This Row],[Finish]],MAX(Tasks[[#This Row],[_DoneFrom]],Tasks[[#This Row],[Start]]+ROUND((Tasks[[#This Row],[Finish]]-Tasks[[#This Row],[Start]]+1)*Tasks[[#This Row],[Progress]],0)-1)))</f>
        <v>0</v>
      </c>
      <c r="GW106" s="91" t="n">
        <f aca="false">IF(Tasks[[#This Row],[Task Name]]="",0,IF(OR(NOT(Tasks[[#This Row],[_IsLeaf]]=1),Tasks[[#This Row],[_IsMilestone]],N(Tasks[[#This Row],[Progress]])&gt;=1),0,IF(Tasks[[#This Row],[_DoneTo]]&gt;0,Tasks[[#This Row],[_DoneTo]]+1,Tasks[[#This Row],[Start]])))</f>
        <v>0</v>
      </c>
      <c r="GX106" s="91" t="n">
        <f aca="false">IF(Tasks[[#This Row],[_RemFrom]]=0,0,Tasks[[#This Row],[Finish]])</f>
        <v>0</v>
      </c>
      <c r="GY106" s="90" t="b">
        <f aca="false">IF(Tasks[[#This Row],[Task Name]]="",FALSE(),OR(NOT(BaselineSet),N(Tasks[[#This Row],[Baseline Start]])&gt;0))</f>
        <v>0</v>
      </c>
      <c r="GZ10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6" s="92" t="str">
        <f aca="false">IF(Tasks[[#This Row],[_IsLeaf]]=1,Tasks[[#This Row],[_Row]],"")</f>
        <v/>
      </c>
      <c r="HD106" s="92" t="str">
        <f aca="false">IFERROR(INDEX(Tasks[UID],SMALL(Tasks[_PickKey],Tasks[[#This Row],[_Row]]))&amp;" "&amp;INDEX(Tasks[Task Name],SMALL(Tasks[_PickKey],Tasks[[#This Row],[_Row]])),"")</f>
        <v/>
      </c>
      <c r="HE106" s="43" t="str">
        <f aca="false">IF(Tasks[[#This Row],[Task Name]]="","",IF(Tasks[[#This Row],[_IsSummary]],NETWORKDAYS.INTL(Tasks[[#This Row],[Start]],Tasks[[#This Row],[Finish]],WorkWeek,Holidays),N(Tasks[[#This Row],[_Days]])))</f>
        <v/>
      </c>
      <c r="HF106" s="43" t="n">
        <f aca="false">IF(Tasks[[#This Row],[Expected]]="",0,((Tasks[[#This Row],[Pessimistic]]-Tasks[[#This Row],[Optimistic]])/6)^2)</f>
        <v>0</v>
      </c>
      <c r="HG106" s="43" t="n">
        <f aca="false">IF(Tasks[[#This Row],[Expected]]="",0,Tasks[[#This Row],[Expected]]-N(Tasks[[#This Row],[_Days]]))</f>
        <v>0</v>
      </c>
    </row>
    <row r="107" customFormat="false" ht="15" hidden="false" customHeight="false" outlineLevel="0" collapsed="false">
      <c r="A107" s="21" t="str">
        <f aca="false">IF(Tasks[[#This Row],[Task Name]]="","",COUNTA(Tasks[[#Headers],[Task Name]]:Tasks[[#This Row],[Task Name]])-1)</f>
        <v/>
      </c>
      <c r="B107" s="22" t="n">
        <v>115</v>
      </c>
      <c r="C107" s="22"/>
      <c r="D107" s="23"/>
      <c r="E107" s="22"/>
      <c r="F107" s="23"/>
      <c r="G107" s="22"/>
      <c r="H107" s="22"/>
      <c r="I107" s="23"/>
      <c r="J107" s="22"/>
      <c r="K107" s="22"/>
      <c r="L107" s="23"/>
      <c r="M107" s="22"/>
      <c r="N107" s="22"/>
      <c r="O107" s="23"/>
      <c r="P107" s="22"/>
      <c r="Q107" s="22"/>
      <c r="R107" s="23"/>
      <c r="S107" s="23"/>
      <c r="T107" s="84"/>
      <c r="U107" s="23"/>
      <c r="V107" s="84"/>
      <c r="W107" s="23"/>
      <c r="X107" s="84"/>
      <c r="Y107" s="23"/>
      <c r="Z107" s="84"/>
      <c r="AA107" s="23"/>
      <c r="AB107" s="23"/>
      <c r="AC107" s="7"/>
      <c r="AD107" s="7"/>
      <c r="AE107" s="63" t="str">
        <f aca="false">IF(Tasks[[#This Row],[Task Name]]="","",IF(Tasks[[#This Row],[_IsSummary]],MIN(INDEX(Tasks[_ShownFcstStart],Tasks[[#This Row],[_Row]]+1):INDEX(Tasks[_ShownFcstStart],Tasks[[#This Row],[_Row]]+Tasks[[#This Row],[_Descendants]])),Tasks[[#This Row],[_ShownFcstStart]]))</f>
        <v/>
      </c>
      <c r="AF107" s="63" t="str">
        <f aca="false">IF(Tasks[[#This Row],[Task Name]]="","",IF(Tasks[[#This Row],[_IsSummary]],MAX(INDEX(Tasks[_ShownFcstFinish],Tasks[[#This Row],[_Row]]+1):INDEX(Tasks[_ShownFcstFinish],Tasks[[#This Row],[_Row]]+Tasks[[#This Row],[_Descendants]])),Tasks[[#This Row],[_ShownFcstFinish]]))</f>
        <v/>
      </c>
      <c r="AG107" s="21" t="str">
        <f aca="false">""</f>
        <v/>
      </c>
      <c r="AH107" s="23"/>
      <c r="AI10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7" s="7"/>
      <c r="AK107" s="22"/>
      <c r="AL107" s="23"/>
      <c r="AM107" s="7"/>
      <c r="AN107" s="47" t="str">
        <f aca="false">IF(Tasks[[#This Row],[Task Name]]="","",IF(Tasks[[#This Row],[Finish]]&gt;=Tasks[[#This Row],[Planned Finish]],NETWORKDAYS.INTL(Tasks[[#This Row],[Planned Finish]],Tasks[[#This Row],[Finish]],WorkWeek,Holidays)-1,1-NETWORKDAYS.INTL(Tasks[[#This Row],[Finish]],Tasks[[#This Row],[Planned Finish]],WorkWeek,Holidays)))</f>
        <v/>
      </c>
      <c r="AO107" s="21" t="str">
        <f aca="false">IF(Tasks[[#This Row],[Task Name]]="","",IF(Tasks[[#This Row],[Progress]]&gt;=1,"Complete",IF(OR(N(Tasks[[#This Row],[Actual Start]])&gt;0,Tasks[[#This Row],[Progress]]&gt;0),IF(Tasks[[#This Row],[Finish Var]]&gt;0,"Behind","In Progress"),IF(Tasks[[#This Row],[Planned Start]]&lt;StatusDate,"Late Start","Not Started"))))</f>
        <v/>
      </c>
      <c r="AP107" s="21" t="str">
        <f aca="false">IF(Tasks[[#This Row],[Task Name]]="","",IF(IF(Tasks[[#This Row],[_IsSummary]],COUNTIF(INDEX(Tasks[_LeafCritical],Tasks[[#This Row],[_Row]]+1):INDEX(Tasks[_LeafCritical],Tasks[[#This Row],[_Row]]+Tasks[[#This Row],[_Descendants]]),TRUE())&gt;0,Tasks[[#This Row],[_LeafCritical]]),"Yes",""))</f>
        <v/>
      </c>
      <c r="AQ107" s="63" t="str">
        <f aca="false">IF(Tasks[[#This Row],[Task Name]]="","",IF(N(Tasks[[#This Row],[Baseline Start]])&gt;0,Tasks[[#This Row],[Baseline Start]],Tasks[[#This Row],[_CalcStart]]))</f>
        <v/>
      </c>
      <c r="AR107" s="63" t="str">
        <f aca="false">IF(Tasks[[#This Row],[Task Name]]="","",IF(N(Tasks[[#This Row],[Baseline Finish]])&gt;0,Tasks[[#This Row],[Baseline Finish]],Tasks[[#This Row],[_CalcFinish]]))</f>
        <v/>
      </c>
      <c r="AS107" s="47" t="str">
        <f aca="false">IF(Tasks[[#This Row],[Task Name]]="","",IF(Tasks[[#This Row],[Start]]&gt;=Tasks[[#This Row],[Planned Start]],NETWORKDAYS.INTL(Tasks[[#This Row],[Planned Start]],Tasks[[#This Row],[Start]],WorkWeek,Holidays)-1,1-NETWORKDAYS.INTL(Tasks[[#This Row],[Start]],Tasks[[#This Row],[Planned Start]],WorkWeek,Holidays)))</f>
        <v/>
      </c>
      <c r="AT107" s="63" t="str">
        <f aca="false">IF(Tasks[[#This Row],[Task Name]]="","",IF(Tasks[[#This Row],[_IsSummary]],MIN(INDEX(Tasks[_LeafLateStart],Tasks[[#This Row],[_Row]]+1):INDEX(Tasks[_LeafLateStart],Tasks[[#This Row],[_Row]]+Tasks[[#This Row],[_Descendants]])),Tasks[[#This Row],[_LeafLateStart]]))</f>
        <v/>
      </c>
      <c r="AU107" s="63" t="str">
        <f aca="false">IF(Tasks[[#This Row],[Task Name]]="","",IF(Tasks[[#This Row],[_IsSummary]],MAX(INDEX(Tasks[_LeafLateFinish],Tasks[[#This Row],[_Row]]+1):INDEX(Tasks[_LeafLateFinish],Tasks[[#This Row],[_Row]]+Tasks[[#This Row],[_Descendants]])),Tasks[[#This Row],[_LeafLateFinish]]))</f>
        <v/>
      </c>
      <c r="AV107" s="47" t="str">
        <f aca="false">IF(Tasks[[#This Row],[Task Name]]="","",IF(Tasks[[#This Row],[_IsSummary]],MIN(INDEX(Tasks[_LeafTotalSlack],Tasks[[#This Row],[_Row]]+1):INDEX(Tasks[_LeafTotalSlack],Tasks[[#This Row],[_Row]]+Tasks[[#This Row],[_Descendants]])),Tasks[[#This Row],[_LeafTotalSlack]]))</f>
        <v/>
      </c>
      <c r="AW10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5"/>
      <c r="BA10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1" t="str">
        <f aca="false">IF(Tasks[[#This Row],[Task Name]]="","",IF(Tasks[[#This Row],[_Level]]&lt;=OutlineShowLevel,"Yes","No"))</f>
        <v/>
      </c>
      <c r="BE107" s="86" t="str">
        <f aca="false">IF(Tasks[[#This Row],[Task Name]]="","",IF(Tasks[[#This Row],[_IsSummary]],SUM(INDEX(Tasks[_LeafTotalWork],Tasks[[#This Row],[_Row]]+1):INDEX(Tasks[_LeafTotalWork],Tasks[[#This Row],[_Row]]+Tasks[[#This Row],[_Descendants]])),Tasks[[#This Row],[_LeafTotalWork]]))</f>
        <v/>
      </c>
      <c r="BF107" s="23"/>
      <c r="BG10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7" s="21" t="str">
        <f aca="false">""</f>
        <v/>
      </c>
      <c r="BI107" s="87"/>
      <c r="BJ107" s="22"/>
      <c r="BK107" s="47" t="str">
        <f aca="false">IF(OR(Tasks[[#This Row],[Task Name]]="",Tasks[[#This Row],[Baseline Duration]]=""),"",Tasks[[#This Row],[_SpanDays]]-N(Tasks[[#This Row],[Baseline Duration]]))</f>
        <v/>
      </c>
      <c r="BL107" s="86" t="str">
        <f aca="false">IF(OR(Tasks[[#This Row],[Task Name]]="",Tasks[[#This Row],[Baseline Work]]=""),"",Tasks[[#This Row],[Work]]-N(Tasks[[#This Row],[Baseline Work]]))</f>
        <v/>
      </c>
      <c r="BM107" s="63" t="str">
        <f aca="false">IF(Tasks[[#This Row],[Task Name]]="","",IF(OR(TakeBaseline="Yes",N(Tasks[[#This Row],[Baseline Start]])=0),Tasks[[#This Row],[Start]],Tasks[[#This Row],[Baseline Start]]))</f>
        <v/>
      </c>
      <c r="BN107" s="63" t="str">
        <f aca="false">IF(Tasks[[#This Row],[Task Name]]="","",IF(OR(TakeBaseline="Yes",N(Tasks[[#This Row],[Baseline Finish]])=0),Tasks[[#This Row],[Finish]],Tasks[[#This Row],[Baseline Finish]]))</f>
        <v/>
      </c>
      <c r="BO107" s="21" t="str">
        <f aca="false">IF(Tasks[[#This Row],[Task Name]]="","",IF(OR(TakeBaseline="Yes",N(Tasks[[#This Row],[Baseline Duration]])=0),Tasks[[#This Row],[_SpanDays]],Tasks[[#This Row],[Baseline Duration]]))</f>
        <v/>
      </c>
      <c r="BP107" s="86" t="str">
        <f aca="false">IF(Tasks[[#This Row],[Task Name]]="","",IF(OR(TakeBaseline="Yes",N(Tasks[[#This Row],[Baseline Work]])=0),Tasks[[#This Row],[Work]],Tasks[[#This Row],[Baseline Work]]))</f>
        <v/>
      </c>
      <c r="BQ107" s="7"/>
      <c r="BR107" s="7"/>
      <c r="BS107" s="22"/>
      <c r="BT107" s="88"/>
      <c r="BU107" s="23"/>
      <c r="BV107" s="23"/>
      <c r="BW107" s="23"/>
      <c r="BX107" s="89" t="str">
        <f aca="false">IF(AND(Tasks[[#This Row],[_IsLeaf]]=1,ISNUMBER(Tasks[[#This Row],[Optimistic]]),ISNUMBER(Tasks[[#This Row],[Pessimistic]])),ROUND((Tasks[[#This Row],[Optimistic]]+4*N(Tasks[[#This Row],[_Days]])+Tasks[[#This Row],[Pessimistic]])/6,1),"")</f>
        <v/>
      </c>
      <c r="BY107" s="87"/>
      <c r="BZ107" s="87"/>
      <c r="CA107" s="22"/>
      <c r="CB107" s="43" t="str">
        <f aca="false">IF(Tasks[[#This Row],[Task Name]]="","",MAX(1,N(Tasks[[#This Row],[Level]])))</f>
        <v/>
      </c>
      <c r="CC107" s="43" t="n">
        <f aca="false">ROW()-ROW(Tasks[[#Headers],[ID]])</f>
        <v>102</v>
      </c>
      <c r="CD107" s="43" t="n">
        <f aca="false">IF(OR(Tasks[[#This Row],[Task Name]]="",Tasks[[#This Row],[_Level]]&lt;=1),0,IFERROR(LOOKUP(2,1/(Tasks[[#Headers],[_Level]]:Tasks[[#This Row],[_Level]]=Tasks[[#This Row],[_Level]]-1),ROW(Tasks[[#Headers],[_Level]]:Tasks[[#This Row],[_Level]])),0))</f>
        <v>0</v>
      </c>
      <c r="CE107" s="43" t="n">
        <f aca="false">IFERROR(N(INDEX(Tasks[_Level],Tasks[[#This Row],[_Row]]+1)),0)</f>
        <v>0</v>
      </c>
      <c r="CF107" s="90" t="b">
        <f aca="false">AND(Tasks[[#This Row],[Task Name]]&lt;&gt;"",Tasks[[#This Row],[_NextLevel]]&gt;Tasks[[#This Row],[_Level]])</f>
        <v>0</v>
      </c>
      <c r="CG107" s="43" t="n">
        <f aca="false">IF(Tasks[[#This Row],[_IsSummary]],COUNTIF(Tasks[WBS],Tasks[[#This Row],[WBS]]&amp;".*"),0)</f>
        <v>0</v>
      </c>
      <c r="CH107" s="43" t="n">
        <f aca="false">IF(AND(Tasks[[#This Row],[Task Name]]&lt;&gt;"",NOT(Tasks[[#This Row],[_IsSummary]])),1,0)</f>
        <v>0</v>
      </c>
      <c r="CI107" s="43" t="n">
        <f aca="false">IF(N(Tasks[[#This Row],[_Pred1UID]])=0,0,IFERROR(MATCH(Tasks[[#This Row],[_Pred1UID]],Tasks[UID],0),-1))</f>
        <v>0</v>
      </c>
      <c r="CJ107" s="43" t="n">
        <f aca="false">IF(N(Tasks[[#This Row],[_Pred2UID]])=0,0,IFERROR(MATCH(Tasks[[#This Row],[_Pred2UID]],Tasks[UID],0),-1))</f>
        <v>0</v>
      </c>
      <c r="CK107" s="43" t="n">
        <f aca="false">IF(N(Tasks[[#This Row],[_Pred3UID]])=0,0,IFERROR(MATCH(Tasks[[#This Row],[_Pred3UID]],Tasks[UID],0),-1))</f>
        <v>0</v>
      </c>
      <c r="CL107" s="43" t="n">
        <f aca="false">IF(N(Tasks[[#This Row],[_Pred4UID]])=0,0,IFERROR(MATCH(Tasks[[#This Row],[_Pred4UID]],Tasks[UID],0),-1))</f>
        <v>0</v>
      </c>
      <c r="CM10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7" s="91" t="n">
        <f aca="false">IF(OR(Tasks[[#This Row],[_ConstraintCode]]=2,Tasks[[#This Row],[_ConstraintCode]]=3,Tasks[[#This Row],[_ConstraintCode]]=4,Tasks[[#This Row],[_ConstraintCode]]=6),Tasks[[#This Row],[_ConstraintStart]],0)</f>
        <v>0</v>
      </c>
      <c r="CP107" s="91" t="n">
        <f aca="false">IF(OR(Tasks[[#This Row],[_ConstraintCode]]=2,Tasks[[#This Row],[_ConstraintCode]]=3,Tasks[[#This Row],[_ConstraintCode]]=5,Tasks[[#This Row],[_ConstraintCode]]=7),Tasks[[#This Row],[_ConstraintStart]],2958465)</f>
        <v>2958465</v>
      </c>
      <c r="CQ10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7" s="91" t="str">
        <f aca="false">IF(NOT(Tasks[[#This Row],[_IsLeaf]]=1),"",IF(N(Tasks[[#This Row],[_Days]])&lt;=0,Tasks[[#This Row],[_LeafCalcStart]],WORKDAY.INTL(Tasks[[#This Row],[_LeafCalcStart]],Tasks[[#This Row],[_Days]]-1,WorkWeek,Holidays)))</f>
        <v/>
      </c>
      <c r="CS10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7" s="43" t="str">
        <f aca="false">IF(Tasks[[#This Row],[_Predecessors]]="","",TRIM(MID(SUBSTITUTE(SUBSTITUTE(SUBSTITUTE(UPPER(Tasks[[#This Row],[_Predecessors]]),";",",")," ",""),",",REPT(" ",99)),1,99)))</f>
        <v/>
      </c>
      <c r="CV107" s="43" t="str">
        <f aca="false">IF(Tasks[[#This Row],[_Pred1Text]]="","",IFERROR(VALUE(LEFT(Tasks[[#This Row],[_Pred1Text]],MIN(FIND("F",Tasks[[#This Row],[_Pred1Text]]&amp;"F"),FIND("S",Tasks[[#This Row],[_Pred1Text]]&amp;"S"),FIND("+",Tasks[[#This Row],[_Pred1Text]]&amp;"+"),FIND("-",Tasks[[#This Row],[_Pred1Text]]&amp;"-"))-1)),""))</f>
        <v/>
      </c>
      <c r="CW10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7" s="43" t="str">
        <f aca="false">IF(Tasks[[#This Row],[_Pred1Text]]="","",TRIM(MID(SUBSTITUTE(SUBSTITUTE(SUBSTITUTE(UPPER(Tasks[[#This Row],[_Predecessors]]),";",",")," ",""),",",REPT(" ",99)),100,99)))</f>
        <v/>
      </c>
      <c r="CZ107" s="43" t="str">
        <f aca="false">IF(Tasks[[#This Row],[_Pred2Text]]="","",IFERROR(VALUE(LEFT(Tasks[[#This Row],[_Pred2Text]],MIN(FIND("F",Tasks[[#This Row],[_Pred2Text]]&amp;"F"),FIND("S",Tasks[[#This Row],[_Pred2Text]]&amp;"S"),FIND("+",Tasks[[#This Row],[_Pred2Text]]&amp;"+"),FIND("-",Tasks[[#This Row],[_Pred2Text]]&amp;"-"))-1)),""))</f>
        <v/>
      </c>
      <c r="DA10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7" s="43" t="str">
        <f aca="false">IF(Tasks[[#This Row],[_Pred2Text]]="","",TRIM(MID(SUBSTITUTE(SUBSTITUTE(SUBSTITUTE(UPPER(Tasks[[#This Row],[_Predecessors]]),";",",")," ",""),",",REPT(" ",99)),199,99)))</f>
        <v/>
      </c>
      <c r="DD107" s="43" t="str">
        <f aca="false">IF(Tasks[[#This Row],[_Pred3Text]]="","",IFERROR(VALUE(LEFT(Tasks[[#This Row],[_Pred3Text]],MIN(FIND("F",Tasks[[#This Row],[_Pred3Text]]&amp;"F"),FIND("S",Tasks[[#This Row],[_Pred3Text]]&amp;"S"),FIND("+",Tasks[[#This Row],[_Pred3Text]]&amp;"+"),FIND("-",Tasks[[#This Row],[_Pred3Text]]&amp;"-"))-1)),""))</f>
        <v/>
      </c>
      <c r="DE10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7" s="43" t="str">
        <f aca="false">IF(Tasks[[#This Row],[_Pred3Text]]="","",TRIM(MID(SUBSTITUTE(SUBSTITUTE(SUBSTITUTE(UPPER(Tasks[[#This Row],[_Predecessors]]),";",",")," ",""),",",REPT(" ",99)),298,99)))</f>
        <v/>
      </c>
      <c r="DH107" s="43" t="str">
        <f aca="false">IF(Tasks[[#This Row],[_Pred4Text]]="","",IFERROR(VALUE(LEFT(Tasks[[#This Row],[_Pred4Text]],MIN(FIND("F",Tasks[[#This Row],[_Pred4Text]]&amp;"F"),FIND("S",Tasks[[#This Row],[_Pred4Text]]&amp;"S"),FIND("+",Tasks[[#This Row],[_Pred4Text]]&amp;"+"),FIND("-",Tasks[[#This Row],[_Pred4Text]]&amp;"-"))-1)),""))</f>
        <v/>
      </c>
      <c r="DI10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7" s="43" t="str">
        <f aca="false">IF(OR(Tasks[[#This Row],[Task Name]]="",Tasks[[#This Row],[_Resources]]=""),"",TRIM(MID(SUBSTITUTE(Tasks[[#This Row],[_Resources]],",",REPT(" ",99)),1,99)))</f>
        <v/>
      </c>
      <c r="DL107" s="43" t="str">
        <f aca="false">IF(Tasks[[#This Row],[_Res1Text]]="","",TRIM(MID(SUBSTITUTE(Tasks[[#This Row],[_Resources]],",",REPT(" ",99)),100,99)))</f>
        <v/>
      </c>
      <c r="DM107" s="43" t="str">
        <f aca="false">IF(Tasks[[#This Row],[_Res2Text]]="","",TRIM(MID(SUBSTITUTE(Tasks[[#This Row],[_Resources]],",",REPT(" ",99)),199,99)))</f>
        <v/>
      </c>
      <c r="DN107" s="43" t="str">
        <f aca="false">IF(Tasks[[#This Row],[_Res3Text]]="","",TRIM(MID(SUBSTITUTE(Tasks[[#This Row],[_Resources]],",",REPT(" ",99)),298,99)))</f>
        <v/>
      </c>
      <c r="DO107" s="43" t="n">
        <f aca="false">IF(Tasks[[#This Row],[_Res1Text]]="",0,IFERROR(MATCH(TRIM(LEFT(Tasks[[#This Row],[_Res1Text]],FIND("[",Tasks[[#This Row],[_Res1Text]]&amp;"[")-1)),res_Name,0),IFERROR(MATCH(TRIM(LEFT(Tasks[[#This Row],[_Res1Text]],FIND("[",Tasks[[#This Row],[_Res1Text]]&amp;"[")-1)),res_Initials,0),0)))</f>
        <v>0</v>
      </c>
      <c r="DP107" s="43" t="n">
        <f aca="false">IF(Tasks[[#This Row],[_Res2Text]]="",0,IFERROR(MATCH(TRIM(LEFT(Tasks[[#This Row],[_Res2Text]],FIND("[",Tasks[[#This Row],[_Res2Text]]&amp;"[")-1)),res_Name,0),IFERROR(MATCH(TRIM(LEFT(Tasks[[#This Row],[_Res2Text]],FIND("[",Tasks[[#This Row],[_Res2Text]]&amp;"[")-1)),res_Initials,0),0)))</f>
        <v>0</v>
      </c>
      <c r="DQ107" s="43" t="n">
        <f aca="false">IF(Tasks[[#This Row],[_Res3Text]]="",0,IFERROR(MATCH(TRIM(LEFT(Tasks[[#This Row],[_Res3Text]],FIND("[",Tasks[[#This Row],[_Res3Text]]&amp;"[")-1)),res_Name,0),IFERROR(MATCH(TRIM(LEFT(Tasks[[#This Row],[_Res3Text]],FIND("[",Tasks[[#This Row],[_Res3Text]]&amp;"[")-1)),res_Initials,0),0)))</f>
        <v>0</v>
      </c>
      <c r="DR107" s="43" t="n">
        <f aca="false">IF(Tasks[[#This Row],[_Res4Text]]="",0,IFERROR(MATCH(TRIM(LEFT(Tasks[[#This Row],[_Res4Text]],FIND("[",Tasks[[#This Row],[_Res4Text]]&amp;"[")-1)),res_Name,0),IFERROR(MATCH(TRIM(LEFT(Tasks[[#This Row],[_Res4Text]],FIND("[",Tasks[[#This Row],[_Res4Text]]&amp;"[")-1)),res_Initials,0),0)))</f>
        <v>0</v>
      </c>
      <c r="DS107" s="43" t="str">
        <f aca="false">IF(Tasks[[#This Row],[_Res1Text]]="","",IF(Tasks[[#This Row],[_Res1Row]]&gt;0,INDEX(res_Name,Tasks[[#This Row],[_Res1Row]]),TRIM(LEFT(Tasks[[#This Row],[_Res1Text]],FIND("[",Tasks[[#This Row],[_Res1Text]]&amp;"[")-1))))</f>
        <v/>
      </c>
      <c r="DT10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7" s="43" t="n">
        <f aca="false">IF(NOT(Tasks[[#This Row],[_IsLeaf]]=1),0,(Tasks[[#This Row],[_Resource1]]&lt;&gt;"")+(Tasks[[#This Row],[_Res2]]&lt;&gt;"")+(Tasks[[#This Row],[_Res3]]&lt;&gt;"")+(Tasks[[#This Row],[_Res4]]&lt;&gt;""))</f>
        <v>0</v>
      </c>
      <c r="DV107" s="43" t="str">
        <f aca="false">IF(Tasks[[#This Row],[_Res2Text]]="","",IF(Tasks[[#This Row],[_Res2Row]]&gt;0,INDEX(res_Name,Tasks[[#This Row],[_Res2Row]]),TRIM(LEFT(Tasks[[#This Row],[_Res2Text]],FIND("[",Tasks[[#This Row],[_Res2Text]]&amp;"[")-1))))</f>
        <v/>
      </c>
      <c r="DW10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7" s="43" t="n">
        <f aca="false">IF(OR(NOT(Tasks[[#This Row],[_IsLeaf]]=1),Tasks[[#This Row],[_Res2Row]]=0),0,N(Tasks[[#This Row],[_Days]])*HoursPerDay*IF(Tasks[[#This Row],[_Res2Units]]="",DefaultUnits,Tasks[[#This Row],[_Res2Units]]))</f>
        <v>0</v>
      </c>
      <c r="DY107" s="43" t="n">
        <f aca="false">IF(AND(AND(Tasks[[#This Row],[_IsLeaf]]=1,Tasks[[#This Row],[_LeafTotalWork]]&gt;0),Tasks[[#This Row],[_Res2Work]]&gt;0),Tasks[[#This Row],[_Res2Work]]/(Tasks[[#This Row],[_FinishWorkday]]-Tasks[[#This Row],[_StartWorkday]]+1),0)</f>
        <v>0</v>
      </c>
      <c r="DZ107" s="43" t="n">
        <f aca="false">Tasks[[#This Row],[_Res2WorkPerWD]]*MAX(0,Tasks[[#This Row],[_StartWorkday]]-1)</f>
        <v>0</v>
      </c>
      <c r="EA107" s="43" t="n">
        <f aca="false">Tasks[[#This Row],[_Res2Work]]*Tasks[[#This Row],[_LeafProgress]]</f>
        <v>0</v>
      </c>
      <c r="EB107" s="43" t="str">
        <f aca="false">IF(Tasks[[#This Row],[_Res3Text]]="","",IF(Tasks[[#This Row],[_Res3Row]]&gt;0,INDEX(res_Name,Tasks[[#This Row],[_Res3Row]]),TRIM(LEFT(Tasks[[#This Row],[_Res3Text]],FIND("[",Tasks[[#This Row],[_Res3Text]]&amp;"[")-1))))</f>
        <v/>
      </c>
      <c r="EC10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7" s="43" t="n">
        <f aca="false">IF(OR(NOT(Tasks[[#This Row],[_IsLeaf]]=1),Tasks[[#This Row],[_Res3Row]]=0),0,N(Tasks[[#This Row],[_Days]])*HoursPerDay*IF(Tasks[[#This Row],[_Res3Units]]="",DefaultUnits,Tasks[[#This Row],[_Res3Units]]))</f>
        <v>0</v>
      </c>
      <c r="EE107" s="43" t="n">
        <f aca="false">IF(AND(AND(Tasks[[#This Row],[_IsLeaf]]=1,Tasks[[#This Row],[_LeafTotalWork]]&gt;0),Tasks[[#This Row],[_Res3Work]]&gt;0),Tasks[[#This Row],[_Res3Work]]/(Tasks[[#This Row],[_FinishWorkday]]-Tasks[[#This Row],[_StartWorkday]]+1),0)</f>
        <v>0</v>
      </c>
      <c r="EF107" s="43" t="n">
        <f aca="false">Tasks[[#This Row],[_Res3WorkPerWD]]*MAX(0,Tasks[[#This Row],[_StartWorkday]]-1)</f>
        <v>0</v>
      </c>
      <c r="EG107" s="43" t="n">
        <f aca="false">Tasks[[#This Row],[_Res3Work]]*Tasks[[#This Row],[_LeafProgress]]</f>
        <v>0</v>
      </c>
      <c r="EH107" s="43" t="str">
        <f aca="false">IF(Tasks[[#This Row],[_Res4Text]]="","",IF(Tasks[[#This Row],[_Res4Row]]&gt;0,INDEX(res_Name,Tasks[[#This Row],[_Res4Row]]),TRIM(LEFT(Tasks[[#This Row],[_Res4Text]],FIND("[",Tasks[[#This Row],[_Res4Text]]&amp;"[")-1))))</f>
        <v/>
      </c>
      <c r="EI10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7" s="43" t="n">
        <f aca="false">IF(OR(NOT(Tasks[[#This Row],[_IsLeaf]]=1),Tasks[[#This Row],[_Res4Row]]=0),0,N(Tasks[[#This Row],[_Days]])*HoursPerDay*IF(Tasks[[#This Row],[_Res4Units]]="",DefaultUnits,Tasks[[#This Row],[_Res4Units]]))</f>
        <v>0</v>
      </c>
      <c r="EK107" s="43" t="n">
        <f aca="false">IF(AND(AND(Tasks[[#This Row],[_IsLeaf]]=1,Tasks[[#This Row],[_LeafTotalWork]]&gt;0),Tasks[[#This Row],[_Res4Work]]&gt;0),Tasks[[#This Row],[_Res4Work]]/(Tasks[[#This Row],[_FinishWorkday]]-Tasks[[#This Row],[_StartWorkday]]+1),0)</f>
        <v>0</v>
      </c>
      <c r="EL107" s="43" t="n">
        <f aca="false">Tasks[[#This Row],[_Res4WorkPerWD]]*MAX(0,Tasks[[#This Row],[_StartWorkday]]-1)</f>
        <v>0</v>
      </c>
      <c r="EM107" s="43" t="n">
        <f aca="false">Tasks[[#This Row],[_Res4Work]]*Tasks[[#This Row],[_LeafProgress]]</f>
        <v>0</v>
      </c>
      <c r="EN107" s="43" t="n">
        <f aca="false">IF(ISNUMBER(Tasks[[#This Row],[% Complete]]),Tasks[[#This Row],[% Complete]],IF(Tasks[[#This Row],[Stage]]="",0,IFERROR(INDEX(stg_Pct,MATCH(Tasks[[#This Row],[Stage]],stg_Name,0)),0)))</f>
        <v>0</v>
      </c>
      <c r="EO107" s="43" t="n">
        <f aca="false">IF(NOT(Tasks[[#This Row],[_IsLeaf]]=1),0,IF(N(Tasks[[#This Row],[Actual Finish]])&gt;0,1,MIN(1,Tasks[[#This Row],[_Pct]])))</f>
        <v>0</v>
      </c>
      <c r="EP107" s="43" t="n">
        <f aca="false">IF(OR(NOT(Tasks[[#This Row],[_IsLeaf]]=1),Tasks[[#This Row],[_Res1Row]]=0),0,N(Tasks[[#This Row],[_Days]])*HoursPerDay*IF(Tasks[[#This Row],[_Units1]]="",DefaultUnits,Tasks[[#This Row],[_Units1]]))</f>
        <v>0</v>
      </c>
      <c r="EQ107" s="43" t="n">
        <f aca="false">Tasks[[#This Row],[_LeafWork]]+Tasks[[#This Row],[_Res2Work]]+Tasks[[#This Row],[_Res3Work]]+Tasks[[#This Row],[_Res4Work]]</f>
        <v>0</v>
      </c>
      <c r="ER10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7" s="43" t="n">
        <f aca="false">IF(NOT(Tasks[[#This Row],[_IsLeaf]]=1),0,MAX(_xlfn.MAXIFS(Tasks[_Row],Tasks[_Pred1UID],Tasks[[#This Row],[UID]]),_xlfn.MAXIFS(Tasks[_Row],Tasks[_Pred2UID],Tasks[[#This Row],[UID]]),_xlfn.MAXIFS(Tasks[_Row],Tasks[_Pred3UID],Tasks[[#This Row],[UID]]),_xlfn.MAXIFS(Tasks[_Row],Tasks[_Pred4UID],Tasks[[#This Row],[UID]])))</f>
        <v>0</v>
      </c>
      <c r="FA10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7" s="91" t="str">
        <f aca="false">IF(NOT(Tasks[[#This Row],[_IsLeaf]]=1),"",IF(N(Tasks[[#This Row],[_Days]])&lt;=0,Tasks[[#This Row],[_LeafLateFinish]],WORKDAY.INTL(Tasks[[#This Row],[_LeafLateFinish]],-(Tasks[[#This Row],[_Days]]-1),WorkWeek,Holidays)))</f>
        <v/>
      </c>
      <c r="FD10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7" s="90" t="b">
        <f aca="false">AND(Tasks[[#This Row],[_IsLeaf]]=1,Tasks[[#This Row],[_LeafProgress]]&lt;1,N(Tasks[[#This Row],[_LeafTotalSlack]])&lt;=CriticalSlackDays)</f>
        <v>0</v>
      </c>
      <c r="FF107" s="43" t="n">
        <f aca="false">IF(AND(Tasks[[#This Row],[_IsLeaf]]=1,Tasks[[#This Row],[_ConstraintCode]]=1,Tasks[[#This Row],[Mode]]&lt;&gt;"Manual",N(Tasks[[#This Row],[Actual Start]])=0),MAX(0,N(Tasks[[#This Row],[Free Slack]])),0)</f>
        <v>0</v>
      </c>
      <c r="FG107" s="91" t="str">
        <f aca="false">IF(NOT(Tasks[[#This Row],[_IsLeaf]]=1),"",IF(Tasks[[#This Row],[_AlapShift]]=0,Tasks[[#This Row],[_LeafCalcStart]],WORKDAY.INTL(Tasks[[#This Row],[_LeafCalcStart]],Tasks[[#This Row],[_AlapShift]],WorkWeek,Holidays)))</f>
        <v/>
      </c>
      <c r="FH107" s="91" t="str">
        <f aca="false">IF(NOT(Tasks[[#This Row],[_IsLeaf]]=1),"",IF(Tasks[[#This Row],[_AlapShift]]=0,Tasks[[#This Row],[_LeafCalcFinish]],WORKDAY.INTL(Tasks[[#This Row],[_LeafCalcFinish]],Tasks[[#This Row],[_AlapShift]],WorkWeek,Holidays)))</f>
        <v/>
      </c>
      <c r="FI107" s="91" t="str">
        <f aca="false">IF(NOT(Tasks[[#This Row],[_IsLeaf]]=1),"",IF(Tasks[[#This Row],[_AlapShift]]=0,Tasks[[#This Row],[_LeafFcstStart]],WORKDAY.INTL(Tasks[[#This Row],[_LeafFcstStart]],Tasks[[#This Row],[_AlapShift]],WorkWeek,Holidays)))</f>
        <v/>
      </c>
      <c r="FJ107" s="91" t="str">
        <f aca="false">IF(NOT(Tasks[[#This Row],[_IsLeaf]]=1),"",IF(Tasks[[#This Row],[_AlapShift]]=0,Tasks[[#This Row],[_LeafFcstFinish]],WORKDAY.INTL(Tasks[[#This Row],[_LeafFcstFinish]],Tasks[[#This Row],[_AlapShift]],WorkWeek,Holidays)))</f>
        <v/>
      </c>
      <c r="FK107" s="91" t="str">
        <f aca="false">IF(Tasks[[#This Row],[Task Name]]="","",IF(Tasks[[#This Row],[_IsSummary]],MIN(INDEX(Tasks[_ShownCalcStart],Tasks[[#This Row],[_Row]]+1):INDEX(Tasks[_ShownCalcStart],Tasks[[#This Row],[_Row]]+Tasks[[#This Row],[_Descendants]])),Tasks[[#This Row],[_ShownCalcStart]]))</f>
        <v/>
      </c>
      <c r="FL107" s="91" t="str">
        <f aca="false">IF(Tasks[[#This Row],[Task Name]]="","",IF(Tasks[[#This Row],[_IsSummary]],MAX(INDEX(Tasks[_ShownCalcFinish],Tasks[[#This Row],[_Row]]+1):INDEX(Tasks[_ShownCalcFinish],Tasks[[#This Row],[_Row]]+Tasks[[#This Row],[_Descendants]])),Tasks[[#This Row],[_ShownCalcFinish]]))</f>
        <v/>
      </c>
      <c r="FM10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7" s="43" t="n">
        <f aca="false">IF(AND(Tasks[[#This Row],[_IsLeaf]]=1,Tasks[[#This Row],[_LeafTotalWork]]&gt;0),NETWORKDAYS.INTL(ProjectStart,Tasks[[#This Row],[_ShownFcstStart]],WorkWeek,Holidays),0)</f>
        <v>0</v>
      </c>
      <c r="FZ107" s="43" t="n">
        <f aca="false">IF(AND(Tasks[[#This Row],[_IsLeaf]]=1,Tasks[[#This Row],[_LeafTotalWork]]&gt;0),MAX(Tasks[[#This Row],[_StartWorkday]],NETWORKDAYS.INTL(ProjectStart,Tasks[[#This Row],[_ShownFcstFinish]],WorkWeek,Holidays)),0)</f>
        <v>0</v>
      </c>
      <c r="GA107" s="43" t="n">
        <f aca="false">IF(AND(Tasks[[#This Row],[_IsLeaf]]=1,Tasks[[#This Row],[_LeafTotalWork]]&gt;0),Tasks[[#This Row],[_LeafWork]]/(Tasks[[#This Row],[_FinishWorkday]]-Tasks[[#This Row],[_StartWorkday]]+1),0)</f>
        <v>0</v>
      </c>
      <c r="GB107" s="43" t="n">
        <f aca="false">Tasks[[#This Row],[_WorkPerWorkday]]*(Tasks[[#This Row],[_StartWorkday]]-1)</f>
        <v>-0</v>
      </c>
      <c r="GC107" s="43" t="n">
        <f aca="false">IF(Tasks[[#This Row],[_IsLeaf]]=1,MAX(N(Tasks[[#This Row],[_Days]]),0.1),0)</f>
        <v>0</v>
      </c>
      <c r="GD107" s="43" t="n">
        <f aca="false">Tasks[[#This Row],[_WeightDur]]*Tasks[[#This Row],[_LeafProgress]]</f>
        <v>0</v>
      </c>
      <c r="GE107" s="43" t="n">
        <f aca="false">Tasks[[#This Row],[_WeightDur]]*Tasks[[#This Row],[_PlannedPct]]</f>
        <v>0</v>
      </c>
      <c r="GF10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7" s="43" t="str">
        <f aca="false">IF(AND(Tasks[[#This Row],[_IsLeaf]]=1,N(Tasks[[#This Row],[_Days]])=0,Tasks[[#This Row],[_LeafProgress]]&lt;1),Tasks[[#This Row],[_ShownFcstFinish]]+Tasks[[#This Row],[_Row]]/100000,"")</f>
        <v/>
      </c>
      <c r="GH10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7" s="43" t="str">
        <f aca="false">IF(Tasks[[#This Row],[Task Name]]="","",LEFT(Tasks[[#This Row],[WBS]],FIND(".",Tasks[[#This Row],[WBS]]&amp;".")-1))</f>
        <v/>
      </c>
      <c r="GJ107" s="43" t="str">
        <f aca="false">IF(AND(Tasks[[#This Row],[Task Name]]&lt;&gt;"",Tasks[[#This Row],[_Level]]=1),Tasks[[#This Row],[_Row]],"")</f>
        <v/>
      </c>
      <c r="GK107" s="43" t="str">
        <f aca="false">IF(AND(Tasks[[#This Row],[_IsLeaf]]=1,N(Tasks[[#This Row],[_Days]])=0),Tasks[[#This Row],[Planned Finish]]+Tasks[[#This Row],[_Row]]/100000,"")</f>
        <v/>
      </c>
      <c r="GL107" s="43" t="str">
        <f aca="false">IF(AND(Tasks[[#This Row],[_IsLeaf]]=1,Tasks[[#This Row],[_LeafProgress]]&lt;1,OR(N(Tasks[[#This Row],[Finish Var]])&gt;0,Tasks[[#This Row],[Status]]="Late Start")),MAX(0,Tasks[[#This Row],[Finish Var]])+1-Tasks[[#This Row],[_Row]]/1000000,"")</f>
        <v/>
      </c>
      <c r="GM107" s="43" t="str">
        <f aca="false">IF(AND(Tasks[[#This Row],[_IsLeaf]]=1,N(Tasks[[#This Row],[Actual Start]])=0,Tasks[[#This Row],[_ShownFcstStart]]&gt;=StatusDate,Tasks[[#This Row],[_ShownFcstStart]]&lt;=LookaheadEnd),Tasks[[#This Row],[_ShownFcstStart]]+Tasks[[#This Row],[_Row]]/100000,"")</f>
        <v/>
      </c>
      <c r="GN107" s="43" t="str">
        <f aca="false">IF(AND(Tasks[[#This Row],[_IsLeaf]]=1,Tasks[[#This Row],[_LeafProgress]]&lt;1,Tasks[[#This Row],[_ShownFcstFinish]]&gt;=StatusDate,Tasks[[#This Row],[_ShownFcstFinish]]&lt;=LookaheadEnd),Tasks[[#This Row],[_ShownFcstFinish]]+Tasks[[#This Row],[_Row]]/100000,"")</f>
        <v/>
      </c>
      <c r="GO107" s="43" t="str">
        <f aca="false">IF(Tasks[[#This Row],[_LeafCritical]],Tasks[[#This Row],[_ShownFcstStart]]+Tasks[[#This Row],[_Row]]/100000,"")</f>
        <v/>
      </c>
      <c r="GP107" s="43" t="n">
        <f aca="false">Tasks[[#This Row],[_LeafWork]]*Tasks[[#This Row],[_LeafProgress]]</f>
        <v>0</v>
      </c>
      <c r="GQ107" s="91" t="str">
        <f aca="false">IF(AND(Tasks[[#This Row],[_IsLeaf]]=1,Tasks[[#This Row],[_LeafProgress]]&gt;=1),IF(N(Tasks[[#This Row],[Actual Finish]])&gt;0,Tasks[[#This Row],[Actual Finish]],Tasks[[#This Row],[_ShownFcstFinish]]),"")</f>
        <v/>
      </c>
      <c r="GR107" s="43" t="n">
        <f aca="false">IF(Tasks[[#This Row],[_IsLeaf]]=1,N(Tasks[[#This Row],[Story Points]]),0)</f>
        <v>0</v>
      </c>
      <c r="GS107" s="43" t="str">
        <f aca="false">""</f>
        <v/>
      </c>
      <c r="GT107" s="90" t="b">
        <f aca="false">IF(Tasks[[#This Row],[Task Name]]="",FALSE(),AND(Tasks[[#This Row],[_IsLeaf]]=1,N(Tasks[[#This Row],[_Days]])=0))</f>
        <v>0</v>
      </c>
      <c r="GU107" s="91" t="n">
        <f aca="false">IF(Tasks[[#This Row],[Task Name]]="",0,IF(AND(Tasks[[#This Row],[_IsLeaf]]=1,NOT(Tasks[[#This Row],[_IsMilestone]]),N(Tasks[[#This Row],[Progress]])&gt;0),Tasks[[#This Row],[Start]],0))</f>
        <v>0</v>
      </c>
      <c r="GV107" s="91" t="n">
        <f aca="false">IF(Tasks[[#This Row],[_DoneFrom]]=0,0,IF(Tasks[[#This Row],[Progress]]&gt;=1,Tasks[[#This Row],[Finish]],MAX(Tasks[[#This Row],[_DoneFrom]],Tasks[[#This Row],[Start]]+ROUND((Tasks[[#This Row],[Finish]]-Tasks[[#This Row],[Start]]+1)*Tasks[[#This Row],[Progress]],0)-1)))</f>
        <v>0</v>
      </c>
      <c r="GW107" s="91" t="n">
        <f aca="false">IF(Tasks[[#This Row],[Task Name]]="",0,IF(OR(NOT(Tasks[[#This Row],[_IsLeaf]]=1),Tasks[[#This Row],[_IsMilestone]],N(Tasks[[#This Row],[Progress]])&gt;=1),0,IF(Tasks[[#This Row],[_DoneTo]]&gt;0,Tasks[[#This Row],[_DoneTo]]+1,Tasks[[#This Row],[Start]])))</f>
        <v>0</v>
      </c>
      <c r="GX107" s="91" t="n">
        <f aca="false">IF(Tasks[[#This Row],[_RemFrom]]=0,0,Tasks[[#This Row],[Finish]])</f>
        <v>0</v>
      </c>
      <c r="GY107" s="90" t="b">
        <f aca="false">IF(Tasks[[#This Row],[Task Name]]="",FALSE(),OR(NOT(BaselineSet),N(Tasks[[#This Row],[Baseline Start]])&gt;0))</f>
        <v>0</v>
      </c>
      <c r="GZ10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7" s="92" t="str">
        <f aca="false">IF(Tasks[[#This Row],[_IsLeaf]]=1,Tasks[[#This Row],[_Row]],"")</f>
        <v/>
      </c>
      <c r="HD107" s="92" t="str">
        <f aca="false">IFERROR(INDEX(Tasks[UID],SMALL(Tasks[_PickKey],Tasks[[#This Row],[_Row]]))&amp;" "&amp;INDEX(Tasks[Task Name],SMALL(Tasks[_PickKey],Tasks[[#This Row],[_Row]])),"")</f>
        <v/>
      </c>
      <c r="HE107" s="43" t="str">
        <f aca="false">IF(Tasks[[#This Row],[Task Name]]="","",IF(Tasks[[#This Row],[_IsSummary]],NETWORKDAYS.INTL(Tasks[[#This Row],[Start]],Tasks[[#This Row],[Finish]],WorkWeek,Holidays),N(Tasks[[#This Row],[_Days]])))</f>
        <v/>
      </c>
      <c r="HF107" s="43" t="n">
        <f aca="false">IF(Tasks[[#This Row],[Expected]]="",0,((Tasks[[#This Row],[Pessimistic]]-Tasks[[#This Row],[Optimistic]])/6)^2)</f>
        <v>0</v>
      </c>
      <c r="HG107" s="43" t="n">
        <f aca="false">IF(Tasks[[#This Row],[Expected]]="",0,Tasks[[#This Row],[Expected]]-N(Tasks[[#This Row],[_Days]]))</f>
        <v>0</v>
      </c>
    </row>
    <row r="108" customFormat="false" ht="15" hidden="false" customHeight="false" outlineLevel="0" collapsed="false">
      <c r="A108" s="21" t="str">
        <f aca="false">IF(Tasks[[#This Row],[Task Name]]="","",COUNTA(Tasks[[#Headers],[Task Name]]:Tasks[[#This Row],[Task Name]])-1)</f>
        <v/>
      </c>
      <c r="B108" s="22" t="n">
        <v>116</v>
      </c>
      <c r="C108" s="22"/>
      <c r="D108" s="23"/>
      <c r="E108" s="22"/>
      <c r="F108" s="23"/>
      <c r="G108" s="22"/>
      <c r="H108" s="22"/>
      <c r="I108" s="23"/>
      <c r="J108" s="22"/>
      <c r="K108" s="22"/>
      <c r="L108" s="23"/>
      <c r="M108" s="22"/>
      <c r="N108" s="22"/>
      <c r="O108" s="23"/>
      <c r="P108" s="22"/>
      <c r="Q108" s="22"/>
      <c r="R108" s="23"/>
      <c r="S108" s="23"/>
      <c r="T108" s="84"/>
      <c r="U108" s="23"/>
      <c r="V108" s="84"/>
      <c r="W108" s="23"/>
      <c r="X108" s="84"/>
      <c r="Y108" s="23"/>
      <c r="Z108" s="84"/>
      <c r="AA108" s="23"/>
      <c r="AB108" s="23"/>
      <c r="AC108" s="7"/>
      <c r="AD108" s="7"/>
      <c r="AE108" s="63" t="str">
        <f aca="false">IF(Tasks[[#This Row],[Task Name]]="","",IF(Tasks[[#This Row],[_IsSummary]],MIN(INDEX(Tasks[_ShownFcstStart],Tasks[[#This Row],[_Row]]+1):INDEX(Tasks[_ShownFcstStart],Tasks[[#This Row],[_Row]]+Tasks[[#This Row],[_Descendants]])),Tasks[[#This Row],[_ShownFcstStart]]))</f>
        <v/>
      </c>
      <c r="AF108" s="63" t="str">
        <f aca="false">IF(Tasks[[#This Row],[Task Name]]="","",IF(Tasks[[#This Row],[_IsSummary]],MAX(INDEX(Tasks[_ShownFcstFinish],Tasks[[#This Row],[_Row]]+1):INDEX(Tasks[_ShownFcstFinish],Tasks[[#This Row],[_Row]]+Tasks[[#This Row],[_Descendants]])),Tasks[[#This Row],[_ShownFcstFinish]]))</f>
        <v/>
      </c>
      <c r="AG108" s="21" t="str">
        <f aca="false">""</f>
        <v/>
      </c>
      <c r="AH108" s="23"/>
      <c r="AI10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8" s="7"/>
      <c r="AK108" s="22"/>
      <c r="AL108" s="23"/>
      <c r="AM108" s="7"/>
      <c r="AN108" s="47" t="str">
        <f aca="false">IF(Tasks[[#This Row],[Task Name]]="","",IF(Tasks[[#This Row],[Finish]]&gt;=Tasks[[#This Row],[Planned Finish]],NETWORKDAYS.INTL(Tasks[[#This Row],[Planned Finish]],Tasks[[#This Row],[Finish]],WorkWeek,Holidays)-1,1-NETWORKDAYS.INTL(Tasks[[#This Row],[Finish]],Tasks[[#This Row],[Planned Finish]],WorkWeek,Holidays)))</f>
        <v/>
      </c>
      <c r="AO108" s="21" t="str">
        <f aca="false">IF(Tasks[[#This Row],[Task Name]]="","",IF(Tasks[[#This Row],[Progress]]&gt;=1,"Complete",IF(OR(N(Tasks[[#This Row],[Actual Start]])&gt;0,Tasks[[#This Row],[Progress]]&gt;0),IF(Tasks[[#This Row],[Finish Var]]&gt;0,"Behind","In Progress"),IF(Tasks[[#This Row],[Planned Start]]&lt;StatusDate,"Late Start","Not Started"))))</f>
        <v/>
      </c>
      <c r="AP108" s="21" t="str">
        <f aca="false">IF(Tasks[[#This Row],[Task Name]]="","",IF(IF(Tasks[[#This Row],[_IsSummary]],COUNTIF(INDEX(Tasks[_LeafCritical],Tasks[[#This Row],[_Row]]+1):INDEX(Tasks[_LeafCritical],Tasks[[#This Row],[_Row]]+Tasks[[#This Row],[_Descendants]]),TRUE())&gt;0,Tasks[[#This Row],[_LeafCritical]]),"Yes",""))</f>
        <v/>
      </c>
      <c r="AQ108" s="63" t="str">
        <f aca="false">IF(Tasks[[#This Row],[Task Name]]="","",IF(N(Tasks[[#This Row],[Baseline Start]])&gt;0,Tasks[[#This Row],[Baseline Start]],Tasks[[#This Row],[_CalcStart]]))</f>
        <v/>
      </c>
      <c r="AR108" s="63" t="str">
        <f aca="false">IF(Tasks[[#This Row],[Task Name]]="","",IF(N(Tasks[[#This Row],[Baseline Finish]])&gt;0,Tasks[[#This Row],[Baseline Finish]],Tasks[[#This Row],[_CalcFinish]]))</f>
        <v/>
      </c>
      <c r="AS108" s="47" t="str">
        <f aca="false">IF(Tasks[[#This Row],[Task Name]]="","",IF(Tasks[[#This Row],[Start]]&gt;=Tasks[[#This Row],[Planned Start]],NETWORKDAYS.INTL(Tasks[[#This Row],[Planned Start]],Tasks[[#This Row],[Start]],WorkWeek,Holidays)-1,1-NETWORKDAYS.INTL(Tasks[[#This Row],[Start]],Tasks[[#This Row],[Planned Start]],WorkWeek,Holidays)))</f>
        <v/>
      </c>
      <c r="AT108" s="63" t="str">
        <f aca="false">IF(Tasks[[#This Row],[Task Name]]="","",IF(Tasks[[#This Row],[_IsSummary]],MIN(INDEX(Tasks[_LeafLateStart],Tasks[[#This Row],[_Row]]+1):INDEX(Tasks[_LeafLateStart],Tasks[[#This Row],[_Row]]+Tasks[[#This Row],[_Descendants]])),Tasks[[#This Row],[_LeafLateStart]]))</f>
        <v/>
      </c>
      <c r="AU108" s="63" t="str">
        <f aca="false">IF(Tasks[[#This Row],[Task Name]]="","",IF(Tasks[[#This Row],[_IsSummary]],MAX(INDEX(Tasks[_LeafLateFinish],Tasks[[#This Row],[_Row]]+1):INDEX(Tasks[_LeafLateFinish],Tasks[[#This Row],[_Row]]+Tasks[[#This Row],[_Descendants]])),Tasks[[#This Row],[_LeafLateFinish]]))</f>
        <v/>
      </c>
      <c r="AV108" s="47" t="str">
        <f aca="false">IF(Tasks[[#This Row],[Task Name]]="","",IF(Tasks[[#This Row],[_IsSummary]],MIN(INDEX(Tasks[_LeafTotalSlack],Tasks[[#This Row],[_Row]]+1):INDEX(Tasks[_LeafTotalSlack],Tasks[[#This Row],[_Row]]+Tasks[[#This Row],[_Descendants]])),Tasks[[#This Row],[_LeafTotalSlack]]))</f>
        <v/>
      </c>
      <c r="AW10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5"/>
      <c r="BA10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1" t="str">
        <f aca="false">IF(Tasks[[#This Row],[Task Name]]="","",IF(Tasks[[#This Row],[_Level]]&lt;=OutlineShowLevel,"Yes","No"))</f>
        <v/>
      </c>
      <c r="BE108" s="86" t="str">
        <f aca="false">IF(Tasks[[#This Row],[Task Name]]="","",IF(Tasks[[#This Row],[_IsSummary]],SUM(INDEX(Tasks[_LeafTotalWork],Tasks[[#This Row],[_Row]]+1):INDEX(Tasks[_LeafTotalWork],Tasks[[#This Row],[_Row]]+Tasks[[#This Row],[_Descendants]])),Tasks[[#This Row],[_LeafTotalWork]]))</f>
        <v/>
      </c>
      <c r="BF108" s="23"/>
      <c r="BG10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8" s="21" t="str">
        <f aca="false">""</f>
        <v/>
      </c>
      <c r="BI108" s="87"/>
      <c r="BJ108" s="22"/>
      <c r="BK108" s="47" t="str">
        <f aca="false">IF(OR(Tasks[[#This Row],[Task Name]]="",Tasks[[#This Row],[Baseline Duration]]=""),"",Tasks[[#This Row],[_SpanDays]]-N(Tasks[[#This Row],[Baseline Duration]]))</f>
        <v/>
      </c>
      <c r="BL108" s="86" t="str">
        <f aca="false">IF(OR(Tasks[[#This Row],[Task Name]]="",Tasks[[#This Row],[Baseline Work]]=""),"",Tasks[[#This Row],[Work]]-N(Tasks[[#This Row],[Baseline Work]]))</f>
        <v/>
      </c>
      <c r="BM108" s="63" t="str">
        <f aca="false">IF(Tasks[[#This Row],[Task Name]]="","",IF(OR(TakeBaseline="Yes",N(Tasks[[#This Row],[Baseline Start]])=0),Tasks[[#This Row],[Start]],Tasks[[#This Row],[Baseline Start]]))</f>
        <v/>
      </c>
      <c r="BN108" s="63" t="str">
        <f aca="false">IF(Tasks[[#This Row],[Task Name]]="","",IF(OR(TakeBaseline="Yes",N(Tasks[[#This Row],[Baseline Finish]])=0),Tasks[[#This Row],[Finish]],Tasks[[#This Row],[Baseline Finish]]))</f>
        <v/>
      </c>
      <c r="BO108" s="21" t="str">
        <f aca="false">IF(Tasks[[#This Row],[Task Name]]="","",IF(OR(TakeBaseline="Yes",N(Tasks[[#This Row],[Baseline Duration]])=0),Tasks[[#This Row],[_SpanDays]],Tasks[[#This Row],[Baseline Duration]]))</f>
        <v/>
      </c>
      <c r="BP108" s="86" t="str">
        <f aca="false">IF(Tasks[[#This Row],[Task Name]]="","",IF(OR(TakeBaseline="Yes",N(Tasks[[#This Row],[Baseline Work]])=0),Tasks[[#This Row],[Work]],Tasks[[#This Row],[Baseline Work]]))</f>
        <v/>
      </c>
      <c r="BQ108" s="7"/>
      <c r="BR108" s="7"/>
      <c r="BS108" s="22"/>
      <c r="BT108" s="88"/>
      <c r="BU108" s="23"/>
      <c r="BV108" s="23"/>
      <c r="BW108" s="23"/>
      <c r="BX108" s="89" t="str">
        <f aca="false">IF(AND(Tasks[[#This Row],[_IsLeaf]]=1,ISNUMBER(Tasks[[#This Row],[Optimistic]]),ISNUMBER(Tasks[[#This Row],[Pessimistic]])),ROUND((Tasks[[#This Row],[Optimistic]]+4*N(Tasks[[#This Row],[_Days]])+Tasks[[#This Row],[Pessimistic]])/6,1),"")</f>
        <v/>
      </c>
      <c r="BY108" s="87"/>
      <c r="BZ108" s="87"/>
      <c r="CA108" s="22"/>
      <c r="CB108" s="43" t="str">
        <f aca="false">IF(Tasks[[#This Row],[Task Name]]="","",MAX(1,N(Tasks[[#This Row],[Level]])))</f>
        <v/>
      </c>
      <c r="CC108" s="43" t="n">
        <f aca="false">ROW()-ROW(Tasks[[#Headers],[ID]])</f>
        <v>103</v>
      </c>
      <c r="CD108" s="43" t="n">
        <f aca="false">IF(OR(Tasks[[#This Row],[Task Name]]="",Tasks[[#This Row],[_Level]]&lt;=1),0,IFERROR(LOOKUP(2,1/(Tasks[[#Headers],[_Level]]:Tasks[[#This Row],[_Level]]=Tasks[[#This Row],[_Level]]-1),ROW(Tasks[[#Headers],[_Level]]:Tasks[[#This Row],[_Level]])),0))</f>
        <v>0</v>
      </c>
      <c r="CE108" s="43" t="n">
        <f aca="false">IFERROR(N(INDEX(Tasks[_Level],Tasks[[#This Row],[_Row]]+1)),0)</f>
        <v>0</v>
      </c>
      <c r="CF108" s="90" t="b">
        <f aca="false">AND(Tasks[[#This Row],[Task Name]]&lt;&gt;"",Tasks[[#This Row],[_NextLevel]]&gt;Tasks[[#This Row],[_Level]])</f>
        <v>0</v>
      </c>
      <c r="CG108" s="43" t="n">
        <f aca="false">IF(Tasks[[#This Row],[_IsSummary]],COUNTIF(Tasks[WBS],Tasks[[#This Row],[WBS]]&amp;".*"),0)</f>
        <v>0</v>
      </c>
      <c r="CH108" s="43" t="n">
        <f aca="false">IF(AND(Tasks[[#This Row],[Task Name]]&lt;&gt;"",NOT(Tasks[[#This Row],[_IsSummary]])),1,0)</f>
        <v>0</v>
      </c>
      <c r="CI108" s="43" t="n">
        <f aca="false">IF(N(Tasks[[#This Row],[_Pred1UID]])=0,0,IFERROR(MATCH(Tasks[[#This Row],[_Pred1UID]],Tasks[UID],0),-1))</f>
        <v>0</v>
      </c>
      <c r="CJ108" s="43" t="n">
        <f aca="false">IF(N(Tasks[[#This Row],[_Pred2UID]])=0,0,IFERROR(MATCH(Tasks[[#This Row],[_Pred2UID]],Tasks[UID],0),-1))</f>
        <v>0</v>
      </c>
      <c r="CK108" s="43" t="n">
        <f aca="false">IF(N(Tasks[[#This Row],[_Pred3UID]])=0,0,IFERROR(MATCH(Tasks[[#This Row],[_Pred3UID]],Tasks[UID],0),-1))</f>
        <v>0</v>
      </c>
      <c r="CL108" s="43" t="n">
        <f aca="false">IF(N(Tasks[[#This Row],[_Pred4UID]])=0,0,IFERROR(MATCH(Tasks[[#This Row],[_Pred4UID]],Tasks[UID],0),-1))</f>
        <v>0</v>
      </c>
      <c r="CM10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8" s="91" t="n">
        <f aca="false">IF(OR(Tasks[[#This Row],[_ConstraintCode]]=2,Tasks[[#This Row],[_ConstraintCode]]=3,Tasks[[#This Row],[_ConstraintCode]]=4,Tasks[[#This Row],[_ConstraintCode]]=6),Tasks[[#This Row],[_ConstraintStart]],0)</f>
        <v>0</v>
      </c>
      <c r="CP108" s="91" t="n">
        <f aca="false">IF(OR(Tasks[[#This Row],[_ConstraintCode]]=2,Tasks[[#This Row],[_ConstraintCode]]=3,Tasks[[#This Row],[_ConstraintCode]]=5,Tasks[[#This Row],[_ConstraintCode]]=7),Tasks[[#This Row],[_ConstraintStart]],2958465)</f>
        <v>2958465</v>
      </c>
      <c r="CQ10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8" s="91" t="str">
        <f aca="false">IF(NOT(Tasks[[#This Row],[_IsLeaf]]=1),"",IF(N(Tasks[[#This Row],[_Days]])&lt;=0,Tasks[[#This Row],[_LeafCalcStart]],WORKDAY.INTL(Tasks[[#This Row],[_LeafCalcStart]],Tasks[[#This Row],[_Days]]-1,WorkWeek,Holidays)))</f>
        <v/>
      </c>
      <c r="CS10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8" s="43" t="str">
        <f aca="false">IF(Tasks[[#This Row],[_Predecessors]]="","",TRIM(MID(SUBSTITUTE(SUBSTITUTE(SUBSTITUTE(UPPER(Tasks[[#This Row],[_Predecessors]]),";",",")," ",""),",",REPT(" ",99)),1,99)))</f>
        <v/>
      </c>
      <c r="CV108" s="43" t="str">
        <f aca="false">IF(Tasks[[#This Row],[_Pred1Text]]="","",IFERROR(VALUE(LEFT(Tasks[[#This Row],[_Pred1Text]],MIN(FIND("F",Tasks[[#This Row],[_Pred1Text]]&amp;"F"),FIND("S",Tasks[[#This Row],[_Pred1Text]]&amp;"S"),FIND("+",Tasks[[#This Row],[_Pred1Text]]&amp;"+"),FIND("-",Tasks[[#This Row],[_Pred1Text]]&amp;"-"))-1)),""))</f>
        <v/>
      </c>
      <c r="CW10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8" s="43" t="str">
        <f aca="false">IF(Tasks[[#This Row],[_Pred1Text]]="","",TRIM(MID(SUBSTITUTE(SUBSTITUTE(SUBSTITUTE(UPPER(Tasks[[#This Row],[_Predecessors]]),";",",")," ",""),",",REPT(" ",99)),100,99)))</f>
        <v/>
      </c>
      <c r="CZ108" s="43" t="str">
        <f aca="false">IF(Tasks[[#This Row],[_Pred2Text]]="","",IFERROR(VALUE(LEFT(Tasks[[#This Row],[_Pred2Text]],MIN(FIND("F",Tasks[[#This Row],[_Pred2Text]]&amp;"F"),FIND("S",Tasks[[#This Row],[_Pred2Text]]&amp;"S"),FIND("+",Tasks[[#This Row],[_Pred2Text]]&amp;"+"),FIND("-",Tasks[[#This Row],[_Pred2Text]]&amp;"-"))-1)),""))</f>
        <v/>
      </c>
      <c r="DA10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8" s="43" t="str">
        <f aca="false">IF(Tasks[[#This Row],[_Pred2Text]]="","",TRIM(MID(SUBSTITUTE(SUBSTITUTE(SUBSTITUTE(UPPER(Tasks[[#This Row],[_Predecessors]]),";",",")," ",""),",",REPT(" ",99)),199,99)))</f>
        <v/>
      </c>
      <c r="DD108" s="43" t="str">
        <f aca="false">IF(Tasks[[#This Row],[_Pred3Text]]="","",IFERROR(VALUE(LEFT(Tasks[[#This Row],[_Pred3Text]],MIN(FIND("F",Tasks[[#This Row],[_Pred3Text]]&amp;"F"),FIND("S",Tasks[[#This Row],[_Pred3Text]]&amp;"S"),FIND("+",Tasks[[#This Row],[_Pred3Text]]&amp;"+"),FIND("-",Tasks[[#This Row],[_Pred3Text]]&amp;"-"))-1)),""))</f>
        <v/>
      </c>
      <c r="DE10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8" s="43" t="str">
        <f aca="false">IF(Tasks[[#This Row],[_Pred3Text]]="","",TRIM(MID(SUBSTITUTE(SUBSTITUTE(SUBSTITUTE(UPPER(Tasks[[#This Row],[_Predecessors]]),";",",")," ",""),",",REPT(" ",99)),298,99)))</f>
        <v/>
      </c>
      <c r="DH108" s="43" t="str">
        <f aca="false">IF(Tasks[[#This Row],[_Pred4Text]]="","",IFERROR(VALUE(LEFT(Tasks[[#This Row],[_Pred4Text]],MIN(FIND("F",Tasks[[#This Row],[_Pred4Text]]&amp;"F"),FIND("S",Tasks[[#This Row],[_Pred4Text]]&amp;"S"),FIND("+",Tasks[[#This Row],[_Pred4Text]]&amp;"+"),FIND("-",Tasks[[#This Row],[_Pred4Text]]&amp;"-"))-1)),""))</f>
        <v/>
      </c>
      <c r="DI10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8" s="43" t="str">
        <f aca="false">IF(OR(Tasks[[#This Row],[Task Name]]="",Tasks[[#This Row],[_Resources]]=""),"",TRIM(MID(SUBSTITUTE(Tasks[[#This Row],[_Resources]],",",REPT(" ",99)),1,99)))</f>
        <v/>
      </c>
      <c r="DL108" s="43" t="str">
        <f aca="false">IF(Tasks[[#This Row],[_Res1Text]]="","",TRIM(MID(SUBSTITUTE(Tasks[[#This Row],[_Resources]],",",REPT(" ",99)),100,99)))</f>
        <v/>
      </c>
      <c r="DM108" s="43" t="str">
        <f aca="false">IF(Tasks[[#This Row],[_Res2Text]]="","",TRIM(MID(SUBSTITUTE(Tasks[[#This Row],[_Resources]],",",REPT(" ",99)),199,99)))</f>
        <v/>
      </c>
      <c r="DN108" s="43" t="str">
        <f aca="false">IF(Tasks[[#This Row],[_Res3Text]]="","",TRIM(MID(SUBSTITUTE(Tasks[[#This Row],[_Resources]],",",REPT(" ",99)),298,99)))</f>
        <v/>
      </c>
      <c r="DO108" s="43" t="n">
        <f aca="false">IF(Tasks[[#This Row],[_Res1Text]]="",0,IFERROR(MATCH(TRIM(LEFT(Tasks[[#This Row],[_Res1Text]],FIND("[",Tasks[[#This Row],[_Res1Text]]&amp;"[")-1)),res_Name,0),IFERROR(MATCH(TRIM(LEFT(Tasks[[#This Row],[_Res1Text]],FIND("[",Tasks[[#This Row],[_Res1Text]]&amp;"[")-1)),res_Initials,0),0)))</f>
        <v>0</v>
      </c>
      <c r="DP108" s="43" t="n">
        <f aca="false">IF(Tasks[[#This Row],[_Res2Text]]="",0,IFERROR(MATCH(TRIM(LEFT(Tasks[[#This Row],[_Res2Text]],FIND("[",Tasks[[#This Row],[_Res2Text]]&amp;"[")-1)),res_Name,0),IFERROR(MATCH(TRIM(LEFT(Tasks[[#This Row],[_Res2Text]],FIND("[",Tasks[[#This Row],[_Res2Text]]&amp;"[")-1)),res_Initials,0),0)))</f>
        <v>0</v>
      </c>
      <c r="DQ108" s="43" t="n">
        <f aca="false">IF(Tasks[[#This Row],[_Res3Text]]="",0,IFERROR(MATCH(TRIM(LEFT(Tasks[[#This Row],[_Res3Text]],FIND("[",Tasks[[#This Row],[_Res3Text]]&amp;"[")-1)),res_Name,0),IFERROR(MATCH(TRIM(LEFT(Tasks[[#This Row],[_Res3Text]],FIND("[",Tasks[[#This Row],[_Res3Text]]&amp;"[")-1)),res_Initials,0),0)))</f>
        <v>0</v>
      </c>
      <c r="DR108" s="43" t="n">
        <f aca="false">IF(Tasks[[#This Row],[_Res4Text]]="",0,IFERROR(MATCH(TRIM(LEFT(Tasks[[#This Row],[_Res4Text]],FIND("[",Tasks[[#This Row],[_Res4Text]]&amp;"[")-1)),res_Name,0),IFERROR(MATCH(TRIM(LEFT(Tasks[[#This Row],[_Res4Text]],FIND("[",Tasks[[#This Row],[_Res4Text]]&amp;"[")-1)),res_Initials,0),0)))</f>
        <v>0</v>
      </c>
      <c r="DS108" s="43" t="str">
        <f aca="false">IF(Tasks[[#This Row],[_Res1Text]]="","",IF(Tasks[[#This Row],[_Res1Row]]&gt;0,INDEX(res_Name,Tasks[[#This Row],[_Res1Row]]),TRIM(LEFT(Tasks[[#This Row],[_Res1Text]],FIND("[",Tasks[[#This Row],[_Res1Text]]&amp;"[")-1))))</f>
        <v/>
      </c>
      <c r="DT10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8" s="43" t="n">
        <f aca="false">IF(NOT(Tasks[[#This Row],[_IsLeaf]]=1),0,(Tasks[[#This Row],[_Resource1]]&lt;&gt;"")+(Tasks[[#This Row],[_Res2]]&lt;&gt;"")+(Tasks[[#This Row],[_Res3]]&lt;&gt;"")+(Tasks[[#This Row],[_Res4]]&lt;&gt;""))</f>
        <v>0</v>
      </c>
      <c r="DV108" s="43" t="str">
        <f aca="false">IF(Tasks[[#This Row],[_Res2Text]]="","",IF(Tasks[[#This Row],[_Res2Row]]&gt;0,INDEX(res_Name,Tasks[[#This Row],[_Res2Row]]),TRIM(LEFT(Tasks[[#This Row],[_Res2Text]],FIND("[",Tasks[[#This Row],[_Res2Text]]&amp;"[")-1))))</f>
        <v/>
      </c>
      <c r="DW10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8" s="43" t="n">
        <f aca="false">IF(OR(NOT(Tasks[[#This Row],[_IsLeaf]]=1),Tasks[[#This Row],[_Res2Row]]=0),0,N(Tasks[[#This Row],[_Days]])*HoursPerDay*IF(Tasks[[#This Row],[_Res2Units]]="",DefaultUnits,Tasks[[#This Row],[_Res2Units]]))</f>
        <v>0</v>
      </c>
      <c r="DY108" s="43" t="n">
        <f aca="false">IF(AND(AND(Tasks[[#This Row],[_IsLeaf]]=1,Tasks[[#This Row],[_LeafTotalWork]]&gt;0),Tasks[[#This Row],[_Res2Work]]&gt;0),Tasks[[#This Row],[_Res2Work]]/(Tasks[[#This Row],[_FinishWorkday]]-Tasks[[#This Row],[_StartWorkday]]+1),0)</f>
        <v>0</v>
      </c>
      <c r="DZ108" s="43" t="n">
        <f aca="false">Tasks[[#This Row],[_Res2WorkPerWD]]*MAX(0,Tasks[[#This Row],[_StartWorkday]]-1)</f>
        <v>0</v>
      </c>
      <c r="EA108" s="43" t="n">
        <f aca="false">Tasks[[#This Row],[_Res2Work]]*Tasks[[#This Row],[_LeafProgress]]</f>
        <v>0</v>
      </c>
      <c r="EB108" s="43" t="str">
        <f aca="false">IF(Tasks[[#This Row],[_Res3Text]]="","",IF(Tasks[[#This Row],[_Res3Row]]&gt;0,INDEX(res_Name,Tasks[[#This Row],[_Res3Row]]),TRIM(LEFT(Tasks[[#This Row],[_Res3Text]],FIND("[",Tasks[[#This Row],[_Res3Text]]&amp;"[")-1))))</f>
        <v/>
      </c>
      <c r="EC10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8" s="43" t="n">
        <f aca="false">IF(OR(NOT(Tasks[[#This Row],[_IsLeaf]]=1),Tasks[[#This Row],[_Res3Row]]=0),0,N(Tasks[[#This Row],[_Days]])*HoursPerDay*IF(Tasks[[#This Row],[_Res3Units]]="",DefaultUnits,Tasks[[#This Row],[_Res3Units]]))</f>
        <v>0</v>
      </c>
      <c r="EE108" s="43" t="n">
        <f aca="false">IF(AND(AND(Tasks[[#This Row],[_IsLeaf]]=1,Tasks[[#This Row],[_LeafTotalWork]]&gt;0),Tasks[[#This Row],[_Res3Work]]&gt;0),Tasks[[#This Row],[_Res3Work]]/(Tasks[[#This Row],[_FinishWorkday]]-Tasks[[#This Row],[_StartWorkday]]+1),0)</f>
        <v>0</v>
      </c>
      <c r="EF108" s="43" t="n">
        <f aca="false">Tasks[[#This Row],[_Res3WorkPerWD]]*MAX(0,Tasks[[#This Row],[_StartWorkday]]-1)</f>
        <v>0</v>
      </c>
      <c r="EG108" s="43" t="n">
        <f aca="false">Tasks[[#This Row],[_Res3Work]]*Tasks[[#This Row],[_LeafProgress]]</f>
        <v>0</v>
      </c>
      <c r="EH108" s="43" t="str">
        <f aca="false">IF(Tasks[[#This Row],[_Res4Text]]="","",IF(Tasks[[#This Row],[_Res4Row]]&gt;0,INDEX(res_Name,Tasks[[#This Row],[_Res4Row]]),TRIM(LEFT(Tasks[[#This Row],[_Res4Text]],FIND("[",Tasks[[#This Row],[_Res4Text]]&amp;"[")-1))))</f>
        <v/>
      </c>
      <c r="EI10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8" s="43" t="n">
        <f aca="false">IF(OR(NOT(Tasks[[#This Row],[_IsLeaf]]=1),Tasks[[#This Row],[_Res4Row]]=0),0,N(Tasks[[#This Row],[_Days]])*HoursPerDay*IF(Tasks[[#This Row],[_Res4Units]]="",DefaultUnits,Tasks[[#This Row],[_Res4Units]]))</f>
        <v>0</v>
      </c>
      <c r="EK108" s="43" t="n">
        <f aca="false">IF(AND(AND(Tasks[[#This Row],[_IsLeaf]]=1,Tasks[[#This Row],[_LeafTotalWork]]&gt;0),Tasks[[#This Row],[_Res4Work]]&gt;0),Tasks[[#This Row],[_Res4Work]]/(Tasks[[#This Row],[_FinishWorkday]]-Tasks[[#This Row],[_StartWorkday]]+1),0)</f>
        <v>0</v>
      </c>
      <c r="EL108" s="43" t="n">
        <f aca="false">Tasks[[#This Row],[_Res4WorkPerWD]]*MAX(0,Tasks[[#This Row],[_StartWorkday]]-1)</f>
        <v>0</v>
      </c>
      <c r="EM108" s="43" t="n">
        <f aca="false">Tasks[[#This Row],[_Res4Work]]*Tasks[[#This Row],[_LeafProgress]]</f>
        <v>0</v>
      </c>
      <c r="EN108" s="43" t="n">
        <f aca="false">IF(ISNUMBER(Tasks[[#This Row],[% Complete]]),Tasks[[#This Row],[% Complete]],IF(Tasks[[#This Row],[Stage]]="",0,IFERROR(INDEX(stg_Pct,MATCH(Tasks[[#This Row],[Stage]],stg_Name,0)),0)))</f>
        <v>0</v>
      </c>
      <c r="EO108" s="43" t="n">
        <f aca="false">IF(NOT(Tasks[[#This Row],[_IsLeaf]]=1),0,IF(N(Tasks[[#This Row],[Actual Finish]])&gt;0,1,MIN(1,Tasks[[#This Row],[_Pct]])))</f>
        <v>0</v>
      </c>
      <c r="EP108" s="43" t="n">
        <f aca="false">IF(OR(NOT(Tasks[[#This Row],[_IsLeaf]]=1),Tasks[[#This Row],[_Res1Row]]=0),0,N(Tasks[[#This Row],[_Days]])*HoursPerDay*IF(Tasks[[#This Row],[_Units1]]="",DefaultUnits,Tasks[[#This Row],[_Units1]]))</f>
        <v>0</v>
      </c>
      <c r="EQ108" s="43" t="n">
        <f aca="false">Tasks[[#This Row],[_LeafWork]]+Tasks[[#This Row],[_Res2Work]]+Tasks[[#This Row],[_Res3Work]]+Tasks[[#This Row],[_Res4Work]]</f>
        <v>0</v>
      </c>
      <c r="ER10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8" s="43" t="n">
        <f aca="false">IF(NOT(Tasks[[#This Row],[_IsLeaf]]=1),0,MAX(_xlfn.MAXIFS(Tasks[_Row],Tasks[_Pred1UID],Tasks[[#This Row],[UID]]),_xlfn.MAXIFS(Tasks[_Row],Tasks[_Pred2UID],Tasks[[#This Row],[UID]]),_xlfn.MAXIFS(Tasks[_Row],Tasks[_Pred3UID],Tasks[[#This Row],[UID]]),_xlfn.MAXIFS(Tasks[_Row],Tasks[_Pred4UID],Tasks[[#This Row],[UID]])))</f>
        <v>0</v>
      </c>
      <c r="FA10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8" s="91" t="str">
        <f aca="false">IF(NOT(Tasks[[#This Row],[_IsLeaf]]=1),"",IF(N(Tasks[[#This Row],[_Days]])&lt;=0,Tasks[[#This Row],[_LeafLateFinish]],WORKDAY.INTL(Tasks[[#This Row],[_LeafLateFinish]],-(Tasks[[#This Row],[_Days]]-1),WorkWeek,Holidays)))</f>
        <v/>
      </c>
      <c r="FD10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8" s="90" t="b">
        <f aca="false">AND(Tasks[[#This Row],[_IsLeaf]]=1,Tasks[[#This Row],[_LeafProgress]]&lt;1,N(Tasks[[#This Row],[_LeafTotalSlack]])&lt;=CriticalSlackDays)</f>
        <v>0</v>
      </c>
      <c r="FF108" s="43" t="n">
        <f aca="false">IF(AND(Tasks[[#This Row],[_IsLeaf]]=1,Tasks[[#This Row],[_ConstraintCode]]=1,Tasks[[#This Row],[Mode]]&lt;&gt;"Manual",N(Tasks[[#This Row],[Actual Start]])=0),MAX(0,N(Tasks[[#This Row],[Free Slack]])),0)</f>
        <v>0</v>
      </c>
      <c r="FG108" s="91" t="str">
        <f aca="false">IF(NOT(Tasks[[#This Row],[_IsLeaf]]=1),"",IF(Tasks[[#This Row],[_AlapShift]]=0,Tasks[[#This Row],[_LeafCalcStart]],WORKDAY.INTL(Tasks[[#This Row],[_LeafCalcStart]],Tasks[[#This Row],[_AlapShift]],WorkWeek,Holidays)))</f>
        <v/>
      </c>
      <c r="FH108" s="91" t="str">
        <f aca="false">IF(NOT(Tasks[[#This Row],[_IsLeaf]]=1),"",IF(Tasks[[#This Row],[_AlapShift]]=0,Tasks[[#This Row],[_LeafCalcFinish]],WORKDAY.INTL(Tasks[[#This Row],[_LeafCalcFinish]],Tasks[[#This Row],[_AlapShift]],WorkWeek,Holidays)))</f>
        <v/>
      </c>
      <c r="FI108" s="91" t="str">
        <f aca="false">IF(NOT(Tasks[[#This Row],[_IsLeaf]]=1),"",IF(Tasks[[#This Row],[_AlapShift]]=0,Tasks[[#This Row],[_LeafFcstStart]],WORKDAY.INTL(Tasks[[#This Row],[_LeafFcstStart]],Tasks[[#This Row],[_AlapShift]],WorkWeek,Holidays)))</f>
        <v/>
      </c>
      <c r="FJ108" s="91" t="str">
        <f aca="false">IF(NOT(Tasks[[#This Row],[_IsLeaf]]=1),"",IF(Tasks[[#This Row],[_AlapShift]]=0,Tasks[[#This Row],[_LeafFcstFinish]],WORKDAY.INTL(Tasks[[#This Row],[_LeafFcstFinish]],Tasks[[#This Row],[_AlapShift]],WorkWeek,Holidays)))</f>
        <v/>
      </c>
      <c r="FK108" s="91" t="str">
        <f aca="false">IF(Tasks[[#This Row],[Task Name]]="","",IF(Tasks[[#This Row],[_IsSummary]],MIN(INDEX(Tasks[_ShownCalcStart],Tasks[[#This Row],[_Row]]+1):INDEX(Tasks[_ShownCalcStart],Tasks[[#This Row],[_Row]]+Tasks[[#This Row],[_Descendants]])),Tasks[[#This Row],[_ShownCalcStart]]))</f>
        <v/>
      </c>
      <c r="FL108" s="91" t="str">
        <f aca="false">IF(Tasks[[#This Row],[Task Name]]="","",IF(Tasks[[#This Row],[_IsSummary]],MAX(INDEX(Tasks[_ShownCalcFinish],Tasks[[#This Row],[_Row]]+1):INDEX(Tasks[_ShownCalcFinish],Tasks[[#This Row],[_Row]]+Tasks[[#This Row],[_Descendants]])),Tasks[[#This Row],[_ShownCalcFinish]]))</f>
        <v/>
      </c>
      <c r="FM10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8" s="43" t="n">
        <f aca="false">IF(AND(Tasks[[#This Row],[_IsLeaf]]=1,Tasks[[#This Row],[_LeafTotalWork]]&gt;0),NETWORKDAYS.INTL(ProjectStart,Tasks[[#This Row],[_ShownFcstStart]],WorkWeek,Holidays),0)</f>
        <v>0</v>
      </c>
      <c r="FZ108" s="43" t="n">
        <f aca="false">IF(AND(Tasks[[#This Row],[_IsLeaf]]=1,Tasks[[#This Row],[_LeafTotalWork]]&gt;0),MAX(Tasks[[#This Row],[_StartWorkday]],NETWORKDAYS.INTL(ProjectStart,Tasks[[#This Row],[_ShownFcstFinish]],WorkWeek,Holidays)),0)</f>
        <v>0</v>
      </c>
      <c r="GA108" s="43" t="n">
        <f aca="false">IF(AND(Tasks[[#This Row],[_IsLeaf]]=1,Tasks[[#This Row],[_LeafTotalWork]]&gt;0),Tasks[[#This Row],[_LeafWork]]/(Tasks[[#This Row],[_FinishWorkday]]-Tasks[[#This Row],[_StartWorkday]]+1),0)</f>
        <v>0</v>
      </c>
      <c r="GB108" s="43" t="n">
        <f aca="false">Tasks[[#This Row],[_WorkPerWorkday]]*(Tasks[[#This Row],[_StartWorkday]]-1)</f>
        <v>-0</v>
      </c>
      <c r="GC108" s="43" t="n">
        <f aca="false">IF(Tasks[[#This Row],[_IsLeaf]]=1,MAX(N(Tasks[[#This Row],[_Days]]),0.1),0)</f>
        <v>0</v>
      </c>
      <c r="GD108" s="43" t="n">
        <f aca="false">Tasks[[#This Row],[_WeightDur]]*Tasks[[#This Row],[_LeafProgress]]</f>
        <v>0</v>
      </c>
      <c r="GE108" s="43" t="n">
        <f aca="false">Tasks[[#This Row],[_WeightDur]]*Tasks[[#This Row],[_PlannedPct]]</f>
        <v>0</v>
      </c>
      <c r="GF10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8" s="43" t="str">
        <f aca="false">IF(AND(Tasks[[#This Row],[_IsLeaf]]=1,N(Tasks[[#This Row],[_Days]])=0,Tasks[[#This Row],[_LeafProgress]]&lt;1),Tasks[[#This Row],[_ShownFcstFinish]]+Tasks[[#This Row],[_Row]]/100000,"")</f>
        <v/>
      </c>
      <c r="GH10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8" s="43" t="str">
        <f aca="false">IF(Tasks[[#This Row],[Task Name]]="","",LEFT(Tasks[[#This Row],[WBS]],FIND(".",Tasks[[#This Row],[WBS]]&amp;".")-1))</f>
        <v/>
      </c>
      <c r="GJ108" s="43" t="str">
        <f aca="false">IF(AND(Tasks[[#This Row],[Task Name]]&lt;&gt;"",Tasks[[#This Row],[_Level]]=1),Tasks[[#This Row],[_Row]],"")</f>
        <v/>
      </c>
      <c r="GK108" s="43" t="str">
        <f aca="false">IF(AND(Tasks[[#This Row],[_IsLeaf]]=1,N(Tasks[[#This Row],[_Days]])=0),Tasks[[#This Row],[Planned Finish]]+Tasks[[#This Row],[_Row]]/100000,"")</f>
        <v/>
      </c>
      <c r="GL108" s="43" t="str">
        <f aca="false">IF(AND(Tasks[[#This Row],[_IsLeaf]]=1,Tasks[[#This Row],[_LeafProgress]]&lt;1,OR(N(Tasks[[#This Row],[Finish Var]])&gt;0,Tasks[[#This Row],[Status]]="Late Start")),MAX(0,Tasks[[#This Row],[Finish Var]])+1-Tasks[[#This Row],[_Row]]/1000000,"")</f>
        <v/>
      </c>
      <c r="GM108" s="43" t="str">
        <f aca="false">IF(AND(Tasks[[#This Row],[_IsLeaf]]=1,N(Tasks[[#This Row],[Actual Start]])=0,Tasks[[#This Row],[_ShownFcstStart]]&gt;=StatusDate,Tasks[[#This Row],[_ShownFcstStart]]&lt;=LookaheadEnd),Tasks[[#This Row],[_ShownFcstStart]]+Tasks[[#This Row],[_Row]]/100000,"")</f>
        <v/>
      </c>
      <c r="GN108" s="43" t="str">
        <f aca="false">IF(AND(Tasks[[#This Row],[_IsLeaf]]=1,Tasks[[#This Row],[_LeafProgress]]&lt;1,Tasks[[#This Row],[_ShownFcstFinish]]&gt;=StatusDate,Tasks[[#This Row],[_ShownFcstFinish]]&lt;=LookaheadEnd),Tasks[[#This Row],[_ShownFcstFinish]]+Tasks[[#This Row],[_Row]]/100000,"")</f>
        <v/>
      </c>
      <c r="GO108" s="43" t="str">
        <f aca="false">IF(Tasks[[#This Row],[_LeafCritical]],Tasks[[#This Row],[_ShownFcstStart]]+Tasks[[#This Row],[_Row]]/100000,"")</f>
        <v/>
      </c>
      <c r="GP108" s="43" t="n">
        <f aca="false">Tasks[[#This Row],[_LeafWork]]*Tasks[[#This Row],[_LeafProgress]]</f>
        <v>0</v>
      </c>
      <c r="GQ108" s="91" t="str">
        <f aca="false">IF(AND(Tasks[[#This Row],[_IsLeaf]]=1,Tasks[[#This Row],[_LeafProgress]]&gt;=1),IF(N(Tasks[[#This Row],[Actual Finish]])&gt;0,Tasks[[#This Row],[Actual Finish]],Tasks[[#This Row],[_ShownFcstFinish]]),"")</f>
        <v/>
      </c>
      <c r="GR108" s="43" t="n">
        <f aca="false">IF(Tasks[[#This Row],[_IsLeaf]]=1,N(Tasks[[#This Row],[Story Points]]),0)</f>
        <v>0</v>
      </c>
      <c r="GS108" s="43" t="str">
        <f aca="false">""</f>
        <v/>
      </c>
      <c r="GT108" s="90" t="b">
        <f aca="false">IF(Tasks[[#This Row],[Task Name]]="",FALSE(),AND(Tasks[[#This Row],[_IsLeaf]]=1,N(Tasks[[#This Row],[_Days]])=0))</f>
        <v>0</v>
      </c>
      <c r="GU108" s="91" t="n">
        <f aca="false">IF(Tasks[[#This Row],[Task Name]]="",0,IF(AND(Tasks[[#This Row],[_IsLeaf]]=1,NOT(Tasks[[#This Row],[_IsMilestone]]),N(Tasks[[#This Row],[Progress]])&gt;0),Tasks[[#This Row],[Start]],0))</f>
        <v>0</v>
      </c>
      <c r="GV108" s="91" t="n">
        <f aca="false">IF(Tasks[[#This Row],[_DoneFrom]]=0,0,IF(Tasks[[#This Row],[Progress]]&gt;=1,Tasks[[#This Row],[Finish]],MAX(Tasks[[#This Row],[_DoneFrom]],Tasks[[#This Row],[Start]]+ROUND((Tasks[[#This Row],[Finish]]-Tasks[[#This Row],[Start]]+1)*Tasks[[#This Row],[Progress]],0)-1)))</f>
        <v>0</v>
      </c>
      <c r="GW108" s="91" t="n">
        <f aca="false">IF(Tasks[[#This Row],[Task Name]]="",0,IF(OR(NOT(Tasks[[#This Row],[_IsLeaf]]=1),Tasks[[#This Row],[_IsMilestone]],N(Tasks[[#This Row],[Progress]])&gt;=1),0,IF(Tasks[[#This Row],[_DoneTo]]&gt;0,Tasks[[#This Row],[_DoneTo]]+1,Tasks[[#This Row],[Start]])))</f>
        <v>0</v>
      </c>
      <c r="GX108" s="91" t="n">
        <f aca="false">IF(Tasks[[#This Row],[_RemFrom]]=0,0,Tasks[[#This Row],[Finish]])</f>
        <v>0</v>
      </c>
      <c r="GY108" s="90" t="b">
        <f aca="false">IF(Tasks[[#This Row],[Task Name]]="",FALSE(),OR(NOT(BaselineSet),N(Tasks[[#This Row],[Baseline Start]])&gt;0))</f>
        <v>0</v>
      </c>
      <c r="GZ10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8" s="92" t="str">
        <f aca="false">IF(Tasks[[#This Row],[_IsLeaf]]=1,Tasks[[#This Row],[_Row]],"")</f>
        <v/>
      </c>
      <c r="HD108" s="92" t="str">
        <f aca="false">IFERROR(INDEX(Tasks[UID],SMALL(Tasks[_PickKey],Tasks[[#This Row],[_Row]]))&amp;" "&amp;INDEX(Tasks[Task Name],SMALL(Tasks[_PickKey],Tasks[[#This Row],[_Row]])),"")</f>
        <v/>
      </c>
      <c r="HE108" s="43" t="str">
        <f aca="false">IF(Tasks[[#This Row],[Task Name]]="","",IF(Tasks[[#This Row],[_IsSummary]],NETWORKDAYS.INTL(Tasks[[#This Row],[Start]],Tasks[[#This Row],[Finish]],WorkWeek,Holidays),N(Tasks[[#This Row],[_Days]])))</f>
        <v/>
      </c>
      <c r="HF108" s="43" t="n">
        <f aca="false">IF(Tasks[[#This Row],[Expected]]="",0,((Tasks[[#This Row],[Pessimistic]]-Tasks[[#This Row],[Optimistic]])/6)^2)</f>
        <v>0</v>
      </c>
      <c r="HG108" s="43" t="n">
        <f aca="false">IF(Tasks[[#This Row],[Expected]]="",0,Tasks[[#This Row],[Expected]]-N(Tasks[[#This Row],[_Days]]))</f>
        <v>0</v>
      </c>
    </row>
    <row r="109" customFormat="false" ht="15" hidden="false" customHeight="false" outlineLevel="0" collapsed="false">
      <c r="A109" s="21" t="str">
        <f aca="false">IF(Tasks[[#This Row],[Task Name]]="","",COUNTA(Tasks[[#Headers],[Task Name]]:Tasks[[#This Row],[Task Name]])-1)</f>
        <v/>
      </c>
      <c r="B109" s="22" t="n">
        <v>117</v>
      </c>
      <c r="C109" s="22"/>
      <c r="D109" s="23"/>
      <c r="E109" s="22"/>
      <c r="F109" s="23"/>
      <c r="G109" s="22"/>
      <c r="H109" s="22"/>
      <c r="I109" s="23"/>
      <c r="J109" s="22"/>
      <c r="K109" s="22"/>
      <c r="L109" s="23"/>
      <c r="M109" s="22"/>
      <c r="N109" s="22"/>
      <c r="O109" s="23"/>
      <c r="P109" s="22"/>
      <c r="Q109" s="22"/>
      <c r="R109" s="23"/>
      <c r="S109" s="23"/>
      <c r="T109" s="84"/>
      <c r="U109" s="23"/>
      <c r="V109" s="84"/>
      <c r="W109" s="23"/>
      <c r="X109" s="84"/>
      <c r="Y109" s="23"/>
      <c r="Z109" s="84"/>
      <c r="AA109" s="23"/>
      <c r="AB109" s="23"/>
      <c r="AC109" s="7"/>
      <c r="AD109" s="7"/>
      <c r="AE109" s="63" t="str">
        <f aca="false">IF(Tasks[[#This Row],[Task Name]]="","",IF(Tasks[[#This Row],[_IsSummary]],MIN(INDEX(Tasks[_ShownFcstStart],Tasks[[#This Row],[_Row]]+1):INDEX(Tasks[_ShownFcstStart],Tasks[[#This Row],[_Row]]+Tasks[[#This Row],[_Descendants]])),Tasks[[#This Row],[_ShownFcstStart]]))</f>
        <v/>
      </c>
      <c r="AF109" s="63" t="str">
        <f aca="false">IF(Tasks[[#This Row],[Task Name]]="","",IF(Tasks[[#This Row],[_IsSummary]],MAX(INDEX(Tasks[_ShownFcstFinish],Tasks[[#This Row],[_Row]]+1):INDEX(Tasks[_ShownFcstFinish],Tasks[[#This Row],[_Row]]+Tasks[[#This Row],[_Descendants]])),Tasks[[#This Row],[_ShownFcstFinish]]))</f>
        <v/>
      </c>
      <c r="AG109" s="21" t="str">
        <f aca="false">""</f>
        <v/>
      </c>
      <c r="AH109" s="23"/>
      <c r="AI10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9" s="7"/>
      <c r="AK109" s="22"/>
      <c r="AL109" s="23"/>
      <c r="AM109" s="7"/>
      <c r="AN109" s="47" t="str">
        <f aca="false">IF(Tasks[[#This Row],[Task Name]]="","",IF(Tasks[[#This Row],[Finish]]&gt;=Tasks[[#This Row],[Planned Finish]],NETWORKDAYS.INTL(Tasks[[#This Row],[Planned Finish]],Tasks[[#This Row],[Finish]],WorkWeek,Holidays)-1,1-NETWORKDAYS.INTL(Tasks[[#This Row],[Finish]],Tasks[[#This Row],[Planned Finish]],WorkWeek,Holidays)))</f>
        <v/>
      </c>
      <c r="AO109" s="21" t="str">
        <f aca="false">IF(Tasks[[#This Row],[Task Name]]="","",IF(Tasks[[#This Row],[Progress]]&gt;=1,"Complete",IF(OR(N(Tasks[[#This Row],[Actual Start]])&gt;0,Tasks[[#This Row],[Progress]]&gt;0),IF(Tasks[[#This Row],[Finish Var]]&gt;0,"Behind","In Progress"),IF(Tasks[[#This Row],[Planned Start]]&lt;StatusDate,"Late Start","Not Started"))))</f>
        <v/>
      </c>
      <c r="AP109" s="21" t="str">
        <f aca="false">IF(Tasks[[#This Row],[Task Name]]="","",IF(IF(Tasks[[#This Row],[_IsSummary]],COUNTIF(INDEX(Tasks[_LeafCritical],Tasks[[#This Row],[_Row]]+1):INDEX(Tasks[_LeafCritical],Tasks[[#This Row],[_Row]]+Tasks[[#This Row],[_Descendants]]),TRUE())&gt;0,Tasks[[#This Row],[_LeafCritical]]),"Yes",""))</f>
        <v/>
      </c>
      <c r="AQ109" s="63" t="str">
        <f aca="false">IF(Tasks[[#This Row],[Task Name]]="","",IF(N(Tasks[[#This Row],[Baseline Start]])&gt;0,Tasks[[#This Row],[Baseline Start]],Tasks[[#This Row],[_CalcStart]]))</f>
        <v/>
      </c>
      <c r="AR109" s="63" t="str">
        <f aca="false">IF(Tasks[[#This Row],[Task Name]]="","",IF(N(Tasks[[#This Row],[Baseline Finish]])&gt;0,Tasks[[#This Row],[Baseline Finish]],Tasks[[#This Row],[_CalcFinish]]))</f>
        <v/>
      </c>
      <c r="AS109" s="47" t="str">
        <f aca="false">IF(Tasks[[#This Row],[Task Name]]="","",IF(Tasks[[#This Row],[Start]]&gt;=Tasks[[#This Row],[Planned Start]],NETWORKDAYS.INTL(Tasks[[#This Row],[Planned Start]],Tasks[[#This Row],[Start]],WorkWeek,Holidays)-1,1-NETWORKDAYS.INTL(Tasks[[#This Row],[Start]],Tasks[[#This Row],[Planned Start]],WorkWeek,Holidays)))</f>
        <v/>
      </c>
      <c r="AT109" s="63" t="str">
        <f aca="false">IF(Tasks[[#This Row],[Task Name]]="","",IF(Tasks[[#This Row],[_IsSummary]],MIN(INDEX(Tasks[_LeafLateStart],Tasks[[#This Row],[_Row]]+1):INDEX(Tasks[_LeafLateStart],Tasks[[#This Row],[_Row]]+Tasks[[#This Row],[_Descendants]])),Tasks[[#This Row],[_LeafLateStart]]))</f>
        <v/>
      </c>
      <c r="AU109" s="63" t="str">
        <f aca="false">IF(Tasks[[#This Row],[Task Name]]="","",IF(Tasks[[#This Row],[_IsSummary]],MAX(INDEX(Tasks[_LeafLateFinish],Tasks[[#This Row],[_Row]]+1):INDEX(Tasks[_LeafLateFinish],Tasks[[#This Row],[_Row]]+Tasks[[#This Row],[_Descendants]])),Tasks[[#This Row],[_LeafLateFinish]]))</f>
        <v/>
      </c>
      <c r="AV109" s="47" t="str">
        <f aca="false">IF(Tasks[[#This Row],[Task Name]]="","",IF(Tasks[[#This Row],[_IsSummary]],MIN(INDEX(Tasks[_LeafTotalSlack],Tasks[[#This Row],[_Row]]+1):INDEX(Tasks[_LeafTotalSlack],Tasks[[#This Row],[_Row]]+Tasks[[#This Row],[_Descendants]])),Tasks[[#This Row],[_LeafTotalSlack]]))</f>
        <v/>
      </c>
      <c r="AW10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5"/>
      <c r="BA10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1" t="str">
        <f aca="false">IF(Tasks[[#This Row],[Task Name]]="","",IF(Tasks[[#This Row],[_Level]]&lt;=OutlineShowLevel,"Yes","No"))</f>
        <v/>
      </c>
      <c r="BE109" s="86" t="str">
        <f aca="false">IF(Tasks[[#This Row],[Task Name]]="","",IF(Tasks[[#This Row],[_IsSummary]],SUM(INDEX(Tasks[_LeafTotalWork],Tasks[[#This Row],[_Row]]+1):INDEX(Tasks[_LeafTotalWork],Tasks[[#This Row],[_Row]]+Tasks[[#This Row],[_Descendants]])),Tasks[[#This Row],[_LeafTotalWork]]))</f>
        <v/>
      </c>
      <c r="BF109" s="23"/>
      <c r="BG10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9" s="21" t="str">
        <f aca="false">""</f>
        <v/>
      </c>
      <c r="BI109" s="87"/>
      <c r="BJ109" s="22"/>
      <c r="BK109" s="47" t="str">
        <f aca="false">IF(OR(Tasks[[#This Row],[Task Name]]="",Tasks[[#This Row],[Baseline Duration]]=""),"",Tasks[[#This Row],[_SpanDays]]-N(Tasks[[#This Row],[Baseline Duration]]))</f>
        <v/>
      </c>
      <c r="BL109" s="86" t="str">
        <f aca="false">IF(OR(Tasks[[#This Row],[Task Name]]="",Tasks[[#This Row],[Baseline Work]]=""),"",Tasks[[#This Row],[Work]]-N(Tasks[[#This Row],[Baseline Work]]))</f>
        <v/>
      </c>
      <c r="BM109" s="63" t="str">
        <f aca="false">IF(Tasks[[#This Row],[Task Name]]="","",IF(OR(TakeBaseline="Yes",N(Tasks[[#This Row],[Baseline Start]])=0),Tasks[[#This Row],[Start]],Tasks[[#This Row],[Baseline Start]]))</f>
        <v/>
      </c>
      <c r="BN109" s="63" t="str">
        <f aca="false">IF(Tasks[[#This Row],[Task Name]]="","",IF(OR(TakeBaseline="Yes",N(Tasks[[#This Row],[Baseline Finish]])=0),Tasks[[#This Row],[Finish]],Tasks[[#This Row],[Baseline Finish]]))</f>
        <v/>
      </c>
      <c r="BO109" s="21" t="str">
        <f aca="false">IF(Tasks[[#This Row],[Task Name]]="","",IF(OR(TakeBaseline="Yes",N(Tasks[[#This Row],[Baseline Duration]])=0),Tasks[[#This Row],[_SpanDays]],Tasks[[#This Row],[Baseline Duration]]))</f>
        <v/>
      </c>
      <c r="BP109" s="86" t="str">
        <f aca="false">IF(Tasks[[#This Row],[Task Name]]="","",IF(OR(TakeBaseline="Yes",N(Tasks[[#This Row],[Baseline Work]])=0),Tasks[[#This Row],[Work]],Tasks[[#This Row],[Baseline Work]]))</f>
        <v/>
      </c>
      <c r="BQ109" s="7"/>
      <c r="BR109" s="7"/>
      <c r="BS109" s="22"/>
      <c r="BT109" s="88"/>
      <c r="BU109" s="23"/>
      <c r="BV109" s="23"/>
      <c r="BW109" s="23"/>
      <c r="BX109" s="89" t="str">
        <f aca="false">IF(AND(Tasks[[#This Row],[_IsLeaf]]=1,ISNUMBER(Tasks[[#This Row],[Optimistic]]),ISNUMBER(Tasks[[#This Row],[Pessimistic]])),ROUND((Tasks[[#This Row],[Optimistic]]+4*N(Tasks[[#This Row],[_Days]])+Tasks[[#This Row],[Pessimistic]])/6,1),"")</f>
        <v/>
      </c>
      <c r="BY109" s="87"/>
      <c r="BZ109" s="87"/>
      <c r="CA109" s="22"/>
      <c r="CB109" s="43" t="str">
        <f aca="false">IF(Tasks[[#This Row],[Task Name]]="","",MAX(1,N(Tasks[[#This Row],[Level]])))</f>
        <v/>
      </c>
      <c r="CC109" s="43" t="n">
        <f aca="false">ROW()-ROW(Tasks[[#Headers],[ID]])</f>
        <v>104</v>
      </c>
      <c r="CD109" s="43" t="n">
        <f aca="false">IF(OR(Tasks[[#This Row],[Task Name]]="",Tasks[[#This Row],[_Level]]&lt;=1),0,IFERROR(LOOKUP(2,1/(Tasks[[#Headers],[_Level]]:Tasks[[#This Row],[_Level]]=Tasks[[#This Row],[_Level]]-1),ROW(Tasks[[#Headers],[_Level]]:Tasks[[#This Row],[_Level]])),0))</f>
        <v>0</v>
      </c>
      <c r="CE109" s="43" t="n">
        <f aca="false">IFERROR(N(INDEX(Tasks[_Level],Tasks[[#This Row],[_Row]]+1)),0)</f>
        <v>0</v>
      </c>
      <c r="CF109" s="90" t="b">
        <f aca="false">AND(Tasks[[#This Row],[Task Name]]&lt;&gt;"",Tasks[[#This Row],[_NextLevel]]&gt;Tasks[[#This Row],[_Level]])</f>
        <v>0</v>
      </c>
      <c r="CG109" s="43" t="n">
        <f aca="false">IF(Tasks[[#This Row],[_IsSummary]],COUNTIF(Tasks[WBS],Tasks[[#This Row],[WBS]]&amp;".*"),0)</f>
        <v>0</v>
      </c>
      <c r="CH109" s="43" t="n">
        <f aca="false">IF(AND(Tasks[[#This Row],[Task Name]]&lt;&gt;"",NOT(Tasks[[#This Row],[_IsSummary]])),1,0)</f>
        <v>0</v>
      </c>
      <c r="CI109" s="43" t="n">
        <f aca="false">IF(N(Tasks[[#This Row],[_Pred1UID]])=0,0,IFERROR(MATCH(Tasks[[#This Row],[_Pred1UID]],Tasks[UID],0),-1))</f>
        <v>0</v>
      </c>
      <c r="CJ109" s="43" t="n">
        <f aca="false">IF(N(Tasks[[#This Row],[_Pred2UID]])=0,0,IFERROR(MATCH(Tasks[[#This Row],[_Pred2UID]],Tasks[UID],0),-1))</f>
        <v>0</v>
      </c>
      <c r="CK109" s="43" t="n">
        <f aca="false">IF(N(Tasks[[#This Row],[_Pred3UID]])=0,0,IFERROR(MATCH(Tasks[[#This Row],[_Pred3UID]],Tasks[UID],0),-1))</f>
        <v>0</v>
      </c>
      <c r="CL109" s="43" t="n">
        <f aca="false">IF(N(Tasks[[#This Row],[_Pred4UID]])=0,0,IFERROR(MATCH(Tasks[[#This Row],[_Pred4UID]],Tasks[UID],0),-1))</f>
        <v>0</v>
      </c>
      <c r="CM10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9" s="91" t="n">
        <f aca="false">IF(OR(Tasks[[#This Row],[_ConstraintCode]]=2,Tasks[[#This Row],[_ConstraintCode]]=3,Tasks[[#This Row],[_ConstraintCode]]=4,Tasks[[#This Row],[_ConstraintCode]]=6),Tasks[[#This Row],[_ConstraintStart]],0)</f>
        <v>0</v>
      </c>
      <c r="CP109" s="91" t="n">
        <f aca="false">IF(OR(Tasks[[#This Row],[_ConstraintCode]]=2,Tasks[[#This Row],[_ConstraintCode]]=3,Tasks[[#This Row],[_ConstraintCode]]=5,Tasks[[#This Row],[_ConstraintCode]]=7),Tasks[[#This Row],[_ConstraintStart]],2958465)</f>
        <v>2958465</v>
      </c>
      <c r="CQ10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9" s="91" t="str">
        <f aca="false">IF(NOT(Tasks[[#This Row],[_IsLeaf]]=1),"",IF(N(Tasks[[#This Row],[_Days]])&lt;=0,Tasks[[#This Row],[_LeafCalcStart]],WORKDAY.INTL(Tasks[[#This Row],[_LeafCalcStart]],Tasks[[#This Row],[_Days]]-1,WorkWeek,Holidays)))</f>
        <v/>
      </c>
      <c r="CS10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9" s="43" t="str">
        <f aca="false">IF(Tasks[[#This Row],[_Predecessors]]="","",TRIM(MID(SUBSTITUTE(SUBSTITUTE(SUBSTITUTE(UPPER(Tasks[[#This Row],[_Predecessors]]),";",",")," ",""),",",REPT(" ",99)),1,99)))</f>
        <v/>
      </c>
      <c r="CV109" s="43" t="str">
        <f aca="false">IF(Tasks[[#This Row],[_Pred1Text]]="","",IFERROR(VALUE(LEFT(Tasks[[#This Row],[_Pred1Text]],MIN(FIND("F",Tasks[[#This Row],[_Pred1Text]]&amp;"F"),FIND("S",Tasks[[#This Row],[_Pred1Text]]&amp;"S"),FIND("+",Tasks[[#This Row],[_Pred1Text]]&amp;"+"),FIND("-",Tasks[[#This Row],[_Pred1Text]]&amp;"-"))-1)),""))</f>
        <v/>
      </c>
      <c r="CW10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9" s="43" t="str">
        <f aca="false">IF(Tasks[[#This Row],[_Pred1Text]]="","",TRIM(MID(SUBSTITUTE(SUBSTITUTE(SUBSTITUTE(UPPER(Tasks[[#This Row],[_Predecessors]]),";",",")," ",""),",",REPT(" ",99)),100,99)))</f>
        <v/>
      </c>
      <c r="CZ109" s="43" t="str">
        <f aca="false">IF(Tasks[[#This Row],[_Pred2Text]]="","",IFERROR(VALUE(LEFT(Tasks[[#This Row],[_Pred2Text]],MIN(FIND("F",Tasks[[#This Row],[_Pred2Text]]&amp;"F"),FIND("S",Tasks[[#This Row],[_Pred2Text]]&amp;"S"),FIND("+",Tasks[[#This Row],[_Pred2Text]]&amp;"+"),FIND("-",Tasks[[#This Row],[_Pred2Text]]&amp;"-"))-1)),""))</f>
        <v/>
      </c>
      <c r="DA10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9" s="43" t="str">
        <f aca="false">IF(Tasks[[#This Row],[_Pred2Text]]="","",TRIM(MID(SUBSTITUTE(SUBSTITUTE(SUBSTITUTE(UPPER(Tasks[[#This Row],[_Predecessors]]),";",",")," ",""),",",REPT(" ",99)),199,99)))</f>
        <v/>
      </c>
      <c r="DD109" s="43" t="str">
        <f aca="false">IF(Tasks[[#This Row],[_Pred3Text]]="","",IFERROR(VALUE(LEFT(Tasks[[#This Row],[_Pred3Text]],MIN(FIND("F",Tasks[[#This Row],[_Pred3Text]]&amp;"F"),FIND("S",Tasks[[#This Row],[_Pred3Text]]&amp;"S"),FIND("+",Tasks[[#This Row],[_Pred3Text]]&amp;"+"),FIND("-",Tasks[[#This Row],[_Pred3Text]]&amp;"-"))-1)),""))</f>
        <v/>
      </c>
      <c r="DE10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9" s="43" t="str">
        <f aca="false">IF(Tasks[[#This Row],[_Pred3Text]]="","",TRIM(MID(SUBSTITUTE(SUBSTITUTE(SUBSTITUTE(UPPER(Tasks[[#This Row],[_Predecessors]]),";",",")," ",""),",",REPT(" ",99)),298,99)))</f>
        <v/>
      </c>
      <c r="DH109" s="43" t="str">
        <f aca="false">IF(Tasks[[#This Row],[_Pred4Text]]="","",IFERROR(VALUE(LEFT(Tasks[[#This Row],[_Pred4Text]],MIN(FIND("F",Tasks[[#This Row],[_Pred4Text]]&amp;"F"),FIND("S",Tasks[[#This Row],[_Pred4Text]]&amp;"S"),FIND("+",Tasks[[#This Row],[_Pred4Text]]&amp;"+"),FIND("-",Tasks[[#This Row],[_Pred4Text]]&amp;"-"))-1)),""))</f>
        <v/>
      </c>
      <c r="DI10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9" s="43" t="str">
        <f aca="false">IF(OR(Tasks[[#This Row],[Task Name]]="",Tasks[[#This Row],[_Resources]]=""),"",TRIM(MID(SUBSTITUTE(Tasks[[#This Row],[_Resources]],",",REPT(" ",99)),1,99)))</f>
        <v/>
      </c>
      <c r="DL109" s="43" t="str">
        <f aca="false">IF(Tasks[[#This Row],[_Res1Text]]="","",TRIM(MID(SUBSTITUTE(Tasks[[#This Row],[_Resources]],",",REPT(" ",99)),100,99)))</f>
        <v/>
      </c>
      <c r="DM109" s="43" t="str">
        <f aca="false">IF(Tasks[[#This Row],[_Res2Text]]="","",TRIM(MID(SUBSTITUTE(Tasks[[#This Row],[_Resources]],",",REPT(" ",99)),199,99)))</f>
        <v/>
      </c>
      <c r="DN109" s="43" t="str">
        <f aca="false">IF(Tasks[[#This Row],[_Res3Text]]="","",TRIM(MID(SUBSTITUTE(Tasks[[#This Row],[_Resources]],",",REPT(" ",99)),298,99)))</f>
        <v/>
      </c>
      <c r="DO109" s="43" t="n">
        <f aca="false">IF(Tasks[[#This Row],[_Res1Text]]="",0,IFERROR(MATCH(TRIM(LEFT(Tasks[[#This Row],[_Res1Text]],FIND("[",Tasks[[#This Row],[_Res1Text]]&amp;"[")-1)),res_Name,0),IFERROR(MATCH(TRIM(LEFT(Tasks[[#This Row],[_Res1Text]],FIND("[",Tasks[[#This Row],[_Res1Text]]&amp;"[")-1)),res_Initials,0),0)))</f>
        <v>0</v>
      </c>
      <c r="DP109" s="43" t="n">
        <f aca="false">IF(Tasks[[#This Row],[_Res2Text]]="",0,IFERROR(MATCH(TRIM(LEFT(Tasks[[#This Row],[_Res2Text]],FIND("[",Tasks[[#This Row],[_Res2Text]]&amp;"[")-1)),res_Name,0),IFERROR(MATCH(TRIM(LEFT(Tasks[[#This Row],[_Res2Text]],FIND("[",Tasks[[#This Row],[_Res2Text]]&amp;"[")-1)),res_Initials,0),0)))</f>
        <v>0</v>
      </c>
      <c r="DQ109" s="43" t="n">
        <f aca="false">IF(Tasks[[#This Row],[_Res3Text]]="",0,IFERROR(MATCH(TRIM(LEFT(Tasks[[#This Row],[_Res3Text]],FIND("[",Tasks[[#This Row],[_Res3Text]]&amp;"[")-1)),res_Name,0),IFERROR(MATCH(TRIM(LEFT(Tasks[[#This Row],[_Res3Text]],FIND("[",Tasks[[#This Row],[_Res3Text]]&amp;"[")-1)),res_Initials,0),0)))</f>
        <v>0</v>
      </c>
      <c r="DR109" s="43" t="n">
        <f aca="false">IF(Tasks[[#This Row],[_Res4Text]]="",0,IFERROR(MATCH(TRIM(LEFT(Tasks[[#This Row],[_Res4Text]],FIND("[",Tasks[[#This Row],[_Res4Text]]&amp;"[")-1)),res_Name,0),IFERROR(MATCH(TRIM(LEFT(Tasks[[#This Row],[_Res4Text]],FIND("[",Tasks[[#This Row],[_Res4Text]]&amp;"[")-1)),res_Initials,0),0)))</f>
        <v>0</v>
      </c>
      <c r="DS109" s="43" t="str">
        <f aca="false">IF(Tasks[[#This Row],[_Res1Text]]="","",IF(Tasks[[#This Row],[_Res1Row]]&gt;0,INDEX(res_Name,Tasks[[#This Row],[_Res1Row]]),TRIM(LEFT(Tasks[[#This Row],[_Res1Text]],FIND("[",Tasks[[#This Row],[_Res1Text]]&amp;"[")-1))))</f>
        <v/>
      </c>
      <c r="DT10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9" s="43" t="n">
        <f aca="false">IF(NOT(Tasks[[#This Row],[_IsLeaf]]=1),0,(Tasks[[#This Row],[_Resource1]]&lt;&gt;"")+(Tasks[[#This Row],[_Res2]]&lt;&gt;"")+(Tasks[[#This Row],[_Res3]]&lt;&gt;"")+(Tasks[[#This Row],[_Res4]]&lt;&gt;""))</f>
        <v>0</v>
      </c>
      <c r="DV109" s="43" t="str">
        <f aca="false">IF(Tasks[[#This Row],[_Res2Text]]="","",IF(Tasks[[#This Row],[_Res2Row]]&gt;0,INDEX(res_Name,Tasks[[#This Row],[_Res2Row]]),TRIM(LEFT(Tasks[[#This Row],[_Res2Text]],FIND("[",Tasks[[#This Row],[_Res2Text]]&amp;"[")-1))))</f>
        <v/>
      </c>
      <c r="DW10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9" s="43" t="n">
        <f aca="false">IF(OR(NOT(Tasks[[#This Row],[_IsLeaf]]=1),Tasks[[#This Row],[_Res2Row]]=0),0,N(Tasks[[#This Row],[_Days]])*HoursPerDay*IF(Tasks[[#This Row],[_Res2Units]]="",DefaultUnits,Tasks[[#This Row],[_Res2Units]]))</f>
        <v>0</v>
      </c>
      <c r="DY109" s="43" t="n">
        <f aca="false">IF(AND(AND(Tasks[[#This Row],[_IsLeaf]]=1,Tasks[[#This Row],[_LeafTotalWork]]&gt;0),Tasks[[#This Row],[_Res2Work]]&gt;0),Tasks[[#This Row],[_Res2Work]]/(Tasks[[#This Row],[_FinishWorkday]]-Tasks[[#This Row],[_StartWorkday]]+1),0)</f>
        <v>0</v>
      </c>
      <c r="DZ109" s="43" t="n">
        <f aca="false">Tasks[[#This Row],[_Res2WorkPerWD]]*MAX(0,Tasks[[#This Row],[_StartWorkday]]-1)</f>
        <v>0</v>
      </c>
      <c r="EA109" s="43" t="n">
        <f aca="false">Tasks[[#This Row],[_Res2Work]]*Tasks[[#This Row],[_LeafProgress]]</f>
        <v>0</v>
      </c>
      <c r="EB109" s="43" t="str">
        <f aca="false">IF(Tasks[[#This Row],[_Res3Text]]="","",IF(Tasks[[#This Row],[_Res3Row]]&gt;0,INDEX(res_Name,Tasks[[#This Row],[_Res3Row]]),TRIM(LEFT(Tasks[[#This Row],[_Res3Text]],FIND("[",Tasks[[#This Row],[_Res3Text]]&amp;"[")-1))))</f>
        <v/>
      </c>
      <c r="EC10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9" s="43" t="n">
        <f aca="false">IF(OR(NOT(Tasks[[#This Row],[_IsLeaf]]=1),Tasks[[#This Row],[_Res3Row]]=0),0,N(Tasks[[#This Row],[_Days]])*HoursPerDay*IF(Tasks[[#This Row],[_Res3Units]]="",DefaultUnits,Tasks[[#This Row],[_Res3Units]]))</f>
        <v>0</v>
      </c>
      <c r="EE109" s="43" t="n">
        <f aca="false">IF(AND(AND(Tasks[[#This Row],[_IsLeaf]]=1,Tasks[[#This Row],[_LeafTotalWork]]&gt;0),Tasks[[#This Row],[_Res3Work]]&gt;0),Tasks[[#This Row],[_Res3Work]]/(Tasks[[#This Row],[_FinishWorkday]]-Tasks[[#This Row],[_StartWorkday]]+1),0)</f>
        <v>0</v>
      </c>
      <c r="EF109" s="43" t="n">
        <f aca="false">Tasks[[#This Row],[_Res3WorkPerWD]]*MAX(0,Tasks[[#This Row],[_StartWorkday]]-1)</f>
        <v>0</v>
      </c>
      <c r="EG109" s="43" t="n">
        <f aca="false">Tasks[[#This Row],[_Res3Work]]*Tasks[[#This Row],[_LeafProgress]]</f>
        <v>0</v>
      </c>
      <c r="EH109" s="43" t="str">
        <f aca="false">IF(Tasks[[#This Row],[_Res4Text]]="","",IF(Tasks[[#This Row],[_Res4Row]]&gt;0,INDEX(res_Name,Tasks[[#This Row],[_Res4Row]]),TRIM(LEFT(Tasks[[#This Row],[_Res4Text]],FIND("[",Tasks[[#This Row],[_Res4Text]]&amp;"[")-1))))</f>
        <v/>
      </c>
      <c r="EI10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9" s="43" t="n">
        <f aca="false">IF(OR(NOT(Tasks[[#This Row],[_IsLeaf]]=1),Tasks[[#This Row],[_Res4Row]]=0),0,N(Tasks[[#This Row],[_Days]])*HoursPerDay*IF(Tasks[[#This Row],[_Res4Units]]="",DefaultUnits,Tasks[[#This Row],[_Res4Units]]))</f>
        <v>0</v>
      </c>
      <c r="EK109" s="43" t="n">
        <f aca="false">IF(AND(AND(Tasks[[#This Row],[_IsLeaf]]=1,Tasks[[#This Row],[_LeafTotalWork]]&gt;0),Tasks[[#This Row],[_Res4Work]]&gt;0),Tasks[[#This Row],[_Res4Work]]/(Tasks[[#This Row],[_FinishWorkday]]-Tasks[[#This Row],[_StartWorkday]]+1),0)</f>
        <v>0</v>
      </c>
      <c r="EL109" s="43" t="n">
        <f aca="false">Tasks[[#This Row],[_Res4WorkPerWD]]*MAX(0,Tasks[[#This Row],[_StartWorkday]]-1)</f>
        <v>0</v>
      </c>
      <c r="EM109" s="43" t="n">
        <f aca="false">Tasks[[#This Row],[_Res4Work]]*Tasks[[#This Row],[_LeafProgress]]</f>
        <v>0</v>
      </c>
      <c r="EN109" s="43" t="n">
        <f aca="false">IF(ISNUMBER(Tasks[[#This Row],[% Complete]]),Tasks[[#This Row],[% Complete]],IF(Tasks[[#This Row],[Stage]]="",0,IFERROR(INDEX(stg_Pct,MATCH(Tasks[[#This Row],[Stage]],stg_Name,0)),0)))</f>
        <v>0</v>
      </c>
      <c r="EO109" s="43" t="n">
        <f aca="false">IF(NOT(Tasks[[#This Row],[_IsLeaf]]=1),0,IF(N(Tasks[[#This Row],[Actual Finish]])&gt;0,1,MIN(1,Tasks[[#This Row],[_Pct]])))</f>
        <v>0</v>
      </c>
      <c r="EP109" s="43" t="n">
        <f aca="false">IF(OR(NOT(Tasks[[#This Row],[_IsLeaf]]=1),Tasks[[#This Row],[_Res1Row]]=0),0,N(Tasks[[#This Row],[_Days]])*HoursPerDay*IF(Tasks[[#This Row],[_Units1]]="",DefaultUnits,Tasks[[#This Row],[_Units1]]))</f>
        <v>0</v>
      </c>
      <c r="EQ109" s="43" t="n">
        <f aca="false">Tasks[[#This Row],[_LeafWork]]+Tasks[[#This Row],[_Res2Work]]+Tasks[[#This Row],[_Res3Work]]+Tasks[[#This Row],[_Res4Work]]</f>
        <v>0</v>
      </c>
      <c r="ER10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9" s="43" t="n">
        <f aca="false">IF(NOT(Tasks[[#This Row],[_IsLeaf]]=1),0,MAX(_xlfn.MAXIFS(Tasks[_Row],Tasks[_Pred1UID],Tasks[[#This Row],[UID]]),_xlfn.MAXIFS(Tasks[_Row],Tasks[_Pred2UID],Tasks[[#This Row],[UID]]),_xlfn.MAXIFS(Tasks[_Row],Tasks[_Pred3UID],Tasks[[#This Row],[UID]]),_xlfn.MAXIFS(Tasks[_Row],Tasks[_Pred4UID],Tasks[[#This Row],[UID]])))</f>
        <v>0</v>
      </c>
      <c r="FA10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9" s="91" t="str">
        <f aca="false">IF(NOT(Tasks[[#This Row],[_IsLeaf]]=1),"",IF(N(Tasks[[#This Row],[_Days]])&lt;=0,Tasks[[#This Row],[_LeafLateFinish]],WORKDAY.INTL(Tasks[[#This Row],[_LeafLateFinish]],-(Tasks[[#This Row],[_Days]]-1),WorkWeek,Holidays)))</f>
        <v/>
      </c>
      <c r="FD10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9" s="90" t="b">
        <f aca="false">AND(Tasks[[#This Row],[_IsLeaf]]=1,Tasks[[#This Row],[_LeafProgress]]&lt;1,N(Tasks[[#This Row],[_LeafTotalSlack]])&lt;=CriticalSlackDays)</f>
        <v>0</v>
      </c>
      <c r="FF109" s="43" t="n">
        <f aca="false">IF(AND(Tasks[[#This Row],[_IsLeaf]]=1,Tasks[[#This Row],[_ConstraintCode]]=1,Tasks[[#This Row],[Mode]]&lt;&gt;"Manual",N(Tasks[[#This Row],[Actual Start]])=0),MAX(0,N(Tasks[[#This Row],[Free Slack]])),0)</f>
        <v>0</v>
      </c>
      <c r="FG109" s="91" t="str">
        <f aca="false">IF(NOT(Tasks[[#This Row],[_IsLeaf]]=1),"",IF(Tasks[[#This Row],[_AlapShift]]=0,Tasks[[#This Row],[_LeafCalcStart]],WORKDAY.INTL(Tasks[[#This Row],[_LeafCalcStart]],Tasks[[#This Row],[_AlapShift]],WorkWeek,Holidays)))</f>
        <v/>
      </c>
      <c r="FH109" s="91" t="str">
        <f aca="false">IF(NOT(Tasks[[#This Row],[_IsLeaf]]=1),"",IF(Tasks[[#This Row],[_AlapShift]]=0,Tasks[[#This Row],[_LeafCalcFinish]],WORKDAY.INTL(Tasks[[#This Row],[_LeafCalcFinish]],Tasks[[#This Row],[_AlapShift]],WorkWeek,Holidays)))</f>
        <v/>
      </c>
      <c r="FI109" s="91" t="str">
        <f aca="false">IF(NOT(Tasks[[#This Row],[_IsLeaf]]=1),"",IF(Tasks[[#This Row],[_AlapShift]]=0,Tasks[[#This Row],[_LeafFcstStart]],WORKDAY.INTL(Tasks[[#This Row],[_LeafFcstStart]],Tasks[[#This Row],[_AlapShift]],WorkWeek,Holidays)))</f>
        <v/>
      </c>
      <c r="FJ109" s="91" t="str">
        <f aca="false">IF(NOT(Tasks[[#This Row],[_IsLeaf]]=1),"",IF(Tasks[[#This Row],[_AlapShift]]=0,Tasks[[#This Row],[_LeafFcstFinish]],WORKDAY.INTL(Tasks[[#This Row],[_LeafFcstFinish]],Tasks[[#This Row],[_AlapShift]],WorkWeek,Holidays)))</f>
        <v/>
      </c>
      <c r="FK109" s="91" t="str">
        <f aca="false">IF(Tasks[[#This Row],[Task Name]]="","",IF(Tasks[[#This Row],[_IsSummary]],MIN(INDEX(Tasks[_ShownCalcStart],Tasks[[#This Row],[_Row]]+1):INDEX(Tasks[_ShownCalcStart],Tasks[[#This Row],[_Row]]+Tasks[[#This Row],[_Descendants]])),Tasks[[#This Row],[_ShownCalcStart]]))</f>
        <v/>
      </c>
      <c r="FL109" s="91" t="str">
        <f aca="false">IF(Tasks[[#This Row],[Task Name]]="","",IF(Tasks[[#This Row],[_IsSummary]],MAX(INDEX(Tasks[_ShownCalcFinish],Tasks[[#This Row],[_Row]]+1):INDEX(Tasks[_ShownCalcFinish],Tasks[[#This Row],[_Row]]+Tasks[[#This Row],[_Descendants]])),Tasks[[#This Row],[_ShownCalcFinish]]))</f>
        <v/>
      </c>
      <c r="FM10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9" s="43" t="n">
        <f aca="false">IF(AND(Tasks[[#This Row],[_IsLeaf]]=1,Tasks[[#This Row],[_LeafTotalWork]]&gt;0),NETWORKDAYS.INTL(ProjectStart,Tasks[[#This Row],[_ShownFcstStart]],WorkWeek,Holidays),0)</f>
        <v>0</v>
      </c>
      <c r="FZ109" s="43" t="n">
        <f aca="false">IF(AND(Tasks[[#This Row],[_IsLeaf]]=1,Tasks[[#This Row],[_LeafTotalWork]]&gt;0),MAX(Tasks[[#This Row],[_StartWorkday]],NETWORKDAYS.INTL(ProjectStart,Tasks[[#This Row],[_ShownFcstFinish]],WorkWeek,Holidays)),0)</f>
        <v>0</v>
      </c>
      <c r="GA109" s="43" t="n">
        <f aca="false">IF(AND(Tasks[[#This Row],[_IsLeaf]]=1,Tasks[[#This Row],[_LeafTotalWork]]&gt;0),Tasks[[#This Row],[_LeafWork]]/(Tasks[[#This Row],[_FinishWorkday]]-Tasks[[#This Row],[_StartWorkday]]+1),0)</f>
        <v>0</v>
      </c>
      <c r="GB109" s="43" t="n">
        <f aca="false">Tasks[[#This Row],[_WorkPerWorkday]]*(Tasks[[#This Row],[_StartWorkday]]-1)</f>
        <v>-0</v>
      </c>
      <c r="GC109" s="43" t="n">
        <f aca="false">IF(Tasks[[#This Row],[_IsLeaf]]=1,MAX(N(Tasks[[#This Row],[_Days]]),0.1),0)</f>
        <v>0</v>
      </c>
      <c r="GD109" s="43" t="n">
        <f aca="false">Tasks[[#This Row],[_WeightDur]]*Tasks[[#This Row],[_LeafProgress]]</f>
        <v>0</v>
      </c>
      <c r="GE109" s="43" t="n">
        <f aca="false">Tasks[[#This Row],[_WeightDur]]*Tasks[[#This Row],[_PlannedPct]]</f>
        <v>0</v>
      </c>
      <c r="GF10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9" s="43" t="str">
        <f aca="false">IF(AND(Tasks[[#This Row],[_IsLeaf]]=1,N(Tasks[[#This Row],[_Days]])=0,Tasks[[#This Row],[_LeafProgress]]&lt;1),Tasks[[#This Row],[_ShownFcstFinish]]+Tasks[[#This Row],[_Row]]/100000,"")</f>
        <v/>
      </c>
      <c r="GH10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9" s="43" t="str">
        <f aca="false">IF(Tasks[[#This Row],[Task Name]]="","",LEFT(Tasks[[#This Row],[WBS]],FIND(".",Tasks[[#This Row],[WBS]]&amp;".")-1))</f>
        <v/>
      </c>
      <c r="GJ109" s="43" t="str">
        <f aca="false">IF(AND(Tasks[[#This Row],[Task Name]]&lt;&gt;"",Tasks[[#This Row],[_Level]]=1),Tasks[[#This Row],[_Row]],"")</f>
        <v/>
      </c>
      <c r="GK109" s="43" t="str">
        <f aca="false">IF(AND(Tasks[[#This Row],[_IsLeaf]]=1,N(Tasks[[#This Row],[_Days]])=0),Tasks[[#This Row],[Planned Finish]]+Tasks[[#This Row],[_Row]]/100000,"")</f>
        <v/>
      </c>
      <c r="GL109" s="43" t="str">
        <f aca="false">IF(AND(Tasks[[#This Row],[_IsLeaf]]=1,Tasks[[#This Row],[_LeafProgress]]&lt;1,OR(N(Tasks[[#This Row],[Finish Var]])&gt;0,Tasks[[#This Row],[Status]]="Late Start")),MAX(0,Tasks[[#This Row],[Finish Var]])+1-Tasks[[#This Row],[_Row]]/1000000,"")</f>
        <v/>
      </c>
      <c r="GM109" s="43" t="str">
        <f aca="false">IF(AND(Tasks[[#This Row],[_IsLeaf]]=1,N(Tasks[[#This Row],[Actual Start]])=0,Tasks[[#This Row],[_ShownFcstStart]]&gt;=StatusDate,Tasks[[#This Row],[_ShownFcstStart]]&lt;=LookaheadEnd),Tasks[[#This Row],[_ShownFcstStart]]+Tasks[[#This Row],[_Row]]/100000,"")</f>
        <v/>
      </c>
      <c r="GN109" s="43" t="str">
        <f aca="false">IF(AND(Tasks[[#This Row],[_IsLeaf]]=1,Tasks[[#This Row],[_LeafProgress]]&lt;1,Tasks[[#This Row],[_ShownFcstFinish]]&gt;=StatusDate,Tasks[[#This Row],[_ShownFcstFinish]]&lt;=LookaheadEnd),Tasks[[#This Row],[_ShownFcstFinish]]+Tasks[[#This Row],[_Row]]/100000,"")</f>
        <v/>
      </c>
      <c r="GO109" s="43" t="str">
        <f aca="false">IF(Tasks[[#This Row],[_LeafCritical]],Tasks[[#This Row],[_ShownFcstStart]]+Tasks[[#This Row],[_Row]]/100000,"")</f>
        <v/>
      </c>
      <c r="GP109" s="43" t="n">
        <f aca="false">Tasks[[#This Row],[_LeafWork]]*Tasks[[#This Row],[_LeafProgress]]</f>
        <v>0</v>
      </c>
      <c r="GQ109" s="91" t="str">
        <f aca="false">IF(AND(Tasks[[#This Row],[_IsLeaf]]=1,Tasks[[#This Row],[_LeafProgress]]&gt;=1),IF(N(Tasks[[#This Row],[Actual Finish]])&gt;0,Tasks[[#This Row],[Actual Finish]],Tasks[[#This Row],[_ShownFcstFinish]]),"")</f>
        <v/>
      </c>
      <c r="GR109" s="43" t="n">
        <f aca="false">IF(Tasks[[#This Row],[_IsLeaf]]=1,N(Tasks[[#This Row],[Story Points]]),0)</f>
        <v>0</v>
      </c>
      <c r="GS109" s="43" t="str">
        <f aca="false">""</f>
        <v/>
      </c>
      <c r="GT109" s="90" t="b">
        <f aca="false">IF(Tasks[[#This Row],[Task Name]]="",FALSE(),AND(Tasks[[#This Row],[_IsLeaf]]=1,N(Tasks[[#This Row],[_Days]])=0))</f>
        <v>0</v>
      </c>
      <c r="GU109" s="91" t="n">
        <f aca="false">IF(Tasks[[#This Row],[Task Name]]="",0,IF(AND(Tasks[[#This Row],[_IsLeaf]]=1,NOT(Tasks[[#This Row],[_IsMilestone]]),N(Tasks[[#This Row],[Progress]])&gt;0),Tasks[[#This Row],[Start]],0))</f>
        <v>0</v>
      </c>
      <c r="GV109" s="91" t="n">
        <f aca="false">IF(Tasks[[#This Row],[_DoneFrom]]=0,0,IF(Tasks[[#This Row],[Progress]]&gt;=1,Tasks[[#This Row],[Finish]],MAX(Tasks[[#This Row],[_DoneFrom]],Tasks[[#This Row],[Start]]+ROUND((Tasks[[#This Row],[Finish]]-Tasks[[#This Row],[Start]]+1)*Tasks[[#This Row],[Progress]],0)-1)))</f>
        <v>0</v>
      </c>
      <c r="GW109" s="91" t="n">
        <f aca="false">IF(Tasks[[#This Row],[Task Name]]="",0,IF(OR(NOT(Tasks[[#This Row],[_IsLeaf]]=1),Tasks[[#This Row],[_IsMilestone]],N(Tasks[[#This Row],[Progress]])&gt;=1),0,IF(Tasks[[#This Row],[_DoneTo]]&gt;0,Tasks[[#This Row],[_DoneTo]]+1,Tasks[[#This Row],[Start]])))</f>
        <v>0</v>
      </c>
      <c r="GX109" s="91" t="n">
        <f aca="false">IF(Tasks[[#This Row],[_RemFrom]]=0,0,Tasks[[#This Row],[Finish]])</f>
        <v>0</v>
      </c>
      <c r="GY109" s="90" t="b">
        <f aca="false">IF(Tasks[[#This Row],[Task Name]]="",FALSE(),OR(NOT(BaselineSet),N(Tasks[[#This Row],[Baseline Start]])&gt;0))</f>
        <v>0</v>
      </c>
      <c r="GZ10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9" s="92" t="str">
        <f aca="false">IF(Tasks[[#This Row],[_IsLeaf]]=1,Tasks[[#This Row],[_Row]],"")</f>
        <v/>
      </c>
      <c r="HD109" s="92" t="str">
        <f aca="false">IFERROR(INDEX(Tasks[UID],SMALL(Tasks[_PickKey],Tasks[[#This Row],[_Row]]))&amp;" "&amp;INDEX(Tasks[Task Name],SMALL(Tasks[_PickKey],Tasks[[#This Row],[_Row]])),"")</f>
        <v/>
      </c>
      <c r="HE109" s="43" t="str">
        <f aca="false">IF(Tasks[[#This Row],[Task Name]]="","",IF(Tasks[[#This Row],[_IsSummary]],NETWORKDAYS.INTL(Tasks[[#This Row],[Start]],Tasks[[#This Row],[Finish]],WorkWeek,Holidays),N(Tasks[[#This Row],[_Days]])))</f>
        <v/>
      </c>
      <c r="HF109" s="43" t="n">
        <f aca="false">IF(Tasks[[#This Row],[Expected]]="",0,((Tasks[[#This Row],[Pessimistic]]-Tasks[[#This Row],[Optimistic]])/6)^2)</f>
        <v>0</v>
      </c>
      <c r="HG109" s="43" t="n">
        <f aca="false">IF(Tasks[[#This Row],[Expected]]="",0,Tasks[[#This Row],[Expected]]-N(Tasks[[#This Row],[_Days]]))</f>
        <v>0</v>
      </c>
    </row>
    <row r="110" customFormat="false" ht="15" hidden="false" customHeight="false" outlineLevel="0" collapsed="false">
      <c r="A110" s="21" t="str">
        <f aca="false">IF(Tasks[[#This Row],[Task Name]]="","",COUNTA(Tasks[[#Headers],[Task Name]]:Tasks[[#This Row],[Task Name]])-1)</f>
        <v/>
      </c>
      <c r="B110" s="22" t="n">
        <v>118</v>
      </c>
      <c r="C110" s="22"/>
      <c r="D110" s="23"/>
      <c r="E110" s="22"/>
      <c r="F110" s="23"/>
      <c r="G110" s="22"/>
      <c r="H110" s="22"/>
      <c r="I110" s="23"/>
      <c r="J110" s="22"/>
      <c r="K110" s="22"/>
      <c r="L110" s="23"/>
      <c r="M110" s="22"/>
      <c r="N110" s="22"/>
      <c r="O110" s="23"/>
      <c r="P110" s="22"/>
      <c r="Q110" s="22"/>
      <c r="R110" s="23"/>
      <c r="S110" s="23"/>
      <c r="T110" s="84"/>
      <c r="U110" s="23"/>
      <c r="V110" s="84"/>
      <c r="W110" s="23"/>
      <c r="X110" s="84"/>
      <c r="Y110" s="23"/>
      <c r="Z110" s="84"/>
      <c r="AA110" s="23"/>
      <c r="AB110" s="23"/>
      <c r="AC110" s="7"/>
      <c r="AD110" s="7"/>
      <c r="AE110" s="63" t="str">
        <f aca="false">IF(Tasks[[#This Row],[Task Name]]="","",IF(Tasks[[#This Row],[_IsSummary]],MIN(INDEX(Tasks[_ShownFcstStart],Tasks[[#This Row],[_Row]]+1):INDEX(Tasks[_ShownFcstStart],Tasks[[#This Row],[_Row]]+Tasks[[#This Row],[_Descendants]])),Tasks[[#This Row],[_ShownFcstStart]]))</f>
        <v/>
      </c>
      <c r="AF110" s="63" t="str">
        <f aca="false">IF(Tasks[[#This Row],[Task Name]]="","",IF(Tasks[[#This Row],[_IsSummary]],MAX(INDEX(Tasks[_ShownFcstFinish],Tasks[[#This Row],[_Row]]+1):INDEX(Tasks[_ShownFcstFinish],Tasks[[#This Row],[_Row]]+Tasks[[#This Row],[_Descendants]])),Tasks[[#This Row],[_ShownFcstFinish]]))</f>
        <v/>
      </c>
      <c r="AG110" s="21" t="str">
        <f aca="false">""</f>
        <v/>
      </c>
      <c r="AH110" s="23"/>
      <c r="AI1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0" s="7"/>
      <c r="AK110" s="22"/>
      <c r="AL110" s="23"/>
      <c r="AM110" s="7"/>
      <c r="AN110" s="47" t="str">
        <f aca="false">IF(Tasks[[#This Row],[Task Name]]="","",IF(Tasks[[#This Row],[Finish]]&gt;=Tasks[[#This Row],[Planned Finish]],NETWORKDAYS.INTL(Tasks[[#This Row],[Planned Finish]],Tasks[[#This Row],[Finish]],WorkWeek,Holidays)-1,1-NETWORKDAYS.INTL(Tasks[[#This Row],[Finish]],Tasks[[#This Row],[Planned Finish]],WorkWeek,Holidays)))</f>
        <v/>
      </c>
      <c r="AO110" s="21" t="str">
        <f aca="false">IF(Tasks[[#This Row],[Task Name]]="","",IF(Tasks[[#This Row],[Progress]]&gt;=1,"Complete",IF(OR(N(Tasks[[#This Row],[Actual Start]])&gt;0,Tasks[[#This Row],[Progress]]&gt;0),IF(Tasks[[#This Row],[Finish Var]]&gt;0,"Behind","In Progress"),IF(Tasks[[#This Row],[Planned Start]]&lt;StatusDate,"Late Start","Not Started"))))</f>
        <v/>
      </c>
      <c r="AP110" s="21" t="str">
        <f aca="false">IF(Tasks[[#This Row],[Task Name]]="","",IF(IF(Tasks[[#This Row],[_IsSummary]],COUNTIF(INDEX(Tasks[_LeafCritical],Tasks[[#This Row],[_Row]]+1):INDEX(Tasks[_LeafCritical],Tasks[[#This Row],[_Row]]+Tasks[[#This Row],[_Descendants]]),TRUE())&gt;0,Tasks[[#This Row],[_LeafCritical]]),"Yes",""))</f>
        <v/>
      </c>
      <c r="AQ110" s="63" t="str">
        <f aca="false">IF(Tasks[[#This Row],[Task Name]]="","",IF(N(Tasks[[#This Row],[Baseline Start]])&gt;0,Tasks[[#This Row],[Baseline Start]],Tasks[[#This Row],[_CalcStart]]))</f>
        <v/>
      </c>
      <c r="AR110" s="63" t="str">
        <f aca="false">IF(Tasks[[#This Row],[Task Name]]="","",IF(N(Tasks[[#This Row],[Baseline Finish]])&gt;0,Tasks[[#This Row],[Baseline Finish]],Tasks[[#This Row],[_CalcFinish]]))</f>
        <v/>
      </c>
      <c r="AS110" s="47" t="str">
        <f aca="false">IF(Tasks[[#This Row],[Task Name]]="","",IF(Tasks[[#This Row],[Start]]&gt;=Tasks[[#This Row],[Planned Start]],NETWORKDAYS.INTL(Tasks[[#This Row],[Planned Start]],Tasks[[#This Row],[Start]],WorkWeek,Holidays)-1,1-NETWORKDAYS.INTL(Tasks[[#This Row],[Start]],Tasks[[#This Row],[Planned Start]],WorkWeek,Holidays)))</f>
        <v/>
      </c>
      <c r="AT110" s="63" t="str">
        <f aca="false">IF(Tasks[[#This Row],[Task Name]]="","",IF(Tasks[[#This Row],[_IsSummary]],MIN(INDEX(Tasks[_LeafLateStart],Tasks[[#This Row],[_Row]]+1):INDEX(Tasks[_LeafLateStart],Tasks[[#This Row],[_Row]]+Tasks[[#This Row],[_Descendants]])),Tasks[[#This Row],[_LeafLateStart]]))</f>
        <v/>
      </c>
      <c r="AU110" s="63" t="str">
        <f aca="false">IF(Tasks[[#This Row],[Task Name]]="","",IF(Tasks[[#This Row],[_IsSummary]],MAX(INDEX(Tasks[_LeafLateFinish],Tasks[[#This Row],[_Row]]+1):INDEX(Tasks[_LeafLateFinish],Tasks[[#This Row],[_Row]]+Tasks[[#This Row],[_Descendants]])),Tasks[[#This Row],[_LeafLateFinish]]))</f>
        <v/>
      </c>
      <c r="AV110" s="47" t="str">
        <f aca="false">IF(Tasks[[#This Row],[Task Name]]="","",IF(Tasks[[#This Row],[_IsSummary]],MIN(INDEX(Tasks[_LeafTotalSlack],Tasks[[#This Row],[_Row]]+1):INDEX(Tasks[_LeafTotalSlack],Tasks[[#This Row],[_Row]]+Tasks[[#This Row],[_Descendants]])),Tasks[[#This Row],[_LeafTotalSlack]]))</f>
        <v/>
      </c>
      <c r="AW1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5"/>
      <c r="BA11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1" t="str">
        <f aca="false">IF(Tasks[[#This Row],[Task Name]]="","",IF(Tasks[[#This Row],[_Level]]&lt;=OutlineShowLevel,"Yes","No"))</f>
        <v/>
      </c>
      <c r="BE110" s="86" t="str">
        <f aca="false">IF(Tasks[[#This Row],[Task Name]]="","",IF(Tasks[[#This Row],[_IsSummary]],SUM(INDEX(Tasks[_LeafTotalWork],Tasks[[#This Row],[_Row]]+1):INDEX(Tasks[_LeafTotalWork],Tasks[[#This Row],[_Row]]+Tasks[[#This Row],[_Descendants]])),Tasks[[#This Row],[_LeafTotalWork]]))</f>
        <v/>
      </c>
      <c r="BF110" s="23"/>
      <c r="BG1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0" s="21" t="str">
        <f aca="false">""</f>
        <v/>
      </c>
      <c r="BI110" s="87"/>
      <c r="BJ110" s="22"/>
      <c r="BK110" s="47" t="str">
        <f aca="false">IF(OR(Tasks[[#This Row],[Task Name]]="",Tasks[[#This Row],[Baseline Duration]]=""),"",Tasks[[#This Row],[_SpanDays]]-N(Tasks[[#This Row],[Baseline Duration]]))</f>
        <v/>
      </c>
      <c r="BL110" s="86" t="str">
        <f aca="false">IF(OR(Tasks[[#This Row],[Task Name]]="",Tasks[[#This Row],[Baseline Work]]=""),"",Tasks[[#This Row],[Work]]-N(Tasks[[#This Row],[Baseline Work]]))</f>
        <v/>
      </c>
      <c r="BM110" s="63" t="str">
        <f aca="false">IF(Tasks[[#This Row],[Task Name]]="","",IF(OR(TakeBaseline="Yes",N(Tasks[[#This Row],[Baseline Start]])=0),Tasks[[#This Row],[Start]],Tasks[[#This Row],[Baseline Start]]))</f>
        <v/>
      </c>
      <c r="BN110" s="63" t="str">
        <f aca="false">IF(Tasks[[#This Row],[Task Name]]="","",IF(OR(TakeBaseline="Yes",N(Tasks[[#This Row],[Baseline Finish]])=0),Tasks[[#This Row],[Finish]],Tasks[[#This Row],[Baseline Finish]]))</f>
        <v/>
      </c>
      <c r="BO110" s="21" t="str">
        <f aca="false">IF(Tasks[[#This Row],[Task Name]]="","",IF(OR(TakeBaseline="Yes",N(Tasks[[#This Row],[Baseline Duration]])=0),Tasks[[#This Row],[_SpanDays]],Tasks[[#This Row],[Baseline Duration]]))</f>
        <v/>
      </c>
      <c r="BP110" s="86" t="str">
        <f aca="false">IF(Tasks[[#This Row],[Task Name]]="","",IF(OR(TakeBaseline="Yes",N(Tasks[[#This Row],[Baseline Work]])=0),Tasks[[#This Row],[Work]],Tasks[[#This Row],[Baseline Work]]))</f>
        <v/>
      </c>
      <c r="BQ110" s="7"/>
      <c r="BR110" s="7"/>
      <c r="BS110" s="22"/>
      <c r="BT110" s="88"/>
      <c r="BU110" s="23"/>
      <c r="BV110" s="23"/>
      <c r="BW110" s="23"/>
      <c r="BX110" s="89" t="str">
        <f aca="false">IF(AND(Tasks[[#This Row],[_IsLeaf]]=1,ISNUMBER(Tasks[[#This Row],[Optimistic]]),ISNUMBER(Tasks[[#This Row],[Pessimistic]])),ROUND((Tasks[[#This Row],[Optimistic]]+4*N(Tasks[[#This Row],[_Days]])+Tasks[[#This Row],[Pessimistic]])/6,1),"")</f>
        <v/>
      </c>
      <c r="BY110" s="87"/>
      <c r="BZ110" s="87"/>
      <c r="CA110" s="22"/>
      <c r="CB110" s="43" t="str">
        <f aca="false">IF(Tasks[[#This Row],[Task Name]]="","",MAX(1,N(Tasks[[#This Row],[Level]])))</f>
        <v/>
      </c>
      <c r="CC110" s="43" t="n">
        <f aca="false">ROW()-ROW(Tasks[[#Headers],[ID]])</f>
        <v>105</v>
      </c>
      <c r="CD110" s="43" t="n">
        <f aca="false">IF(OR(Tasks[[#This Row],[Task Name]]="",Tasks[[#This Row],[_Level]]&lt;=1),0,IFERROR(LOOKUP(2,1/(Tasks[[#Headers],[_Level]]:Tasks[[#This Row],[_Level]]=Tasks[[#This Row],[_Level]]-1),ROW(Tasks[[#Headers],[_Level]]:Tasks[[#This Row],[_Level]])),0))</f>
        <v>0</v>
      </c>
      <c r="CE110" s="43" t="n">
        <f aca="false">IFERROR(N(INDEX(Tasks[_Level],Tasks[[#This Row],[_Row]]+1)),0)</f>
        <v>0</v>
      </c>
      <c r="CF110" s="90" t="b">
        <f aca="false">AND(Tasks[[#This Row],[Task Name]]&lt;&gt;"",Tasks[[#This Row],[_NextLevel]]&gt;Tasks[[#This Row],[_Level]])</f>
        <v>0</v>
      </c>
      <c r="CG110" s="43" t="n">
        <f aca="false">IF(Tasks[[#This Row],[_IsSummary]],COUNTIF(Tasks[WBS],Tasks[[#This Row],[WBS]]&amp;".*"),0)</f>
        <v>0</v>
      </c>
      <c r="CH110" s="43" t="n">
        <f aca="false">IF(AND(Tasks[[#This Row],[Task Name]]&lt;&gt;"",NOT(Tasks[[#This Row],[_IsSummary]])),1,0)</f>
        <v>0</v>
      </c>
      <c r="CI110" s="43" t="n">
        <f aca="false">IF(N(Tasks[[#This Row],[_Pred1UID]])=0,0,IFERROR(MATCH(Tasks[[#This Row],[_Pred1UID]],Tasks[UID],0),-1))</f>
        <v>0</v>
      </c>
      <c r="CJ110" s="43" t="n">
        <f aca="false">IF(N(Tasks[[#This Row],[_Pred2UID]])=0,0,IFERROR(MATCH(Tasks[[#This Row],[_Pred2UID]],Tasks[UID],0),-1))</f>
        <v>0</v>
      </c>
      <c r="CK110" s="43" t="n">
        <f aca="false">IF(N(Tasks[[#This Row],[_Pred3UID]])=0,0,IFERROR(MATCH(Tasks[[#This Row],[_Pred3UID]],Tasks[UID],0),-1))</f>
        <v>0</v>
      </c>
      <c r="CL110" s="43" t="n">
        <f aca="false">IF(N(Tasks[[#This Row],[_Pred4UID]])=0,0,IFERROR(MATCH(Tasks[[#This Row],[_Pred4UID]],Tasks[UID],0),-1))</f>
        <v>0</v>
      </c>
      <c r="CM11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0" s="91" t="n">
        <f aca="false">IF(OR(Tasks[[#This Row],[_ConstraintCode]]=2,Tasks[[#This Row],[_ConstraintCode]]=3,Tasks[[#This Row],[_ConstraintCode]]=4,Tasks[[#This Row],[_ConstraintCode]]=6),Tasks[[#This Row],[_ConstraintStart]],0)</f>
        <v>0</v>
      </c>
      <c r="CP110" s="91" t="n">
        <f aca="false">IF(OR(Tasks[[#This Row],[_ConstraintCode]]=2,Tasks[[#This Row],[_ConstraintCode]]=3,Tasks[[#This Row],[_ConstraintCode]]=5,Tasks[[#This Row],[_ConstraintCode]]=7),Tasks[[#This Row],[_ConstraintStart]],2958465)</f>
        <v>2958465</v>
      </c>
      <c r="CQ11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0" s="91" t="str">
        <f aca="false">IF(NOT(Tasks[[#This Row],[_IsLeaf]]=1),"",IF(N(Tasks[[#This Row],[_Days]])&lt;=0,Tasks[[#This Row],[_LeafCalcStart]],WORKDAY.INTL(Tasks[[#This Row],[_LeafCalcStart]],Tasks[[#This Row],[_Days]]-1,WorkWeek,Holidays)))</f>
        <v/>
      </c>
      <c r="CS11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0" s="43" t="str">
        <f aca="false">IF(Tasks[[#This Row],[_Predecessors]]="","",TRIM(MID(SUBSTITUTE(SUBSTITUTE(SUBSTITUTE(UPPER(Tasks[[#This Row],[_Predecessors]]),";",",")," ",""),",",REPT(" ",99)),1,99)))</f>
        <v/>
      </c>
      <c r="CV110" s="43" t="str">
        <f aca="false">IF(Tasks[[#This Row],[_Pred1Text]]="","",IFERROR(VALUE(LEFT(Tasks[[#This Row],[_Pred1Text]],MIN(FIND("F",Tasks[[#This Row],[_Pred1Text]]&amp;"F"),FIND("S",Tasks[[#This Row],[_Pred1Text]]&amp;"S"),FIND("+",Tasks[[#This Row],[_Pred1Text]]&amp;"+"),FIND("-",Tasks[[#This Row],[_Pred1Text]]&amp;"-"))-1)),""))</f>
        <v/>
      </c>
      <c r="CW11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0" s="43" t="str">
        <f aca="false">IF(Tasks[[#This Row],[_Pred1Text]]="","",TRIM(MID(SUBSTITUTE(SUBSTITUTE(SUBSTITUTE(UPPER(Tasks[[#This Row],[_Predecessors]]),";",",")," ",""),",",REPT(" ",99)),100,99)))</f>
        <v/>
      </c>
      <c r="CZ110" s="43" t="str">
        <f aca="false">IF(Tasks[[#This Row],[_Pred2Text]]="","",IFERROR(VALUE(LEFT(Tasks[[#This Row],[_Pred2Text]],MIN(FIND("F",Tasks[[#This Row],[_Pred2Text]]&amp;"F"),FIND("S",Tasks[[#This Row],[_Pred2Text]]&amp;"S"),FIND("+",Tasks[[#This Row],[_Pred2Text]]&amp;"+"),FIND("-",Tasks[[#This Row],[_Pred2Text]]&amp;"-"))-1)),""))</f>
        <v/>
      </c>
      <c r="DA11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0" s="43" t="str">
        <f aca="false">IF(Tasks[[#This Row],[_Pred2Text]]="","",TRIM(MID(SUBSTITUTE(SUBSTITUTE(SUBSTITUTE(UPPER(Tasks[[#This Row],[_Predecessors]]),";",",")," ",""),",",REPT(" ",99)),199,99)))</f>
        <v/>
      </c>
      <c r="DD110" s="43" t="str">
        <f aca="false">IF(Tasks[[#This Row],[_Pred3Text]]="","",IFERROR(VALUE(LEFT(Tasks[[#This Row],[_Pred3Text]],MIN(FIND("F",Tasks[[#This Row],[_Pred3Text]]&amp;"F"),FIND("S",Tasks[[#This Row],[_Pred3Text]]&amp;"S"),FIND("+",Tasks[[#This Row],[_Pred3Text]]&amp;"+"),FIND("-",Tasks[[#This Row],[_Pred3Text]]&amp;"-"))-1)),""))</f>
        <v/>
      </c>
      <c r="DE11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0" s="43" t="str">
        <f aca="false">IF(Tasks[[#This Row],[_Pred3Text]]="","",TRIM(MID(SUBSTITUTE(SUBSTITUTE(SUBSTITUTE(UPPER(Tasks[[#This Row],[_Predecessors]]),";",",")," ",""),",",REPT(" ",99)),298,99)))</f>
        <v/>
      </c>
      <c r="DH110" s="43" t="str">
        <f aca="false">IF(Tasks[[#This Row],[_Pred4Text]]="","",IFERROR(VALUE(LEFT(Tasks[[#This Row],[_Pred4Text]],MIN(FIND("F",Tasks[[#This Row],[_Pred4Text]]&amp;"F"),FIND("S",Tasks[[#This Row],[_Pred4Text]]&amp;"S"),FIND("+",Tasks[[#This Row],[_Pred4Text]]&amp;"+"),FIND("-",Tasks[[#This Row],[_Pred4Text]]&amp;"-"))-1)),""))</f>
        <v/>
      </c>
      <c r="DI11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0" s="43" t="str">
        <f aca="false">IF(OR(Tasks[[#This Row],[Task Name]]="",Tasks[[#This Row],[_Resources]]=""),"",TRIM(MID(SUBSTITUTE(Tasks[[#This Row],[_Resources]],",",REPT(" ",99)),1,99)))</f>
        <v/>
      </c>
      <c r="DL110" s="43" t="str">
        <f aca="false">IF(Tasks[[#This Row],[_Res1Text]]="","",TRIM(MID(SUBSTITUTE(Tasks[[#This Row],[_Resources]],",",REPT(" ",99)),100,99)))</f>
        <v/>
      </c>
      <c r="DM110" s="43" t="str">
        <f aca="false">IF(Tasks[[#This Row],[_Res2Text]]="","",TRIM(MID(SUBSTITUTE(Tasks[[#This Row],[_Resources]],",",REPT(" ",99)),199,99)))</f>
        <v/>
      </c>
      <c r="DN110" s="43" t="str">
        <f aca="false">IF(Tasks[[#This Row],[_Res3Text]]="","",TRIM(MID(SUBSTITUTE(Tasks[[#This Row],[_Resources]],",",REPT(" ",99)),298,99)))</f>
        <v/>
      </c>
      <c r="DO110" s="43" t="n">
        <f aca="false">IF(Tasks[[#This Row],[_Res1Text]]="",0,IFERROR(MATCH(TRIM(LEFT(Tasks[[#This Row],[_Res1Text]],FIND("[",Tasks[[#This Row],[_Res1Text]]&amp;"[")-1)),res_Name,0),IFERROR(MATCH(TRIM(LEFT(Tasks[[#This Row],[_Res1Text]],FIND("[",Tasks[[#This Row],[_Res1Text]]&amp;"[")-1)),res_Initials,0),0)))</f>
        <v>0</v>
      </c>
      <c r="DP110" s="43" t="n">
        <f aca="false">IF(Tasks[[#This Row],[_Res2Text]]="",0,IFERROR(MATCH(TRIM(LEFT(Tasks[[#This Row],[_Res2Text]],FIND("[",Tasks[[#This Row],[_Res2Text]]&amp;"[")-1)),res_Name,0),IFERROR(MATCH(TRIM(LEFT(Tasks[[#This Row],[_Res2Text]],FIND("[",Tasks[[#This Row],[_Res2Text]]&amp;"[")-1)),res_Initials,0),0)))</f>
        <v>0</v>
      </c>
      <c r="DQ110" s="43" t="n">
        <f aca="false">IF(Tasks[[#This Row],[_Res3Text]]="",0,IFERROR(MATCH(TRIM(LEFT(Tasks[[#This Row],[_Res3Text]],FIND("[",Tasks[[#This Row],[_Res3Text]]&amp;"[")-1)),res_Name,0),IFERROR(MATCH(TRIM(LEFT(Tasks[[#This Row],[_Res3Text]],FIND("[",Tasks[[#This Row],[_Res3Text]]&amp;"[")-1)),res_Initials,0),0)))</f>
        <v>0</v>
      </c>
      <c r="DR110" s="43" t="n">
        <f aca="false">IF(Tasks[[#This Row],[_Res4Text]]="",0,IFERROR(MATCH(TRIM(LEFT(Tasks[[#This Row],[_Res4Text]],FIND("[",Tasks[[#This Row],[_Res4Text]]&amp;"[")-1)),res_Name,0),IFERROR(MATCH(TRIM(LEFT(Tasks[[#This Row],[_Res4Text]],FIND("[",Tasks[[#This Row],[_Res4Text]]&amp;"[")-1)),res_Initials,0),0)))</f>
        <v>0</v>
      </c>
      <c r="DS110" s="43" t="str">
        <f aca="false">IF(Tasks[[#This Row],[_Res1Text]]="","",IF(Tasks[[#This Row],[_Res1Row]]&gt;0,INDEX(res_Name,Tasks[[#This Row],[_Res1Row]]),TRIM(LEFT(Tasks[[#This Row],[_Res1Text]],FIND("[",Tasks[[#This Row],[_Res1Text]]&amp;"[")-1))))</f>
        <v/>
      </c>
      <c r="DT11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0" s="43" t="n">
        <f aca="false">IF(NOT(Tasks[[#This Row],[_IsLeaf]]=1),0,(Tasks[[#This Row],[_Resource1]]&lt;&gt;"")+(Tasks[[#This Row],[_Res2]]&lt;&gt;"")+(Tasks[[#This Row],[_Res3]]&lt;&gt;"")+(Tasks[[#This Row],[_Res4]]&lt;&gt;""))</f>
        <v>0</v>
      </c>
      <c r="DV110" s="43" t="str">
        <f aca="false">IF(Tasks[[#This Row],[_Res2Text]]="","",IF(Tasks[[#This Row],[_Res2Row]]&gt;0,INDEX(res_Name,Tasks[[#This Row],[_Res2Row]]),TRIM(LEFT(Tasks[[#This Row],[_Res2Text]],FIND("[",Tasks[[#This Row],[_Res2Text]]&amp;"[")-1))))</f>
        <v/>
      </c>
      <c r="DW11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0" s="43" t="n">
        <f aca="false">IF(OR(NOT(Tasks[[#This Row],[_IsLeaf]]=1),Tasks[[#This Row],[_Res2Row]]=0),0,N(Tasks[[#This Row],[_Days]])*HoursPerDay*IF(Tasks[[#This Row],[_Res2Units]]="",DefaultUnits,Tasks[[#This Row],[_Res2Units]]))</f>
        <v>0</v>
      </c>
      <c r="DY110" s="43" t="n">
        <f aca="false">IF(AND(AND(Tasks[[#This Row],[_IsLeaf]]=1,Tasks[[#This Row],[_LeafTotalWork]]&gt;0),Tasks[[#This Row],[_Res2Work]]&gt;0),Tasks[[#This Row],[_Res2Work]]/(Tasks[[#This Row],[_FinishWorkday]]-Tasks[[#This Row],[_StartWorkday]]+1),0)</f>
        <v>0</v>
      </c>
      <c r="DZ110" s="43" t="n">
        <f aca="false">Tasks[[#This Row],[_Res2WorkPerWD]]*MAX(0,Tasks[[#This Row],[_StartWorkday]]-1)</f>
        <v>0</v>
      </c>
      <c r="EA110" s="43" t="n">
        <f aca="false">Tasks[[#This Row],[_Res2Work]]*Tasks[[#This Row],[_LeafProgress]]</f>
        <v>0</v>
      </c>
      <c r="EB110" s="43" t="str">
        <f aca="false">IF(Tasks[[#This Row],[_Res3Text]]="","",IF(Tasks[[#This Row],[_Res3Row]]&gt;0,INDEX(res_Name,Tasks[[#This Row],[_Res3Row]]),TRIM(LEFT(Tasks[[#This Row],[_Res3Text]],FIND("[",Tasks[[#This Row],[_Res3Text]]&amp;"[")-1))))</f>
        <v/>
      </c>
      <c r="EC11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0" s="43" t="n">
        <f aca="false">IF(OR(NOT(Tasks[[#This Row],[_IsLeaf]]=1),Tasks[[#This Row],[_Res3Row]]=0),0,N(Tasks[[#This Row],[_Days]])*HoursPerDay*IF(Tasks[[#This Row],[_Res3Units]]="",DefaultUnits,Tasks[[#This Row],[_Res3Units]]))</f>
        <v>0</v>
      </c>
      <c r="EE110" s="43" t="n">
        <f aca="false">IF(AND(AND(Tasks[[#This Row],[_IsLeaf]]=1,Tasks[[#This Row],[_LeafTotalWork]]&gt;0),Tasks[[#This Row],[_Res3Work]]&gt;0),Tasks[[#This Row],[_Res3Work]]/(Tasks[[#This Row],[_FinishWorkday]]-Tasks[[#This Row],[_StartWorkday]]+1),0)</f>
        <v>0</v>
      </c>
      <c r="EF110" s="43" t="n">
        <f aca="false">Tasks[[#This Row],[_Res3WorkPerWD]]*MAX(0,Tasks[[#This Row],[_StartWorkday]]-1)</f>
        <v>0</v>
      </c>
      <c r="EG110" s="43" t="n">
        <f aca="false">Tasks[[#This Row],[_Res3Work]]*Tasks[[#This Row],[_LeafProgress]]</f>
        <v>0</v>
      </c>
      <c r="EH110" s="43" t="str">
        <f aca="false">IF(Tasks[[#This Row],[_Res4Text]]="","",IF(Tasks[[#This Row],[_Res4Row]]&gt;0,INDEX(res_Name,Tasks[[#This Row],[_Res4Row]]),TRIM(LEFT(Tasks[[#This Row],[_Res4Text]],FIND("[",Tasks[[#This Row],[_Res4Text]]&amp;"[")-1))))</f>
        <v/>
      </c>
      <c r="EI11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0" s="43" t="n">
        <f aca="false">IF(OR(NOT(Tasks[[#This Row],[_IsLeaf]]=1),Tasks[[#This Row],[_Res4Row]]=0),0,N(Tasks[[#This Row],[_Days]])*HoursPerDay*IF(Tasks[[#This Row],[_Res4Units]]="",DefaultUnits,Tasks[[#This Row],[_Res4Units]]))</f>
        <v>0</v>
      </c>
      <c r="EK110" s="43" t="n">
        <f aca="false">IF(AND(AND(Tasks[[#This Row],[_IsLeaf]]=1,Tasks[[#This Row],[_LeafTotalWork]]&gt;0),Tasks[[#This Row],[_Res4Work]]&gt;0),Tasks[[#This Row],[_Res4Work]]/(Tasks[[#This Row],[_FinishWorkday]]-Tasks[[#This Row],[_StartWorkday]]+1),0)</f>
        <v>0</v>
      </c>
      <c r="EL110" s="43" t="n">
        <f aca="false">Tasks[[#This Row],[_Res4WorkPerWD]]*MAX(0,Tasks[[#This Row],[_StartWorkday]]-1)</f>
        <v>0</v>
      </c>
      <c r="EM110" s="43" t="n">
        <f aca="false">Tasks[[#This Row],[_Res4Work]]*Tasks[[#This Row],[_LeafProgress]]</f>
        <v>0</v>
      </c>
      <c r="EN110" s="43" t="n">
        <f aca="false">IF(ISNUMBER(Tasks[[#This Row],[% Complete]]),Tasks[[#This Row],[% Complete]],IF(Tasks[[#This Row],[Stage]]="",0,IFERROR(INDEX(stg_Pct,MATCH(Tasks[[#This Row],[Stage]],stg_Name,0)),0)))</f>
        <v>0</v>
      </c>
      <c r="EO110" s="43" t="n">
        <f aca="false">IF(NOT(Tasks[[#This Row],[_IsLeaf]]=1),0,IF(N(Tasks[[#This Row],[Actual Finish]])&gt;0,1,MIN(1,Tasks[[#This Row],[_Pct]])))</f>
        <v>0</v>
      </c>
      <c r="EP110" s="43" t="n">
        <f aca="false">IF(OR(NOT(Tasks[[#This Row],[_IsLeaf]]=1),Tasks[[#This Row],[_Res1Row]]=0),0,N(Tasks[[#This Row],[_Days]])*HoursPerDay*IF(Tasks[[#This Row],[_Units1]]="",DefaultUnits,Tasks[[#This Row],[_Units1]]))</f>
        <v>0</v>
      </c>
      <c r="EQ110" s="43" t="n">
        <f aca="false">Tasks[[#This Row],[_LeafWork]]+Tasks[[#This Row],[_Res2Work]]+Tasks[[#This Row],[_Res3Work]]+Tasks[[#This Row],[_Res4Work]]</f>
        <v>0</v>
      </c>
      <c r="ER11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0" s="43" t="n">
        <f aca="false">IF(NOT(Tasks[[#This Row],[_IsLeaf]]=1),0,MAX(_xlfn.MAXIFS(Tasks[_Row],Tasks[_Pred1UID],Tasks[[#This Row],[UID]]),_xlfn.MAXIFS(Tasks[_Row],Tasks[_Pred2UID],Tasks[[#This Row],[UID]]),_xlfn.MAXIFS(Tasks[_Row],Tasks[_Pred3UID],Tasks[[#This Row],[UID]]),_xlfn.MAXIFS(Tasks[_Row],Tasks[_Pred4UID],Tasks[[#This Row],[UID]])))</f>
        <v>0</v>
      </c>
      <c r="FA11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0" s="91" t="str">
        <f aca="false">IF(NOT(Tasks[[#This Row],[_IsLeaf]]=1),"",IF(N(Tasks[[#This Row],[_Days]])&lt;=0,Tasks[[#This Row],[_LeafLateFinish]],WORKDAY.INTL(Tasks[[#This Row],[_LeafLateFinish]],-(Tasks[[#This Row],[_Days]]-1),WorkWeek,Holidays)))</f>
        <v/>
      </c>
      <c r="FD11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0" s="90" t="b">
        <f aca="false">AND(Tasks[[#This Row],[_IsLeaf]]=1,Tasks[[#This Row],[_LeafProgress]]&lt;1,N(Tasks[[#This Row],[_LeafTotalSlack]])&lt;=CriticalSlackDays)</f>
        <v>0</v>
      </c>
      <c r="FF110" s="43" t="n">
        <f aca="false">IF(AND(Tasks[[#This Row],[_IsLeaf]]=1,Tasks[[#This Row],[_ConstraintCode]]=1,Tasks[[#This Row],[Mode]]&lt;&gt;"Manual",N(Tasks[[#This Row],[Actual Start]])=0),MAX(0,N(Tasks[[#This Row],[Free Slack]])),0)</f>
        <v>0</v>
      </c>
      <c r="FG110" s="91" t="str">
        <f aca="false">IF(NOT(Tasks[[#This Row],[_IsLeaf]]=1),"",IF(Tasks[[#This Row],[_AlapShift]]=0,Tasks[[#This Row],[_LeafCalcStart]],WORKDAY.INTL(Tasks[[#This Row],[_LeafCalcStart]],Tasks[[#This Row],[_AlapShift]],WorkWeek,Holidays)))</f>
        <v/>
      </c>
      <c r="FH110" s="91" t="str">
        <f aca="false">IF(NOT(Tasks[[#This Row],[_IsLeaf]]=1),"",IF(Tasks[[#This Row],[_AlapShift]]=0,Tasks[[#This Row],[_LeafCalcFinish]],WORKDAY.INTL(Tasks[[#This Row],[_LeafCalcFinish]],Tasks[[#This Row],[_AlapShift]],WorkWeek,Holidays)))</f>
        <v/>
      </c>
      <c r="FI110" s="91" t="str">
        <f aca="false">IF(NOT(Tasks[[#This Row],[_IsLeaf]]=1),"",IF(Tasks[[#This Row],[_AlapShift]]=0,Tasks[[#This Row],[_LeafFcstStart]],WORKDAY.INTL(Tasks[[#This Row],[_LeafFcstStart]],Tasks[[#This Row],[_AlapShift]],WorkWeek,Holidays)))</f>
        <v/>
      </c>
      <c r="FJ110" s="91" t="str">
        <f aca="false">IF(NOT(Tasks[[#This Row],[_IsLeaf]]=1),"",IF(Tasks[[#This Row],[_AlapShift]]=0,Tasks[[#This Row],[_LeafFcstFinish]],WORKDAY.INTL(Tasks[[#This Row],[_LeafFcstFinish]],Tasks[[#This Row],[_AlapShift]],WorkWeek,Holidays)))</f>
        <v/>
      </c>
      <c r="FK110" s="91" t="str">
        <f aca="false">IF(Tasks[[#This Row],[Task Name]]="","",IF(Tasks[[#This Row],[_IsSummary]],MIN(INDEX(Tasks[_ShownCalcStart],Tasks[[#This Row],[_Row]]+1):INDEX(Tasks[_ShownCalcStart],Tasks[[#This Row],[_Row]]+Tasks[[#This Row],[_Descendants]])),Tasks[[#This Row],[_ShownCalcStart]]))</f>
        <v/>
      </c>
      <c r="FL110" s="91" t="str">
        <f aca="false">IF(Tasks[[#This Row],[Task Name]]="","",IF(Tasks[[#This Row],[_IsSummary]],MAX(INDEX(Tasks[_ShownCalcFinish],Tasks[[#This Row],[_Row]]+1):INDEX(Tasks[_ShownCalcFinish],Tasks[[#This Row],[_Row]]+Tasks[[#This Row],[_Descendants]])),Tasks[[#This Row],[_ShownCalcFinish]]))</f>
        <v/>
      </c>
      <c r="FM11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0" s="43" t="n">
        <f aca="false">IF(AND(Tasks[[#This Row],[_IsLeaf]]=1,Tasks[[#This Row],[_LeafTotalWork]]&gt;0),NETWORKDAYS.INTL(ProjectStart,Tasks[[#This Row],[_ShownFcstStart]],WorkWeek,Holidays),0)</f>
        <v>0</v>
      </c>
      <c r="FZ110" s="43" t="n">
        <f aca="false">IF(AND(Tasks[[#This Row],[_IsLeaf]]=1,Tasks[[#This Row],[_LeafTotalWork]]&gt;0),MAX(Tasks[[#This Row],[_StartWorkday]],NETWORKDAYS.INTL(ProjectStart,Tasks[[#This Row],[_ShownFcstFinish]],WorkWeek,Holidays)),0)</f>
        <v>0</v>
      </c>
      <c r="GA110" s="43" t="n">
        <f aca="false">IF(AND(Tasks[[#This Row],[_IsLeaf]]=1,Tasks[[#This Row],[_LeafTotalWork]]&gt;0),Tasks[[#This Row],[_LeafWork]]/(Tasks[[#This Row],[_FinishWorkday]]-Tasks[[#This Row],[_StartWorkday]]+1),0)</f>
        <v>0</v>
      </c>
      <c r="GB110" s="43" t="n">
        <f aca="false">Tasks[[#This Row],[_WorkPerWorkday]]*(Tasks[[#This Row],[_StartWorkday]]-1)</f>
        <v>-0</v>
      </c>
      <c r="GC110" s="43" t="n">
        <f aca="false">IF(Tasks[[#This Row],[_IsLeaf]]=1,MAX(N(Tasks[[#This Row],[_Days]]),0.1),0)</f>
        <v>0</v>
      </c>
      <c r="GD110" s="43" t="n">
        <f aca="false">Tasks[[#This Row],[_WeightDur]]*Tasks[[#This Row],[_LeafProgress]]</f>
        <v>0</v>
      </c>
      <c r="GE110" s="43" t="n">
        <f aca="false">Tasks[[#This Row],[_WeightDur]]*Tasks[[#This Row],[_PlannedPct]]</f>
        <v>0</v>
      </c>
      <c r="GF11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0" s="43" t="str">
        <f aca="false">IF(AND(Tasks[[#This Row],[_IsLeaf]]=1,N(Tasks[[#This Row],[_Days]])=0,Tasks[[#This Row],[_LeafProgress]]&lt;1),Tasks[[#This Row],[_ShownFcstFinish]]+Tasks[[#This Row],[_Row]]/100000,"")</f>
        <v/>
      </c>
      <c r="GH11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0" s="43" t="str">
        <f aca="false">IF(Tasks[[#This Row],[Task Name]]="","",LEFT(Tasks[[#This Row],[WBS]],FIND(".",Tasks[[#This Row],[WBS]]&amp;".")-1))</f>
        <v/>
      </c>
      <c r="GJ110" s="43" t="str">
        <f aca="false">IF(AND(Tasks[[#This Row],[Task Name]]&lt;&gt;"",Tasks[[#This Row],[_Level]]=1),Tasks[[#This Row],[_Row]],"")</f>
        <v/>
      </c>
      <c r="GK110" s="43" t="str">
        <f aca="false">IF(AND(Tasks[[#This Row],[_IsLeaf]]=1,N(Tasks[[#This Row],[_Days]])=0),Tasks[[#This Row],[Planned Finish]]+Tasks[[#This Row],[_Row]]/100000,"")</f>
        <v/>
      </c>
      <c r="GL110" s="43" t="str">
        <f aca="false">IF(AND(Tasks[[#This Row],[_IsLeaf]]=1,Tasks[[#This Row],[_LeafProgress]]&lt;1,OR(N(Tasks[[#This Row],[Finish Var]])&gt;0,Tasks[[#This Row],[Status]]="Late Start")),MAX(0,Tasks[[#This Row],[Finish Var]])+1-Tasks[[#This Row],[_Row]]/1000000,"")</f>
        <v/>
      </c>
      <c r="GM110" s="43" t="str">
        <f aca="false">IF(AND(Tasks[[#This Row],[_IsLeaf]]=1,N(Tasks[[#This Row],[Actual Start]])=0,Tasks[[#This Row],[_ShownFcstStart]]&gt;=StatusDate,Tasks[[#This Row],[_ShownFcstStart]]&lt;=LookaheadEnd),Tasks[[#This Row],[_ShownFcstStart]]+Tasks[[#This Row],[_Row]]/100000,"")</f>
        <v/>
      </c>
      <c r="GN110" s="43" t="str">
        <f aca="false">IF(AND(Tasks[[#This Row],[_IsLeaf]]=1,Tasks[[#This Row],[_LeafProgress]]&lt;1,Tasks[[#This Row],[_ShownFcstFinish]]&gt;=StatusDate,Tasks[[#This Row],[_ShownFcstFinish]]&lt;=LookaheadEnd),Tasks[[#This Row],[_ShownFcstFinish]]+Tasks[[#This Row],[_Row]]/100000,"")</f>
        <v/>
      </c>
      <c r="GO110" s="43" t="str">
        <f aca="false">IF(Tasks[[#This Row],[_LeafCritical]],Tasks[[#This Row],[_ShownFcstStart]]+Tasks[[#This Row],[_Row]]/100000,"")</f>
        <v/>
      </c>
      <c r="GP110" s="43" t="n">
        <f aca="false">Tasks[[#This Row],[_LeafWork]]*Tasks[[#This Row],[_LeafProgress]]</f>
        <v>0</v>
      </c>
      <c r="GQ110" s="91" t="str">
        <f aca="false">IF(AND(Tasks[[#This Row],[_IsLeaf]]=1,Tasks[[#This Row],[_LeafProgress]]&gt;=1),IF(N(Tasks[[#This Row],[Actual Finish]])&gt;0,Tasks[[#This Row],[Actual Finish]],Tasks[[#This Row],[_ShownFcstFinish]]),"")</f>
        <v/>
      </c>
      <c r="GR110" s="43" t="n">
        <f aca="false">IF(Tasks[[#This Row],[_IsLeaf]]=1,N(Tasks[[#This Row],[Story Points]]),0)</f>
        <v>0</v>
      </c>
      <c r="GS110" s="43" t="str">
        <f aca="false">""</f>
        <v/>
      </c>
      <c r="GT110" s="90" t="b">
        <f aca="false">IF(Tasks[[#This Row],[Task Name]]="",FALSE(),AND(Tasks[[#This Row],[_IsLeaf]]=1,N(Tasks[[#This Row],[_Days]])=0))</f>
        <v>0</v>
      </c>
      <c r="GU110" s="91" t="n">
        <f aca="false">IF(Tasks[[#This Row],[Task Name]]="",0,IF(AND(Tasks[[#This Row],[_IsLeaf]]=1,NOT(Tasks[[#This Row],[_IsMilestone]]),N(Tasks[[#This Row],[Progress]])&gt;0),Tasks[[#This Row],[Start]],0))</f>
        <v>0</v>
      </c>
      <c r="GV110" s="91" t="n">
        <f aca="false">IF(Tasks[[#This Row],[_DoneFrom]]=0,0,IF(Tasks[[#This Row],[Progress]]&gt;=1,Tasks[[#This Row],[Finish]],MAX(Tasks[[#This Row],[_DoneFrom]],Tasks[[#This Row],[Start]]+ROUND((Tasks[[#This Row],[Finish]]-Tasks[[#This Row],[Start]]+1)*Tasks[[#This Row],[Progress]],0)-1)))</f>
        <v>0</v>
      </c>
      <c r="GW110" s="91" t="n">
        <f aca="false">IF(Tasks[[#This Row],[Task Name]]="",0,IF(OR(NOT(Tasks[[#This Row],[_IsLeaf]]=1),Tasks[[#This Row],[_IsMilestone]],N(Tasks[[#This Row],[Progress]])&gt;=1),0,IF(Tasks[[#This Row],[_DoneTo]]&gt;0,Tasks[[#This Row],[_DoneTo]]+1,Tasks[[#This Row],[Start]])))</f>
        <v>0</v>
      </c>
      <c r="GX110" s="91" t="n">
        <f aca="false">IF(Tasks[[#This Row],[_RemFrom]]=0,0,Tasks[[#This Row],[Finish]])</f>
        <v>0</v>
      </c>
      <c r="GY110" s="90" t="b">
        <f aca="false">IF(Tasks[[#This Row],[Task Name]]="",FALSE(),OR(NOT(BaselineSet),N(Tasks[[#This Row],[Baseline Start]])&gt;0))</f>
        <v>0</v>
      </c>
      <c r="GZ11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0" s="92" t="str">
        <f aca="false">IF(Tasks[[#This Row],[_IsLeaf]]=1,Tasks[[#This Row],[_Row]],"")</f>
        <v/>
      </c>
      <c r="HD110" s="92" t="str">
        <f aca="false">IFERROR(INDEX(Tasks[UID],SMALL(Tasks[_PickKey],Tasks[[#This Row],[_Row]]))&amp;" "&amp;INDEX(Tasks[Task Name],SMALL(Tasks[_PickKey],Tasks[[#This Row],[_Row]])),"")</f>
        <v/>
      </c>
      <c r="HE110" s="43" t="str">
        <f aca="false">IF(Tasks[[#This Row],[Task Name]]="","",IF(Tasks[[#This Row],[_IsSummary]],NETWORKDAYS.INTL(Tasks[[#This Row],[Start]],Tasks[[#This Row],[Finish]],WorkWeek,Holidays),N(Tasks[[#This Row],[_Days]])))</f>
        <v/>
      </c>
      <c r="HF110" s="43" t="n">
        <f aca="false">IF(Tasks[[#This Row],[Expected]]="",0,((Tasks[[#This Row],[Pessimistic]]-Tasks[[#This Row],[Optimistic]])/6)^2)</f>
        <v>0</v>
      </c>
      <c r="HG110" s="43" t="n">
        <f aca="false">IF(Tasks[[#This Row],[Expected]]="",0,Tasks[[#This Row],[Expected]]-N(Tasks[[#This Row],[_Days]]))</f>
        <v>0</v>
      </c>
    </row>
    <row r="111" customFormat="false" ht="15" hidden="false" customHeight="false" outlineLevel="0" collapsed="false">
      <c r="A111" s="21" t="str">
        <f aca="false">IF(Tasks[[#This Row],[Task Name]]="","",COUNTA(Tasks[[#Headers],[Task Name]]:Tasks[[#This Row],[Task Name]])-1)</f>
        <v/>
      </c>
      <c r="B111" s="22" t="n">
        <v>119</v>
      </c>
      <c r="C111" s="22"/>
      <c r="D111" s="23"/>
      <c r="E111" s="22"/>
      <c r="F111" s="23"/>
      <c r="G111" s="22"/>
      <c r="H111" s="22"/>
      <c r="I111" s="23"/>
      <c r="J111" s="22"/>
      <c r="K111" s="22"/>
      <c r="L111" s="23"/>
      <c r="M111" s="22"/>
      <c r="N111" s="22"/>
      <c r="O111" s="23"/>
      <c r="P111" s="22"/>
      <c r="Q111" s="22"/>
      <c r="R111" s="23"/>
      <c r="S111" s="23"/>
      <c r="T111" s="84"/>
      <c r="U111" s="23"/>
      <c r="V111" s="84"/>
      <c r="W111" s="23"/>
      <c r="X111" s="84"/>
      <c r="Y111" s="23"/>
      <c r="Z111" s="84"/>
      <c r="AA111" s="23"/>
      <c r="AB111" s="23"/>
      <c r="AC111" s="7"/>
      <c r="AD111" s="7"/>
      <c r="AE111" s="63" t="str">
        <f aca="false">IF(Tasks[[#This Row],[Task Name]]="","",IF(Tasks[[#This Row],[_IsSummary]],MIN(INDEX(Tasks[_ShownFcstStart],Tasks[[#This Row],[_Row]]+1):INDEX(Tasks[_ShownFcstStart],Tasks[[#This Row],[_Row]]+Tasks[[#This Row],[_Descendants]])),Tasks[[#This Row],[_ShownFcstStart]]))</f>
        <v/>
      </c>
      <c r="AF111" s="63" t="str">
        <f aca="false">IF(Tasks[[#This Row],[Task Name]]="","",IF(Tasks[[#This Row],[_IsSummary]],MAX(INDEX(Tasks[_ShownFcstFinish],Tasks[[#This Row],[_Row]]+1):INDEX(Tasks[_ShownFcstFinish],Tasks[[#This Row],[_Row]]+Tasks[[#This Row],[_Descendants]])),Tasks[[#This Row],[_ShownFcstFinish]]))</f>
        <v/>
      </c>
      <c r="AG111" s="21" t="str">
        <f aca="false">""</f>
        <v/>
      </c>
      <c r="AH111" s="23"/>
      <c r="AI1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1" s="7"/>
      <c r="AK111" s="22"/>
      <c r="AL111" s="23"/>
      <c r="AM111" s="7"/>
      <c r="AN111" s="47" t="str">
        <f aca="false">IF(Tasks[[#This Row],[Task Name]]="","",IF(Tasks[[#This Row],[Finish]]&gt;=Tasks[[#This Row],[Planned Finish]],NETWORKDAYS.INTL(Tasks[[#This Row],[Planned Finish]],Tasks[[#This Row],[Finish]],WorkWeek,Holidays)-1,1-NETWORKDAYS.INTL(Tasks[[#This Row],[Finish]],Tasks[[#This Row],[Planned Finish]],WorkWeek,Holidays)))</f>
        <v/>
      </c>
      <c r="AO111" s="21" t="str">
        <f aca="false">IF(Tasks[[#This Row],[Task Name]]="","",IF(Tasks[[#This Row],[Progress]]&gt;=1,"Complete",IF(OR(N(Tasks[[#This Row],[Actual Start]])&gt;0,Tasks[[#This Row],[Progress]]&gt;0),IF(Tasks[[#This Row],[Finish Var]]&gt;0,"Behind","In Progress"),IF(Tasks[[#This Row],[Planned Start]]&lt;StatusDate,"Late Start","Not Started"))))</f>
        <v/>
      </c>
      <c r="AP111" s="21" t="str">
        <f aca="false">IF(Tasks[[#This Row],[Task Name]]="","",IF(IF(Tasks[[#This Row],[_IsSummary]],COUNTIF(INDEX(Tasks[_LeafCritical],Tasks[[#This Row],[_Row]]+1):INDEX(Tasks[_LeafCritical],Tasks[[#This Row],[_Row]]+Tasks[[#This Row],[_Descendants]]),TRUE())&gt;0,Tasks[[#This Row],[_LeafCritical]]),"Yes",""))</f>
        <v/>
      </c>
      <c r="AQ111" s="63" t="str">
        <f aca="false">IF(Tasks[[#This Row],[Task Name]]="","",IF(N(Tasks[[#This Row],[Baseline Start]])&gt;0,Tasks[[#This Row],[Baseline Start]],Tasks[[#This Row],[_CalcStart]]))</f>
        <v/>
      </c>
      <c r="AR111" s="63" t="str">
        <f aca="false">IF(Tasks[[#This Row],[Task Name]]="","",IF(N(Tasks[[#This Row],[Baseline Finish]])&gt;0,Tasks[[#This Row],[Baseline Finish]],Tasks[[#This Row],[_CalcFinish]]))</f>
        <v/>
      </c>
      <c r="AS111" s="47" t="str">
        <f aca="false">IF(Tasks[[#This Row],[Task Name]]="","",IF(Tasks[[#This Row],[Start]]&gt;=Tasks[[#This Row],[Planned Start]],NETWORKDAYS.INTL(Tasks[[#This Row],[Planned Start]],Tasks[[#This Row],[Start]],WorkWeek,Holidays)-1,1-NETWORKDAYS.INTL(Tasks[[#This Row],[Start]],Tasks[[#This Row],[Planned Start]],WorkWeek,Holidays)))</f>
        <v/>
      </c>
      <c r="AT111" s="63" t="str">
        <f aca="false">IF(Tasks[[#This Row],[Task Name]]="","",IF(Tasks[[#This Row],[_IsSummary]],MIN(INDEX(Tasks[_LeafLateStart],Tasks[[#This Row],[_Row]]+1):INDEX(Tasks[_LeafLateStart],Tasks[[#This Row],[_Row]]+Tasks[[#This Row],[_Descendants]])),Tasks[[#This Row],[_LeafLateStart]]))</f>
        <v/>
      </c>
      <c r="AU111" s="63" t="str">
        <f aca="false">IF(Tasks[[#This Row],[Task Name]]="","",IF(Tasks[[#This Row],[_IsSummary]],MAX(INDEX(Tasks[_LeafLateFinish],Tasks[[#This Row],[_Row]]+1):INDEX(Tasks[_LeafLateFinish],Tasks[[#This Row],[_Row]]+Tasks[[#This Row],[_Descendants]])),Tasks[[#This Row],[_LeafLateFinish]]))</f>
        <v/>
      </c>
      <c r="AV111" s="47" t="str">
        <f aca="false">IF(Tasks[[#This Row],[Task Name]]="","",IF(Tasks[[#This Row],[_IsSummary]],MIN(INDEX(Tasks[_LeafTotalSlack],Tasks[[#This Row],[_Row]]+1):INDEX(Tasks[_LeafTotalSlack],Tasks[[#This Row],[_Row]]+Tasks[[#This Row],[_Descendants]])),Tasks[[#This Row],[_LeafTotalSlack]]))</f>
        <v/>
      </c>
      <c r="AW11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5"/>
      <c r="BA11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1" t="str">
        <f aca="false">IF(Tasks[[#This Row],[Task Name]]="","",IF(Tasks[[#This Row],[_Level]]&lt;=OutlineShowLevel,"Yes","No"))</f>
        <v/>
      </c>
      <c r="BE111" s="86" t="str">
        <f aca="false">IF(Tasks[[#This Row],[Task Name]]="","",IF(Tasks[[#This Row],[_IsSummary]],SUM(INDEX(Tasks[_LeafTotalWork],Tasks[[#This Row],[_Row]]+1):INDEX(Tasks[_LeafTotalWork],Tasks[[#This Row],[_Row]]+Tasks[[#This Row],[_Descendants]])),Tasks[[#This Row],[_LeafTotalWork]]))</f>
        <v/>
      </c>
      <c r="BF111" s="23"/>
      <c r="BG1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1" s="21" t="str">
        <f aca="false">""</f>
        <v/>
      </c>
      <c r="BI111" s="87"/>
      <c r="BJ111" s="22"/>
      <c r="BK111" s="47" t="str">
        <f aca="false">IF(OR(Tasks[[#This Row],[Task Name]]="",Tasks[[#This Row],[Baseline Duration]]=""),"",Tasks[[#This Row],[_SpanDays]]-N(Tasks[[#This Row],[Baseline Duration]]))</f>
        <v/>
      </c>
      <c r="BL111" s="86" t="str">
        <f aca="false">IF(OR(Tasks[[#This Row],[Task Name]]="",Tasks[[#This Row],[Baseline Work]]=""),"",Tasks[[#This Row],[Work]]-N(Tasks[[#This Row],[Baseline Work]]))</f>
        <v/>
      </c>
      <c r="BM111" s="63" t="str">
        <f aca="false">IF(Tasks[[#This Row],[Task Name]]="","",IF(OR(TakeBaseline="Yes",N(Tasks[[#This Row],[Baseline Start]])=0),Tasks[[#This Row],[Start]],Tasks[[#This Row],[Baseline Start]]))</f>
        <v/>
      </c>
      <c r="BN111" s="63" t="str">
        <f aca="false">IF(Tasks[[#This Row],[Task Name]]="","",IF(OR(TakeBaseline="Yes",N(Tasks[[#This Row],[Baseline Finish]])=0),Tasks[[#This Row],[Finish]],Tasks[[#This Row],[Baseline Finish]]))</f>
        <v/>
      </c>
      <c r="BO111" s="21" t="str">
        <f aca="false">IF(Tasks[[#This Row],[Task Name]]="","",IF(OR(TakeBaseline="Yes",N(Tasks[[#This Row],[Baseline Duration]])=0),Tasks[[#This Row],[_SpanDays]],Tasks[[#This Row],[Baseline Duration]]))</f>
        <v/>
      </c>
      <c r="BP111" s="86" t="str">
        <f aca="false">IF(Tasks[[#This Row],[Task Name]]="","",IF(OR(TakeBaseline="Yes",N(Tasks[[#This Row],[Baseline Work]])=0),Tasks[[#This Row],[Work]],Tasks[[#This Row],[Baseline Work]]))</f>
        <v/>
      </c>
      <c r="BQ111" s="7"/>
      <c r="BR111" s="7"/>
      <c r="BS111" s="22"/>
      <c r="BT111" s="88"/>
      <c r="BU111" s="23"/>
      <c r="BV111" s="23"/>
      <c r="BW111" s="23"/>
      <c r="BX111" s="89" t="str">
        <f aca="false">IF(AND(Tasks[[#This Row],[_IsLeaf]]=1,ISNUMBER(Tasks[[#This Row],[Optimistic]]),ISNUMBER(Tasks[[#This Row],[Pessimistic]])),ROUND((Tasks[[#This Row],[Optimistic]]+4*N(Tasks[[#This Row],[_Days]])+Tasks[[#This Row],[Pessimistic]])/6,1),"")</f>
        <v/>
      </c>
      <c r="BY111" s="87"/>
      <c r="BZ111" s="87"/>
      <c r="CA111" s="22"/>
      <c r="CB111" s="43" t="str">
        <f aca="false">IF(Tasks[[#This Row],[Task Name]]="","",MAX(1,N(Tasks[[#This Row],[Level]])))</f>
        <v/>
      </c>
      <c r="CC111" s="43" t="n">
        <f aca="false">ROW()-ROW(Tasks[[#Headers],[ID]])</f>
        <v>106</v>
      </c>
      <c r="CD111" s="43" t="n">
        <f aca="false">IF(OR(Tasks[[#This Row],[Task Name]]="",Tasks[[#This Row],[_Level]]&lt;=1),0,IFERROR(LOOKUP(2,1/(Tasks[[#Headers],[_Level]]:Tasks[[#This Row],[_Level]]=Tasks[[#This Row],[_Level]]-1),ROW(Tasks[[#Headers],[_Level]]:Tasks[[#This Row],[_Level]])),0))</f>
        <v>0</v>
      </c>
      <c r="CE111" s="43" t="n">
        <f aca="false">IFERROR(N(INDEX(Tasks[_Level],Tasks[[#This Row],[_Row]]+1)),0)</f>
        <v>0</v>
      </c>
      <c r="CF111" s="90" t="b">
        <f aca="false">AND(Tasks[[#This Row],[Task Name]]&lt;&gt;"",Tasks[[#This Row],[_NextLevel]]&gt;Tasks[[#This Row],[_Level]])</f>
        <v>0</v>
      </c>
      <c r="CG111" s="43" t="n">
        <f aca="false">IF(Tasks[[#This Row],[_IsSummary]],COUNTIF(Tasks[WBS],Tasks[[#This Row],[WBS]]&amp;".*"),0)</f>
        <v>0</v>
      </c>
      <c r="CH111" s="43" t="n">
        <f aca="false">IF(AND(Tasks[[#This Row],[Task Name]]&lt;&gt;"",NOT(Tasks[[#This Row],[_IsSummary]])),1,0)</f>
        <v>0</v>
      </c>
      <c r="CI111" s="43" t="n">
        <f aca="false">IF(N(Tasks[[#This Row],[_Pred1UID]])=0,0,IFERROR(MATCH(Tasks[[#This Row],[_Pred1UID]],Tasks[UID],0),-1))</f>
        <v>0</v>
      </c>
      <c r="CJ111" s="43" t="n">
        <f aca="false">IF(N(Tasks[[#This Row],[_Pred2UID]])=0,0,IFERROR(MATCH(Tasks[[#This Row],[_Pred2UID]],Tasks[UID],0),-1))</f>
        <v>0</v>
      </c>
      <c r="CK111" s="43" t="n">
        <f aca="false">IF(N(Tasks[[#This Row],[_Pred3UID]])=0,0,IFERROR(MATCH(Tasks[[#This Row],[_Pred3UID]],Tasks[UID],0),-1))</f>
        <v>0</v>
      </c>
      <c r="CL111" s="43" t="n">
        <f aca="false">IF(N(Tasks[[#This Row],[_Pred4UID]])=0,0,IFERROR(MATCH(Tasks[[#This Row],[_Pred4UID]],Tasks[UID],0),-1))</f>
        <v>0</v>
      </c>
      <c r="CM11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1" s="91" t="n">
        <f aca="false">IF(OR(Tasks[[#This Row],[_ConstraintCode]]=2,Tasks[[#This Row],[_ConstraintCode]]=3,Tasks[[#This Row],[_ConstraintCode]]=4,Tasks[[#This Row],[_ConstraintCode]]=6),Tasks[[#This Row],[_ConstraintStart]],0)</f>
        <v>0</v>
      </c>
      <c r="CP111" s="91" t="n">
        <f aca="false">IF(OR(Tasks[[#This Row],[_ConstraintCode]]=2,Tasks[[#This Row],[_ConstraintCode]]=3,Tasks[[#This Row],[_ConstraintCode]]=5,Tasks[[#This Row],[_ConstraintCode]]=7),Tasks[[#This Row],[_ConstraintStart]],2958465)</f>
        <v>2958465</v>
      </c>
      <c r="CQ11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1" s="91" t="str">
        <f aca="false">IF(NOT(Tasks[[#This Row],[_IsLeaf]]=1),"",IF(N(Tasks[[#This Row],[_Days]])&lt;=0,Tasks[[#This Row],[_LeafCalcStart]],WORKDAY.INTL(Tasks[[#This Row],[_LeafCalcStart]],Tasks[[#This Row],[_Days]]-1,WorkWeek,Holidays)))</f>
        <v/>
      </c>
      <c r="CS11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1" s="43" t="str">
        <f aca="false">IF(Tasks[[#This Row],[_Predecessors]]="","",TRIM(MID(SUBSTITUTE(SUBSTITUTE(SUBSTITUTE(UPPER(Tasks[[#This Row],[_Predecessors]]),";",",")," ",""),",",REPT(" ",99)),1,99)))</f>
        <v/>
      </c>
      <c r="CV111" s="43" t="str">
        <f aca="false">IF(Tasks[[#This Row],[_Pred1Text]]="","",IFERROR(VALUE(LEFT(Tasks[[#This Row],[_Pred1Text]],MIN(FIND("F",Tasks[[#This Row],[_Pred1Text]]&amp;"F"),FIND("S",Tasks[[#This Row],[_Pred1Text]]&amp;"S"),FIND("+",Tasks[[#This Row],[_Pred1Text]]&amp;"+"),FIND("-",Tasks[[#This Row],[_Pred1Text]]&amp;"-"))-1)),""))</f>
        <v/>
      </c>
      <c r="CW11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1" s="43" t="str">
        <f aca="false">IF(Tasks[[#This Row],[_Pred1Text]]="","",TRIM(MID(SUBSTITUTE(SUBSTITUTE(SUBSTITUTE(UPPER(Tasks[[#This Row],[_Predecessors]]),";",",")," ",""),",",REPT(" ",99)),100,99)))</f>
        <v/>
      </c>
      <c r="CZ111" s="43" t="str">
        <f aca="false">IF(Tasks[[#This Row],[_Pred2Text]]="","",IFERROR(VALUE(LEFT(Tasks[[#This Row],[_Pred2Text]],MIN(FIND("F",Tasks[[#This Row],[_Pred2Text]]&amp;"F"),FIND("S",Tasks[[#This Row],[_Pred2Text]]&amp;"S"),FIND("+",Tasks[[#This Row],[_Pred2Text]]&amp;"+"),FIND("-",Tasks[[#This Row],[_Pred2Text]]&amp;"-"))-1)),""))</f>
        <v/>
      </c>
      <c r="DA11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1" s="43" t="str">
        <f aca="false">IF(Tasks[[#This Row],[_Pred2Text]]="","",TRIM(MID(SUBSTITUTE(SUBSTITUTE(SUBSTITUTE(UPPER(Tasks[[#This Row],[_Predecessors]]),";",",")," ",""),",",REPT(" ",99)),199,99)))</f>
        <v/>
      </c>
      <c r="DD111" s="43" t="str">
        <f aca="false">IF(Tasks[[#This Row],[_Pred3Text]]="","",IFERROR(VALUE(LEFT(Tasks[[#This Row],[_Pred3Text]],MIN(FIND("F",Tasks[[#This Row],[_Pred3Text]]&amp;"F"),FIND("S",Tasks[[#This Row],[_Pred3Text]]&amp;"S"),FIND("+",Tasks[[#This Row],[_Pred3Text]]&amp;"+"),FIND("-",Tasks[[#This Row],[_Pred3Text]]&amp;"-"))-1)),""))</f>
        <v/>
      </c>
      <c r="DE11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1" s="43" t="str">
        <f aca="false">IF(Tasks[[#This Row],[_Pred3Text]]="","",TRIM(MID(SUBSTITUTE(SUBSTITUTE(SUBSTITUTE(UPPER(Tasks[[#This Row],[_Predecessors]]),";",",")," ",""),",",REPT(" ",99)),298,99)))</f>
        <v/>
      </c>
      <c r="DH111" s="43" t="str">
        <f aca="false">IF(Tasks[[#This Row],[_Pred4Text]]="","",IFERROR(VALUE(LEFT(Tasks[[#This Row],[_Pred4Text]],MIN(FIND("F",Tasks[[#This Row],[_Pred4Text]]&amp;"F"),FIND("S",Tasks[[#This Row],[_Pred4Text]]&amp;"S"),FIND("+",Tasks[[#This Row],[_Pred4Text]]&amp;"+"),FIND("-",Tasks[[#This Row],[_Pred4Text]]&amp;"-"))-1)),""))</f>
        <v/>
      </c>
      <c r="DI11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1" s="43" t="str">
        <f aca="false">IF(OR(Tasks[[#This Row],[Task Name]]="",Tasks[[#This Row],[_Resources]]=""),"",TRIM(MID(SUBSTITUTE(Tasks[[#This Row],[_Resources]],",",REPT(" ",99)),1,99)))</f>
        <v/>
      </c>
      <c r="DL111" s="43" t="str">
        <f aca="false">IF(Tasks[[#This Row],[_Res1Text]]="","",TRIM(MID(SUBSTITUTE(Tasks[[#This Row],[_Resources]],",",REPT(" ",99)),100,99)))</f>
        <v/>
      </c>
      <c r="DM111" s="43" t="str">
        <f aca="false">IF(Tasks[[#This Row],[_Res2Text]]="","",TRIM(MID(SUBSTITUTE(Tasks[[#This Row],[_Resources]],",",REPT(" ",99)),199,99)))</f>
        <v/>
      </c>
      <c r="DN111" s="43" t="str">
        <f aca="false">IF(Tasks[[#This Row],[_Res3Text]]="","",TRIM(MID(SUBSTITUTE(Tasks[[#This Row],[_Resources]],",",REPT(" ",99)),298,99)))</f>
        <v/>
      </c>
      <c r="DO111" s="43" t="n">
        <f aca="false">IF(Tasks[[#This Row],[_Res1Text]]="",0,IFERROR(MATCH(TRIM(LEFT(Tasks[[#This Row],[_Res1Text]],FIND("[",Tasks[[#This Row],[_Res1Text]]&amp;"[")-1)),res_Name,0),IFERROR(MATCH(TRIM(LEFT(Tasks[[#This Row],[_Res1Text]],FIND("[",Tasks[[#This Row],[_Res1Text]]&amp;"[")-1)),res_Initials,0),0)))</f>
        <v>0</v>
      </c>
      <c r="DP111" s="43" t="n">
        <f aca="false">IF(Tasks[[#This Row],[_Res2Text]]="",0,IFERROR(MATCH(TRIM(LEFT(Tasks[[#This Row],[_Res2Text]],FIND("[",Tasks[[#This Row],[_Res2Text]]&amp;"[")-1)),res_Name,0),IFERROR(MATCH(TRIM(LEFT(Tasks[[#This Row],[_Res2Text]],FIND("[",Tasks[[#This Row],[_Res2Text]]&amp;"[")-1)),res_Initials,0),0)))</f>
        <v>0</v>
      </c>
      <c r="DQ111" s="43" t="n">
        <f aca="false">IF(Tasks[[#This Row],[_Res3Text]]="",0,IFERROR(MATCH(TRIM(LEFT(Tasks[[#This Row],[_Res3Text]],FIND("[",Tasks[[#This Row],[_Res3Text]]&amp;"[")-1)),res_Name,0),IFERROR(MATCH(TRIM(LEFT(Tasks[[#This Row],[_Res3Text]],FIND("[",Tasks[[#This Row],[_Res3Text]]&amp;"[")-1)),res_Initials,0),0)))</f>
        <v>0</v>
      </c>
      <c r="DR111" s="43" t="n">
        <f aca="false">IF(Tasks[[#This Row],[_Res4Text]]="",0,IFERROR(MATCH(TRIM(LEFT(Tasks[[#This Row],[_Res4Text]],FIND("[",Tasks[[#This Row],[_Res4Text]]&amp;"[")-1)),res_Name,0),IFERROR(MATCH(TRIM(LEFT(Tasks[[#This Row],[_Res4Text]],FIND("[",Tasks[[#This Row],[_Res4Text]]&amp;"[")-1)),res_Initials,0),0)))</f>
        <v>0</v>
      </c>
      <c r="DS111" s="43" t="str">
        <f aca="false">IF(Tasks[[#This Row],[_Res1Text]]="","",IF(Tasks[[#This Row],[_Res1Row]]&gt;0,INDEX(res_Name,Tasks[[#This Row],[_Res1Row]]),TRIM(LEFT(Tasks[[#This Row],[_Res1Text]],FIND("[",Tasks[[#This Row],[_Res1Text]]&amp;"[")-1))))</f>
        <v/>
      </c>
      <c r="DT11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1" s="43" t="n">
        <f aca="false">IF(NOT(Tasks[[#This Row],[_IsLeaf]]=1),0,(Tasks[[#This Row],[_Resource1]]&lt;&gt;"")+(Tasks[[#This Row],[_Res2]]&lt;&gt;"")+(Tasks[[#This Row],[_Res3]]&lt;&gt;"")+(Tasks[[#This Row],[_Res4]]&lt;&gt;""))</f>
        <v>0</v>
      </c>
      <c r="DV111" s="43" t="str">
        <f aca="false">IF(Tasks[[#This Row],[_Res2Text]]="","",IF(Tasks[[#This Row],[_Res2Row]]&gt;0,INDEX(res_Name,Tasks[[#This Row],[_Res2Row]]),TRIM(LEFT(Tasks[[#This Row],[_Res2Text]],FIND("[",Tasks[[#This Row],[_Res2Text]]&amp;"[")-1))))</f>
        <v/>
      </c>
      <c r="DW11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1" s="43" t="n">
        <f aca="false">IF(OR(NOT(Tasks[[#This Row],[_IsLeaf]]=1),Tasks[[#This Row],[_Res2Row]]=0),0,N(Tasks[[#This Row],[_Days]])*HoursPerDay*IF(Tasks[[#This Row],[_Res2Units]]="",DefaultUnits,Tasks[[#This Row],[_Res2Units]]))</f>
        <v>0</v>
      </c>
      <c r="DY111" s="43" t="n">
        <f aca="false">IF(AND(AND(Tasks[[#This Row],[_IsLeaf]]=1,Tasks[[#This Row],[_LeafTotalWork]]&gt;0),Tasks[[#This Row],[_Res2Work]]&gt;0),Tasks[[#This Row],[_Res2Work]]/(Tasks[[#This Row],[_FinishWorkday]]-Tasks[[#This Row],[_StartWorkday]]+1),0)</f>
        <v>0</v>
      </c>
      <c r="DZ111" s="43" t="n">
        <f aca="false">Tasks[[#This Row],[_Res2WorkPerWD]]*MAX(0,Tasks[[#This Row],[_StartWorkday]]-1)</f>
        <v>0</v>
      </c>
      <c r="EA111" s="43" t="n">
        <f aca="false">Tasks[[#This Row],[_Res2Work]]*Tasks[[#This Row],[_LeafProgress]]</f>
        <v>0</v>
      </c>
      <c r="EB111" s="43" t="str">
        <f aca="false">IF(Tasks[[#This Row],[_Res3Text]]="","",IF(Tasks[[#This Row],[_Res3Row]]&gt;0,INDEX(res_Name,Tasks[[#This Row],[_Res3Row]]),TRIM(LEFT(Tasks[[#This Row],[_Res3Text]],FIND("[",Tasks[[#This Row],[_Res3Text]]&amp;"[")-1))))</f>
        <v/>
      </c>
      <c r="EC11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1" s="43" t="n">
        <f aca="false">IF(OR(NOT(Tasks[[#This Row],[_IsLeaf]]=1),Tasks[[#This Row],[_Res3Row]]=0),0,N(Tasks[[#This Row],[_Days]])*HoursPerDay*IF(Tasks[[#This Row],[_Res3Units]]="",DefaultUnits,Tasks[[#This Row],[_Res3Units]]))</f>
        <v>0</v>
      </c>
      <c r="EE111" s="43" t="n">
        <f aca="false">IF(AND(AND(Tasks[[#This Row],[_IsLeaf]]=1,Tasks[[#This Row],[_LeafTotalWork]]&gt;0),Tasks[[#This Row],[_Res3Work]]&gt;0),Tasks[[#This Row],[_Res3Work]]/(Tasks[[#This Row],[_FinishWorkday]]-Tasks[[#This Row],[_StartWorkday]]+1),0)</f>
        <v>0</v>
      </c>
      <c r="EF111" s="43" t="n">
        <f aca="false">Tasks[[#This Row],[_Res3WorkPerWD]]*MAX(0,Tasks[[#This Row],[_StartWorkday]]-1)</f>
        <v>0</v>
      </c>
      <c r="EG111" s="43" t="n">
        <f aca="false">Tasks[[#This Row],[_Res3Work]]*Tasks[[#This Row],[_LeafProgress]]</f>
        <v>0</v>
      </c>
      <c r="EH111" s="43" t="str">
        <f aca="false">IF(Tasks[[#This Row],[_Res4Text]]="","",IF(Tasks[[#This Row],[_Res4Row]]&gt;0,INDEX(res_Name,Tasks[[#This Row],[_Res4Row]]),TRIM(LEFT(Tasks[[#This Row],[_Res4Text]],FIND("[",Tasks[[#This Row],[_Res4Text]]&amp;"[")-1))))</f>
        <v/>
      </c>
      <c r="EI11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1" s="43" t="n">
        <f aca="false">IF(OR(NOT(Tasks[[#This Row],[_IsLeaf]]=1),Tasks[[#This Row],[_Res4Row]]=0),0,N(Tasks[[#This Row],[_Days]])*HoursPerDay*IF(Tasks[[#This Row],[_Res4Units]]="",DefaultUnits,Tasks[[#This Row],[_Res4Units]]))</f>
        <v>0</v>
      </c>
      <c r="EK111" s="43" t="n">
        <f aca="false">IF(AND(AND(Tasks[[#This Row],[_IsLeaf]]=1,Tasks[[#This Row],[_LeafTotalWork]]&gt;0),Tasks[[#This Row],[_Res4Work]]&gt;0),Tasks[[#This Row],[_Res4Work]]/(Tasks[[#This Row],[_FinishWorkday]]-Tasks[[#This Row],[_StartWorkday]]+1),0)</f>
        <v>0</v>
      </c>
      <c r="EL111" s="43" t="n">
        <f aca="false">Tasks[[#This Row],[_Res4WorkPerWD]]*MAX(0,Tasks[[#This Row],[_StartWorkday]]-1)</f>
        <v>0</v>
      </c>
      <c r="EM111" s="43" t="n">
        <f aca="false">Tasks[[#This Row],[_Res4Work]]*Tasks[[#This Row],[_LeafProgress]]</f>
        <v>0</v>
      </c>
      <c r="EN111" s="43" t="n">
        <f aca="false">IF(ISNUMBER(Tasks[[#This Row],[% Complete]]),Tasks[[#This Row],[% Complete]],IF(Tasks[[#This Row],[Stage]]="",0,IFERROR(INDEX(stg_Pct,MATCH(Tasks[[#This Row],[Stage]],stg_Name,0)),0)))</f>
        <v>0</v>
      </c>
      <c r="EO111" s="43" t="n">
        <f aca="false">IF(NOT(Tasks[[#This Row],[_IsLeaf]]=1),0,IF(N(Tasks[[#This Row],[Actual Finish]])&gt;0,1,MIN(1,Tasks[[#This Row],[_Pct]])))</f>
        <v>0</v>
      </c>
      <c r="EP111" s="43" t="n">
        <f aca="false">IF(OR(NOT(Tasks[[#This Row],[_IsLeaf]]=1),Tasks[[#This Row],[_Res1Row]]=0),0,N(Tasks[[#This Row],[_Days]])*HoursPerDay*IF(Tasks[[#This Row],[_Units1]]="",DefaultUnits,Tasks[[#This Row],[_Units1]]))</f>
        <v>0</v>
      </c>
      <c r="EQ111" s="43" t="n">
        <f aca="false">Tasks[[#This Row],[_LeafWork]]+Tasks[[#This Row],[_Res2Work]]+Tasks[[#This Row],[_Res3Work]]+Tasks[[#This Row],[_Res4Work]]</f>
        <v>0</v>
      </c>
      <c r="ER11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1" s="43" t="n">
        <f aca="false">IF(NOT(Tasks[[#This Row],[_IsLeaf]]=1),0,MAX(_xlfn.MAXIFS(Tasks[_Row],Tasks[_Pred1UID],Tasks[[#This Row],[UID]]),_xlfn.MAXIFS(Tasks[_Row],Tasks[_Pred2UID],Tasks[[#This Row],[UID]]),_xlfn.MAXIFS(Tasks[_Row],Tasks[_Pred3UID],Tasks[[#This Row],[UID]]),_xlfn.MAXIFS(Tasks[_Row],Tasks[_Pred4UID],Tasks[[#This Row],[UID]])))</f>
        <v>0</v>
      </c>
      <c r="FA11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1" s="91" t="str">
        <f aca="false">IF(NOT(Tasks[[#This Row],[_IsLeaf]]=1),"",IF(N(Tasks[[#This Row],[_Days]])&lt;=0,Tasks[[#This Row],[_LeafLateFinish]],WORKDAY.INTL(Tasks[[#This Row],[_LeafLateFinish]],-(Tasks[[#This Row],[_Days]]-1),WorkWeek,Holidays)))</f>
        <v/>
      </c>
      <c r="FD11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1" s="90" t="b">
        <f aca="false">AND(Tasks[[#This Row],[_IsLeaf]]=1,Tasks[[#This Row],[_LeafProgress]]&lt;1,N(Tasks[[#This Row],[_LeafTotalSlack]])&lt;=CriticalSlackDays)</f>
        <v>0</v>
      </c>
      <c r="FF111" s="43" t="n">
        <f aca="false">IF(AND(Tasks[[#This Row],[_IsLeaf]]=1,Tasks[[#This Row],[_ConstraintCode]]=1,Tasks[[#This Row],[Mode]]&lt;&gt;"Manual",N(Tasks[[#This Row],[Actual Start]])=0),MAX(0,N(Tasks[[#This Row],[Free Slack]])),0)</f>
        <v>0</v>
      </c>
      <c r="FG111" s="91" t="str">
        <f aca="false">IF(NOT(Tasks[[#This Row],[_IsLeaf]]=1),"",IF(Tasks[[#This Row],[_AlapShift]]=0,Tasks[[#This Row],[_LeafCalcStart]],WORKDAY.INTL(Tasks[[#This Row],[_LeafCalcStart]],Tasks[[#This Row],[_AlapShift]],WorkWeek,Holidays)))</f>
        <v/>
      </c>
      <c r="FH111" s="91" t="str">
        <f aca="false">IF(NOT(Tasks[[#This Row],[_IsLeaf]]=1),"",IF(Tasks[[#This Row],[_AlapShift]]=0,Tasks[[#This Row],[_LeafCalcFinish]],WORKDAY.INTL(Tasks[[#This Row],[_LeafCalcFinish]],Tasks[[#This Row],[_AlapShift]],WorkWeek,Holidays)))</f>
        <v/>
      </c>
      <c r="FI111" s="91" t="str">
        <f aca="false">IF(NOT(Tasks[[#This Row],[_IsLeaf]]=1),"",IF(Tasks[[#This Row],[_AlapShift]]=0,Tasks[[#This Row],[_LeafFcstStart]],WORKDAY.INTL(Tasks[[#This Row],[_LeafFcstStart]],Tasks[[#This Row],[_AlapShift]],WorkWeek,Holidays)))</f>
        <v/>
      </c>
      <c r="FJ111" s="91" t="str">
        <f aca="false">IF(NOT(Tasks[[#This Row],[_IsLeaf]]=1),"",IF(Tasks[[#This Row],[_AlapShift]]=0,Tasks[[#This Row],[_LeafFcstFinish]],WORKDAY.INTL(Tasks[[#This Row],[_LeafFcstFinish]],Tasks[[#This Row],[_AlapShift]],WorkWeek,Holidays)))</f>
        <v/>
      </c>
      <c r="FK111" s="91" t="str">
        <f aca="false">IF(Tasks[[#This Row],[Task Name]]="","",IF(Tasks[[#This Row],[_IsSummary]],MIN(INDEX(Tasks[_ShownCalcStart],Tasks[[#This Row],[_Row]]+1):INDEX(Tasks[_ShownCalcStart],Tasks[[#This Row],[_Row]]+Tasks[[#This Row],[_Descendants]])),Tasks[[#This Row],[_ShownCalcStart]]))</f>
        <v/>
      </c>
      <c r="FL111" s="91" t="str">
        <f aca="false">IF(Tasks[[#This Row],[Task Name]]="","",IF(Tasks[[#This Row],[_IsSummary]],MAX(INDEX(Tasks[_ShownCalcFinish],Tasks[[#This Row],[_Row]]+1):INDEX(Tasks[_ShownCalcFinish],Tasks[[#This Row],[_Row]]+Tasks[[#This Row],[_Descendants]])),Tasks[[#This Row],[_ShownCalcFinish]]))</f>
        <v/>
      </c>
      <c r="FM11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1" s="43" t="n">
        <f aca="false">IF(AND(Tasks[[#This Row],[_IsLeaf]]=1,Tasks[[#This Row],[_LeafTotalWork]]&gt;0),NETWORKDAYS.INTL(ProjectStart,Tasks[[#This Row],[_ShownFcstStart]],WorkWeek,Holidays),0)</f>
        <v>0</v>
      </c>
      <c r="FZ111" s="43" t="n">
        <f aca="false">IF(AND(Tasks[[#This Row],[_IsLeaf]]=1,Tasks[[#This Row],[_LeafTotalWork]]&gt;0),MAX(Tasks[[#This Row],[_StartWorkday]],NETWORKDAYS.INTL(ProjectStart,Tasks[[#This Row],[_ShownFcstFinish]],WorkWeek,Holidays)),0)</f>
        <v>0</v>
      </c>
      <c r="GA111" s="43" t="n">
        <f aca="false">IF(AND(Tasks[[#This Row],[_IsLeaf]]=1,Tasks[[#This Row],[_LeafTotalWork]]&gt;0),Tasks[[#This Row],[_LeafWork]]/(Tasks[[#This Row],[_FinishWorkday]]-Tasks[[#This Row],[_StartWorkday]]+1),0)</f>
        <v>0</v>
      </c>
      <c r="GB111" s="43" t="n">
        <f aca="false">Tasks[[#This Row],[_WorkPerWorkday]]*(Tasks[[#This Row],[_StartWorkday]]-1)</f>
        <v>-0</v>
      </c>
      <c r="GC111" s="43" t="n">
        <f aca="false">IF(Tasks[[#This Row],[_IsLeaf]]=1,MAX(N(Tasks[[#This Row],[_Days]]),0.1),0)</f>
        <v>0</v>
      </c>
      <c r="GD111" s="43" t="n">
        <f aca="false">Tasks[[#This Row],[_WeightDur]]*Tasks[[#This Row],[_LeafProgress]]</f>
        <v>0</v>
      </c>
      <c r="GE111" s="43" t="n">
        <f aca="false">Tasks[[#This Row],[_WeightDur]]*Tasks[[#This Row],[_PlannedPct]]</f>
        <v>0</v>
      </c>
      <c r="GF11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1" s="43" t="str">
        <f aca="false">IF(AND(Tasks[[#This Row],[_IsLeaf]]=1,N(Tasks[[#This Row],[_Days]])=0,Tasks[[#This Row],[_LeafProgress]]&lt;1),Tasks[[#This Row],[_ShownFcstFinish]]+Tasks[[#This Row],[_Row]]/100000,"")</f>
        <v/>
      </c>
      <c r="GH11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1" s="43" t="str">
        <f aca="false">IF(Tasks[[#This Row],[Task Name]]="","",LEFT(Tasks[[#This Row],[WBS]],FIND(".",Tasks[[#This Row],[WBS]]&amp;".")-1))</f>
        <v/>
      </c>
      <c r="GJ111" s="43" t="str">
        <f aca="false">IF(AND(Tasks[[#This Row],[Task Name]]&lt;&gt;"",Tasks[[#This Row],[_Level]]=1),Tasks[[#This Row],[_Row]],"")</f>
        <v/>
      </c>
      <c r="GK111" s="43" t="str">
        <f aca="false">IF(AND(Tasks[[#This Row],[_IsLeaf]]=1,N(Tasks[[#This Row],[_Days]])=0),Tasks[[#This Row],[Planned Finish]]+Tasks[[#This Row],[_Row]]/100000,"")</f>
        <v/>
      </c>
      <c r="GL111" s="43" t="str">
        <f aca="false">IF(AND(Tasks[[#This Row],[_IsLeaf]]=1,Tasks[[#This Row],[_LeafProgress]]&lt;1,OR(N(Tasks[[#This Row],[Finish Var]])&gt;0,Tasks[[#This Row],[Status]]="Late Start")),MAX(0,Tasks[[#This Row],[Finish Var]])+1-Tasks[[#This Row],[_Row]]/1000000,"")</f>
        <v/>
      </c>
      <c r="GM111" s="43" t="str">
        <f aca="false">IF(AND(Tasks[[#This Row],[_IsLeaf]]=1,N(Tasks[[#This Row],[Actual Start]])=0,Tasks[[#This Row],[_ShownFcstStart]]&gt;=StatusDate,Tasks[[#This Row],[_ShownFcstStart]]&lt;=LookaheadEnd),Tasks[[#This Row],[_ShownFcstStart]]+Tasks[[#This Row],[_Row]]/100000,"")</f>
        <v/>
      </c>
      <c r="GN111" s="43" t="str">
        <f aca="false">IF(AND(Tasks[[#This Row],[_IsLeaf]]=1,Tasks[[#This Row],[_LeafProgress]]&lt;1,Tasks[[#This Row],[_ShownFcstFinish]]&gt;=StatusDate,Tasks[[#This Row],[_ShownFcstFinish]]&lt;=LookaheadEnd),Tasks[[#This Row],[_ShownFcstFinish]]+Tasks[[#This Row],[_Row]]/100000,"")</f>
        <v/>
      </c>
      <c r="GO111" s="43" t="str">
        <f aca="false">IF(Tasks[[#This Row],[_LeafCritical]],Tasks[[#This Row],[_ShownFcstStart]]+Tasks[[#This Row],[_Row]]/100000,"")</f>
        <v/>
      </c>
      <c r="GP111" s="43" t="n">
        <f aca="false">Tasks[[#This Row],[_LeafWork]]*Tasks[[#This Row],[_LeafProgress]]</f>
        <v>0</v>
      </c>
      <c r="GQ111" s="91" t="str">
        <f aca="false">IF(AND(Tasks[[#This Row],[_IsLeaf]]=1,Tasks[[#This Row],[_LeafProgress]]&gt;=1),IF(N(Tasks[[#This Row],[Actual Finish]])&gt;0,Tasks[[#This Row],[Actual Finish]],Tasks[[#This Row],[_ShownFcstFinish]]),"")</f>
        <v/>
      </c>
      <c r="GR111" s="43" t="n">
        <f aca="false">IF(Tasks[[#This Row],[_IsLeaf]]=1,N(Tasks[[#This Row],[Story Points]]),0)</f>
        <v>0</v>
      </c>
      <c r="GS111" s="43" t="str">
        <f aca="false">""</f>
        <v/>
      </c>
      <c r="GT111" s="90" t="b">
        <f aca="false">IF(Tasks[[#This Row],[Task Name]]="",FALSE(),AND(Tasks[[#This Row],[_IsLeaf]]=1,N(Tasks[[#This Row],[_Days]])=0))</f>
        <v>0</v>
      </c>
      <c r="GU111" s="91" t="n">
        <f aca="false">IF(Tasks[[#This Row],[Task Name]]="",0,IF(AND(Tasks[[#This Row],[_IsLeaf]]=1,NOT(Tasks[[#This Row],[_IsMilestone]]),N(Tasks[[#This Row],[Progress]])&gt;0),Tasks[[#This Row],[Start]],0))</f>
        <v>0</v>
      </c>
      <c r="GV111" s="91" t="n">
        <f aca="false">IF(Tasks[[#This Row],[_DoneFrom]]=0,0,IF(Tasks[[#This Row],[Progress]]&gt;=1,Tasks[[#This Row],[Finish]],MAX(Tasks[[#This Row],[_DoneFrom]],Tasks[[#This Row],[Start]]+ROUND((Tasks[[#This Row],[Finish]]-Tasks[[#This Row],[Start]]+1)*Tasks[[#This Row],[Progress]],0)-1)))</f>
        <v>0</v>
      </c>
      <c r="GW111" s="91" t="n">
        <f aca="false">IF(Tasks[[#This Row],[Task Name]]="",0,IF(OR(NOT(Tasks[[#This Row],[_IsLeaf]]=1),Tasks[[#This Row],[_IsMilestone]],N(Tasks[[#This Row],[Progress]])&gt;=1),0,IF(Tasks[[#This Row],[_DoneTo]]&gt;0,Tasks[[#This Row],[_DoneTo]]+1,Tasks[[#This Row],[Start]])))</f>
        <v>0</v>
      </c>
      <c r="GX111" s="91" t="n">
        <f aca="false">IF(Tasks[[#This Row],[_RemFrom]]=0,0,Tasks[[#This Row],[Finish]])</f>
        <v>0</v>
      </c>
      <c r="GY111" s="90" t="b">
        <f aca="false">IF(Tasks[[#This Row],[Task Name]]="",FALSE(),OR(NOT(BaselineSet),N(Tasks[[#This Row],[Baseline Start]])&gt;0))</f>
        <v>0</v>
      </c>
      <c r="GZ11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1" s="92" t="str">
        <f aca="false">IF(Tasks[[#This Row],[_IsLeaf]]=1,Tasks[[#This Row],[_Row]],"")</f>
        <v/>
      </c>
      <c r="HD111" s="92" t="str">
        <f aca="false">IFERROR(INDEX(Tasks[UID],SMALL(Tasks[_PickKey],Tasks[[#This Row],[_Row]]))&amp;" "&amp;INDEX(Tasks[Task Name],SMALL(Tasks[_PickKey],Tasks[[#This Row],[_Row]])),"")</f>
        <v/>
      </c>
      <c r="HE111" s="43" t="str">
        <f aca="false">IF(Tasks[[#This Row],[Task Name]]="","",IF(Tasks[[#This Row],[_IsSummary]],NETWORKDAYS.INTL(Tasks[[#This Row],[Start]],Tasks[[#This Row],[Finish]],WorkWeek,Holidays),N(Tasks[[#This Row],[_Days]])))</f>
        <v/>
      </c>
      <c r="HF111" s="43" t="n">
        <f aca="false">IF(Tasks[[#This Row],[Expected]]="",0,((Tasks[[#This Row],[Pessimistic]]-Tasks[[#This Row],[Optimistic]])/6)^2)</f>
        <v>0</v>
      </c>
      <c r="HG111" s="43" t="n">
        <f aca="false">IF(Tasks[[#This Row],[Expected]]="",0,Tasks[[#This Row],[Expected]]-N(Tasks[[#This Row],[_Days]]))</f>
        <v>0</v>
      </c>
    </row>
    <row r="112" customFormat="false" ht="15" hidden="false" customHeight="false" outlineLevel="0" collapsed="false">
      <c r="A112" s="21" t="str">
        <f aca="false">IF(Tasks[[#This Row],[Task Name]]="","",COUNTA(Tasks[[#Headers],[Task Name]]:Tasks[[#This Row],[Task Name]])-1)</f>
        <v/>
      </c>
      <c r="B112" s="22" t="n">
        <v>120</v>
      </c>
      <c r="C112" s="22"/>
      <c r="D112" s="23"/>
      <c r="E112" s="22"/>
      <c r="F112" s="23"/>
      <c r="G112" s="22"/>
      <c r="H112" s="22"/>
      <c r="I112" s="23"/>
      <c r="J112" s="22"/>
      <c r="K112" s="22"/>
      <c r="L112" s="23"/>
      <c r="M112" s="22"/>
      <c r="N112" s="22"/>
      <c r="O112" s="23"/>
      <c r="P112" s="22"/>
      <c r="Q112" s="22"/>
      <c r="R112" s="23"/>
      <c r="S112" s="23"/>
      <c r="T112" s="84"/>
      <c r="U112" s="23"/>
      <c r="V112" s="84"/>
      <c r="W112" s="23"/>
      <c r="X112" s="84"/>
      <c r="Y112" s="23"/>
      <c r="Z112" s="84"/>
      <c r="AA112" s="23"/>
      <c r="AB112" s="23"/>
      <c r="AC112" s="7"/>
      <c r="AD112" s="7"/>
      <c r="AE112" s="63" t="str">
        <f aca="false">IF(Tasks[[#This Row],[Task Name]]="","",IF(Tasks[[#This Row],[_IsSummary]],MIN(INDEX(Tasks[_ShownFcstStart],Tasks[[#This Row],[_Row]]+1):INDEX(Tasks[_ShownFcstStart],Tasks[[#This Row],[_Row]]+Tasks[[#This Row],[_Descendants]])),Tasks[[#This Row],[_ShownFcstStart]]))</f>
        <v/>
      </c>
      <c r="AF112" s="63" t="str">
        <f aca="false">IF(Tasks[[#This Row],[Task Name]]="","",IF(Tasks[[#This Row],[_IsSummary]],MAX(INDEX(Tasks[_ShownFcstFinish],Tasks[[#This Row],[_Row]]+1):INDEX(Tasks[_ShownFcstFinish],Tasks[[#This Row],[_Row]]+Tasks[[#This Row],[_Descendants]])),Tasks[[#This Row],[_ShownFcstFinish]]))</f>
        <v/>
      </c>
      <c r="AG112" s="21" t="str">
        <f aca="false">""</f>
        <v/>
      </c>
      <c r="AH112" s="23"/>
      <c r="AI1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2" s="7"/>
      <c r="AK112" s="22"/>
      <c r="AL112" s="23"/>
      <c r="AM112" s="7"/>
      <c r="AN112" s="47" t="str">
        <f aca="false">IF(Tasks[[#This Row],[Task Name]]="","",IF(Tasks[[#This Row],[Finish]]&gt;=Tasks[[#This Row],[Planned Finish]],NETWORKDAYS.INTL(Tasks[[#This Row],[Planned Finish]],Tasks[[#This Row],[Finish]],WorkWeek,Holidays)-1,1-NETWORKDAYS.INTL(Tasks[[#This Row],[Finish]],Tasks[[#This Row],[Planned Finish]],WorkWeek,Holidays)))</f>
        <v/>
      </c>
      <c r="AO112" s="21" t="str">
        <f aca="false">IF(Tasks[[#This Row],[Task Name]]="","",IF(Tasks[[#This Row],[Progress]]&gt;=1,"Complete",IF(OR(N(Tasks[[#This Row],[Actual Start]])&gt;0,Tasks[[#This Row],[Progress]]&gt;0),IF(Tasks[[#This Row],[Finish Var]]&gt;0,"Behind","In Progress"),IF(Tasks[[#This Row],[Planned Start]]&lt;StatusDate,"Late Start","Not Started"))))</f>
        <v/>
      </c>
      <c r="AP112" s="21" t="str">
        <f aca="false">IF(Tasks[[#This Row],[Task Name]]="","",IF(IF(Tasks[[#This Row],[_IsSummary]],COUNTIF(INDEX(Tasks[_LeafCritical],Tasks[[#This Row],[_Row]]+1):INDEX(Tasks[_LeafCritical],Tasks[[#This Row],[_Row]]+Tasks[[#This Row],[_Descendants]]),TRUE())&gt;0,Tasks[[#This Row],[_LeafCritical]]),"Yes",""))</f>
        <v/>
      </c>
      <c r="AQ112" s="63" t="str">
        <f aca="false">IF(Tasks[[#This Row],[Task Name]]="","",IF(N(Tasks[[#This Row],[Baseline Start]])&gt;0,Tasks[[#This Row],[Baseline Start]],Tasks[[#This Row],[_CalcStart]]))</f>
        <v/>
      </c>
      <c r="AR112" s="63" t="str">
        <f aca="false">IF(Tasks[[#This Row],[Task Name]]="","",IF(N(Tasks[[#This Row],[Baseline Finish]])&gt;0,Tasks[[#This Row],[Baseline Finish]],Tasks[[#This Row],[_CalcFinish]]))</f>
        <v/>
      </c>
      <c r="AS112" s="47" t="str">
        <f aca="false">IF(Tasks[[#This Row],[Task Name]]="","",IF(Tasks[[#This Row],[Start]]&gt;=Tasks[[#This Row],[Planned Start]],NETWORKDAYS.INTL(Tasks[[#This Row],[Planned Start]],Tasks[[#This Row],[Start]],WorkWeek,Holidays)-1,1-NETWORKDAYS.INTL(Tasks[[#This Row],[Start]],Tasks[[#This Row],[Planned Start]],WorkWeek,Holidays)))</f>
        <v/>
      </c>
      <c r="AT112" s="63" t="str">
        <f aca="false">IF(Tasks[[#This Row],[Task Name]]="","",IF(Tasks[[#This Row],[_IsSummary]],MIN(INDEX(Tasks[_LeafLateStart],Tasks[[#This Row],[_Row]]+1):INDEX(Tasks[_LeafLateStart],Tasks[[#This Row],[_Row]]+Tasks[[#This Row],[_Descendants]])),Tasks[[#This Row],[_LeafLateStart]]))</f>
        <v/>
      </c>
      <c r="AU112" s="63" t="str">
        <f aca="false">IF(Tasks[[#This Row],[Task Name]]="","",IF(Tasks[[#This Row],[_IsSummary]],MAX(INDEX(Tasks[_LeafLateFinish],Tasks[[#This Row],[_Row]]+1):INDEX(Tasks[_LeafLateFinish],Tasks[[#This Row],[_Row]]+Tasks[[#This Row],[_Descendants]])),Tasks[[#This Row],[_LeafLateFinish]]))</f>
        <v/>
      </c>
      <c r="AV112" s="47" t="str">
        <f aca="false">IF(Tasks[[#This Row],[Task Name]]="","",IF(Tasks[[#This Row],[_IsSummary]],MIN(INDEX(Tasks[_LeafTotalSlack],Tasks[[#This Row],[_Row]]+1):INDEX(Tasks[_LeafTotalSlack],Tasks[[#This Row],[_Row]]+Tasks[[#This Row],[_Descendants]])),Tasks[[#This Row],[_LeafTotalSlack]]))</f>
        <v/>
      </c>
      <c r="AW11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5"/>
      <c r="BA11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1" t="str">
        <f aca="false">IF(Tasks[[#This Row],[Task Name]]="","",IF(Tasks[[#This Row],[_Level]]&lt;=OutlineShowLevel,"Yes","No"))</f>
        <v/>
      </c>
      <c r="BE112" s="86" t="str">
        <f aca="false">IF(Tasks[[#This Row],[Task Name]]="","",IF(Tasks[[#This Row],[_IsSummary]],SUM(INDEX(Tasks[_LeafTotalWork],Tasks[[#This Row],[_Row]]+1):INDEX(Tasks[_LeafTotalWork],Tasks[[#This Row],[_Row]]+Tasks[[#This Row],[_Descendants]])),Tasks[[#This Row],[_LeafTotalWork]]))</f>
        <v/>
      </c>
      <c r="BF112" s="23"/>
      <c r="BG1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2" s="21" t="str">
        <f aca="false">""</f>
        <v/>
      </c>
      <c r="BI112" s="87"/>
      <c r="BJ112" s="22"/>
      <c r="BK112" s="47" t="str">
        <f aca="false">IF(OR(Tasks[[#This Row],[Task Name]]="",Tasks[[#This Row],[Baseline Duration]]=""),"",Tasks[[#This Row],[_SpanDays]]-N(Tasks[[#This Row],[Baseline Duration]]))</f>
        <v/>
      </c>
      <c r="BL112" s="86" t="str">
        <f aca="false">IF(OR(Tasks[[#This Row],[Task Name]]="",Tasks[[#This Row],[Baseline Work]]=""),"",Tasks[[#This Row],[Work]]-N(Tasks[[#This Row],[Baseline Work]]))</f>
        <v/>
      </c>
      <c r="BM112" s="63" t="str">
        <f aca="false">IF(Tasks[[#This Row],[Task Name]]="","",IF(OR(TakeBaseline="Yes",N(Tasks[[#This Row],[Baseline Start]])=0),Tasks[[#This Row],[Start]],Tasks[[#This Row],[Baseline Start]]))</f>
        <v/>
      </c>
      <c r="BN112" s="63" t="str">
        <f aca="false">IF(Tasks[[#This Row],[Task Name]]="","",IF(OR(TakeBaseline="Yes",N(Tasks[[#This Row],[Baseline Finish]])=0),Tasks[[#This Row],[Finish]],Tasks[[#This Row],[Baseline Finish]]))</f>
        <v/>
      </c>
      <c r="BO112" s="21" t="str">
        <f aca="false">IF(Tasks[[#This Row],[Task Name]]="","",IF(OR(TakeBaseline="Yes",N(Tasks[[#This Row],[Baseline Duration]])=0),Tasks[[#This Row],[_SpanDays]],Tasks[[#This Row],[Baseline Duration]]))</f>
        <v/>
      </c>
      <c r="BP112" s="86" t="str">
        <f aca="false">IF(Tasks[[#This Row],[Task Name]]="","",IF(OR(TakeBaseline="Yes",N(Tasks[[#This Row],[Baseline Work]])=0),Tasks[[#This Row],[Work]],Tasks[[#This Row],[Baseline Work]]))</f>
        <v/>
      </c>
      <c r="BQ112" s="7"/>
      <c r="BR112" s="7"/>
      <c r="BS112" s="22"/>
      <c r="BT112" s="88"/>
      <c r="BU112" s="23"/>
      <c r="BV112" s="23"/>
      <c r="BW112" s="23"/>
      <c r="BX112" s="89" t="str">
        <f aca="false">IF(AND(Tasks[[#This Row],[_IsLeaf]]=1,ISNUMBER(Tasks[[#This Row],[Optimistic]]),ISNUMBER(Tasks[[#This Row],[Pessimistic]])),ROUND((Tasks[[#This Row],[Optimistic]]+4*N(Tasks[[#This Row],[_Days]])+Tasks[[#This Row],[Pessimistic]])/6,1),"")</f>
        <v/>
      </c>
      <c r="BY112" s="87"/>
      <c r="BZ112" s="87"/>
      <c r="CA112" s="22"/>
      <c r="CB112" s="43" t="str">
        <f aca="false">IF(Tasks[[#This Row],[Task Name]]="","",MAX(1,N(Tasks[[#This Row],[Level]])))</f>
        <v/>
      </c>
      <c r="CC112" s="43" t="n">
        <f aca="false">ROW()-ROW(Tasks[[#Headers],[ID]])</f>
        <v>107</v>
      </c>
      <c r="CD112" s="43" t="n">
        <f aca="false">IF(OR(Tasks[[#This Row],[Task Name]]="",Tasks[[#This Row],[_Level]]&lt;=1),0,IFERROR(LOOKUP(2,1/(Tasks[[#Headers],[_Level]]:Tasks[[#This Row],[_Level]]=Tasks[[#This Row],[_Level]]-1),ROW(Tasks[[#Headers],[_Level]]:Tasks[[#This Row],[_Level]])),0))</f>
        <v>0</v>
      </c>
      <c r="CE112" s="43" t="n">
        <f aca="false">IFERROR(N(INDEX(Tasks[_Level],Tasks[[#This Row],[_Row]]+1)),0)</f>
        <v>0</v>
      </c>
      <c r="CF112" s="90" t="b">
        <f aca="false">AND(Tasks[[#This Row],[Task Name]]&lt;&gt;"",Tasks[[#This Row],[_NextLevel]]&gt;Tasks[[#This Row],[_Level]])</f>
        <v>0</v>
      </c>
      <c r="CG112" s="43" t="n">
        <f aca="false">IF(Tasks[[#This Row],[_IsSummary]],COUNTIF(Tasks[WBS],Tasks[[#This Row],[WBS]]&amp;".*"),0)</f>
        <v>0</v>
      </c>
      <c r="CH112" s="43" t="n">
        <f aca="false">IF(AND(Tasks[[#This Row],[Task Name]]&lt;&gt;"",NOT(Tasks[[#This Row],[_IsSummary]])),1,0)</f>
        <v>0</v>
      </c>
      <c r="CI112" s="43" t="n">
        <f aca="false">IF(N(Tasks[[#This Row],[_Pred1UID]])=0,0,IFERROR(MATCH(Tasks[[#This Row],[_Pred1UID]],Tasks[UID],0),-1))</f>
        <v>0</v>
      </c>
      <c r="CJ112" s="43" t="n">
        <f aca="false">IF(N(Tasks[[#This Row],[_Pred2UID]])=0,0,IFERROR(MATCH(Tasks[[#This Row],[_Pred2UID]],Tasks[UID],0),-1))</f>
        <v>0</v>
      </c>
      <c r="CK112" s="43" t="n">
        <f aca="false">IF(N(Tasks[[#This Row],[_Pred3UID]])=0,0,IFERROR(MATCH(Tasks[[#This Row],[_Pred3UID]],Tasks[UID],0),-1))</f>
        <v>0</v>
      </c>
      <c r="CL112" s="43" t="n">
        <f aca="false">IF(N(Tasks[[#This Row],[_Pred4UID]])=0,0,IFERROR(MATCH(Tasks[[#This Row],[_Pred4UID]],Tasks[UID],0),-1))</f>
        <v>0</v>
      </c>
      <c r="CM11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2" s="91" t="n">
        <f aca="false">IF(OR(Tasks[[#This Row],[_ConstraintCode]]=2,Tasks[[#This Row],[_ConstraintCode]]=3,Tasks[[#This Row],[_ConstraintCode]]=4,Tasks[[#This Row],[_ConstraintCode]]=6),Tasks[[#This Row],[_ConstraintStart]],0)</f>
        <v>0</v>
      </c>
      <c r="CP112" s="91" t="n">
        <f aca="false">IF(OR(Tasks[[#This Row],[_ConstraintCode]]=2,Tasks[[#This Row],[_ConstraintCode]]=3,Tasks[[#This Row],[_ConstraintCode]]=5,Tasks[[#This Row],[_ConstraintCode]]=7),Tasks[[#This Row],[_ConstraintStart]],2958465)</f>
        <v>2958465</v>
      </c>
      <c r="CQ11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2" s="91" t="str">
        <f aca="false">IF(NOT(Tasks[[#This Row],[_IsLeaf]]=1),"",IF(N(Tasks[[#This Row],[_Days]])&lt;=0,Tasks[[#This Row],[_LeafCalcStart]],WORKDAY.INTL(Tasks[[#This Row],[_LeafCalcStart]],Tasks[[#This Row],[_Days]]-1,WorkWeek,Holidays)))</f>
        <v/>
      </c>
      <c r="CS11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2" s="43" t="str">
        <f aca="false">IF(Tasks[[#This Row],[_Predecessors]]="","",TRIM(MID(SUBSTITUTE(SUBSTITUTE(SUBSTITUTE(UPPER(Tasks[[#This Row],[_Predecessors]]),";",",")," ",""),",",REPT(" ",99)),1,99)))</f>
        <v/>
      </c>
      <c r="CV112" s="43" t="str">
        <f aca="false">IF(Tasks[[#This Row],[_Pred1Text]]="","",IFERROR(VALUE(LEFT(Tasks[[#This Row],[_Pred1Text]],MIN(FIND("F",Tasks[[#This Row],[_Pred1Text]]&amp;"F"),FIND("S",Tasks[[#This Row],[_Pred1Text]]&amp;"S"),FIND("+",Tasks[[#This Row],[_Pred1Text]]&amp;"+"),FIND("-",Tasks[[#This Row],[_Pred1Text]]&amp;"-"))-1)),""))</f>
        <v/>
      </c>
      <c r="CW11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2" s="43" t="str">
        <f aca="false">IF(Tasks[[#This Row],[_Pred1Text]]="","",TRIM(MID(SUBSTITUTE(SUBSTITUTE(SUBSTITUTE(UPPER(Tasks[[#This Row],[_Predecessors]]),";",",")," ",""),",",REPT(" ",99)),100,99)))</f>
        <v/>
      </c>
      <c r="CZ112" s="43" t="str">
        <f aca="false">IF(Tasks[[#This Row],[_Pred2Text]]="","",IFERROR(VALUE(LEFT(Tasks[[#This Row],[_Pred2Text]],MIN(FIND("F",Tasks[[#This Row],[_Pred2Text]]&amp;"F"),FIND("S",Tasks[[#This Row],[_Pred2Text]]&amp;"S"),FIND("+",Tasks[[#This Row],[_Pred2Text]]&amp;"+"),FIND("-",Tasks[[#This Row],[_Pred2Text]]&amp;"-"))-1)),""))</f>
        <v/>
      </c>
      <c r="DA11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2" s="43" t="str">
        <f aca="false">IF(Tasks[[#This Row],[_Pred2Text]]="","",TRIM(MID(SUBSTITUTE(SUBSTITUTE(SUBSTITUTE(UPPER(Tasks[[#This Row],[_Predecessors]]),";",",")," ",""),",",REPT(" ",99)),199,99)))</f>
        <v/>
      </c>
      <c r="DD112" s="43" t="str">
        <f aca="false">IF(Tasks[[#This Row],[_Pred3Text]]="","",IFERROR(VALUE(LEFT(Tasks[[#This Row],[_Pred3Text]],MIN(FIND("F",Tasks[[#This Row],[_Pred3Text]]&amp;"F"),FIND("S",Tasks[[#This Row],[_Pred3Text]]&amp;"S"),FIND("+",Tasks[[#This Row],[_Pred3Text]]&amp;"+"),FIND("-",Tasks[[#This Row],[_Pred3Text]]&amp;"-"))-1)),""))</f>
        <v/>
      </c>
      <c r="DE11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2" s="43" t="str">
        <f aca="false">IF(Tasks[[#This Row],[_Pred3Text]]="","",TRIM(MID(SUBSTITUTE(SUBSTITUTE(SUBSTITUTE(UPPER(Tasks[[#This Row],[_Predecessors]]),";",",")," ",""),",",REPT(" ",99)),298,99)))</f>
        <v/>
      </c>
      <c r="DH112" s="43" t="str">
        <f aca="false">IF(Tasks[[#This Row],[_Pred4Text]]="","",IFERROR(VALUE(LEFT(Tasks[[#This Row],[_Pred4Text]],MIN(FIND("F",Tasks[[#This Row],[_Pred4Text]]&amp;"F"),FIND("S",Tasks[[#This Row],[_Pred4Text]]&amp;"S"),FIND("+",Tasks[[#This Row],[_Pred4Text]]&amp;"+"),FIND("-",Tasks[[#This Row],[_Pred4Text]]&amp;"-"))-1)),""))</f>
        <v/>
      </c>
      <c r="DI11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2" s="43" t="str">
        <f aca="false">IF(OR(Tasks[[#This Row],[Task Name]]="",Tasks[[#This Row],[_Resources]]=""),"",TRIM(MID(SUBSTITUTE(Tasks[[#This Row],[_Resources]],",",REPT(" ",99)),1,99)))</f>
        <v/>
      </c>
      <c r="DL112" s="43" t="str">
        <f aca="false">IF(Tasks[[#This Row],[_Res1Text]]="","",TRIM(MID(SUBSTITUTE(Tasks[[#This Row],[_Resources]],",",REPT(" ",99)),100,99)))</f>
        <v/>
      </c>
      <c r="DM112" s="43" t="str">
        <f aca="false">IF(Tasks[[#This Row],[_Res2Text]]="","",TRIM(MID(SUBSTITUTE(Tasks[[#This Row],[_Resources]],",",REPT(" ",99)),199,99)))</f>
        <v/>
      </c>
      <c r="DN112" s="43" t="str">
        <f aca="false">IF(Tasks[[#This Row],[_Res3Text]]="","",TRIM(MID(SUBSTITUTE(Tasks[[#This Row],[_Resources]],",",REPT(" ",99)),298,99)))</f>
        <v/>
      </c>
      <c r="DO112" s="43" t="n">
        <f aca="false">IF(Tasks[[#This Row],[_Res1Text]]="",0,IFERROR(MATCH(TRIM(LEFT(Tasks[[#This Row],[_Res1Text]],FIND("[",Tasks[[#This Row],[_Res1Text]]&amp;"[")-1)),res_Name,0),IFERROR(MATCH(TRIM(LEFT(Tasks[[#This Row],[_Res1Text]],FIND("[",Tasks[[#This Row],[_Res1Text]]&amp;"[")-1)),res_Initials,0),0)))</f>
        <v>0</v>
      </c>
      <c r="DP112" s="43" t="n">
        <f aca="false">IF(Tasks[[#This Row],[_Res2Text]]="",0,IFERROR(MATCH(TRIM(LEFT(Tasks[[#This Row],[_Res2Text]],FIND("[",Tasks[[#This Row],[_Res2Text]]&amp;"[")-1)),res_Name,0),IFERROR(MATCH(TRIM(LEFT(Tasks[[#This Row],[_Res2Text]],FIND("[",Tasks[[#This Row],[_Res2Text]]&amp;"[")-1)),res_Initials,0),0)))</f>
        <v>0</v>
      </c>
      <c r="DQ112" s="43" t="n">
        <f aca="false">IF(Tasks[[#This Row],[_Res3Text]]="",0,IFERROR(MATCH(TRIM(LEFT(Tasks[[#This Row],[_Res3Text]],FIND("[",Tasks[[#This Row],[_Res3Text]]&amp;"[")-1)),res_Name,0),IFERROR(MATCH(TRIM(LEFT(Tasks[[#This Row],[_Res3Text]],FIND("[",Tasks[[#This Row],[_Res3Text]]&amp;"[")-1)),res_Initials,0),0)))</f>
        <v>0</v>
      </c>
      <c r="DR112" s="43" t="n">
        <f aca="false">IF(Tasks[[#This Row],[_Res4Text]]="",0,IFERROR(MATCH(TRIM(LEFT(Tasks[[#This Row],[_Res4Text]],FIND("[",Tasks[[#This Row],[_Res4Text]]&amp;"[")-1)),res_Name,0),IFERROR(MATCH(TRIM(LEFT(Tasks[[#This Row],[_Res4Text]],FIND("[",Tasks[[#This Row],[_Res4Text]]&amp;"[")-1)),res_Initials,0),0)))</f>
        <v>0</v>
      </c>
      <c r="DS112" s="43" t="str">
        <f aca="false">IF(Tasks[[#This Row],[_Res1Text]]="","",IF(Tasks[[#This Row],[_Res1Row]]&gt;0,INDEX(res_Name,Tasks[[#This Row],[_Res1Row]]),TRIM(LEFT(Tasks[[#This Row],[_Res1Text]],FIND("[",Tasks[[#This Row],[_Res1Text]]&amp;"[")-1))))</f>
        <v/>
      </c>
      <c r="DT11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2" s="43" t="n">
        <f aca="false">IF(NOT(Tasks[[#This Row],[_IsLeaf]]=1),0,(Tasks[[#This Row],[_Resource1]]&lt;&gt;"")+(Tasks[[#This Row],[_Res2]]&lt;&gt;"")+(Tasks[[#This Row],[_Res3]]&lt;&gt;"")+(Tasks[[#This Row],[_Res4]]&lt;&gt;""))</f>
        <v>0</v>
      </c>
      <c r="DV112" s="43" t="str">
        <f aca="false">IF(Tasks[[#This Row],[_Res2Text]]="","",IF(Tasks[[#This Row],[_Res2Row]]&gt;0,INDEX(res_Name,Tasks[[#This Row],[_Res2Row]]),TRIM(LEFT(Tasks[[#This Row],[_Res2Text]],FIND("[",Tasks[[#This Row],[_Res2Text]]&amp;"[")-1))))</f>
        <v/>
      </c>
      <c r="DW11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2" s="43" t="n">
        <f aca="false">IF(OR(NOT(Tasks[[#This Row],[_IsLeaf]]=1),Tasks[[#This Row],[_Res2Row]]=0),0,N(Tasks[[#This Row],[_Days]])*HoursPerDay*IF(Tasks[[#This Row],[_Res2Units]]="",DefaultUnits,Tasks[[#This Row],[_Res2Units]]))</f>
        <v>0</v>
      </c>
      <c r="DY112" s="43" t="n">
        <f aca="false">IF(AND(AND(Tasks[[#This Row],[_IsLeaf]]=1,Tasks[[#This Row],[_LeafTotalWork]]&gt;0),Tasks[[#This Row],[_Res2Work]]&gt;0),Tasks[[#This Row],[_Res2Work]]/(Tasks[[#This Row],[_FinishWorkday]]-Tasks[[#This Row],[_StartWorkday]]+1),0)</f>
        <v>0</v>
      </c>
      <c r="DZ112" s="43" t="n">
        <f aca="false">Tasks[[#This Row],[_Res2WorkPerWD]]*MAX(0,Tasks[[#This Row],[_StartWorkday]]-1)</f>
        <v>0</v>
      </c>
      <c r="EA112" s="43" t="n">
        <f aca="false">Tasks[[#This Row],[_Res2Work]]*Tasks[[#This Row],[_LeafProgress]]</f>
        <v>0</v>
      </c>
      <c r="EB112" s="43" t="str">
        <f aca="false">IF(Tasks[[#This Row],[_Res3Text]]="","",IF(Tasks[[#This Row],[_Res3Row]]&gt;0,INDEX(res_Name,Tasks[[#This Row],[_Res3Row]]),TRIM(LEFT(Tasks[[#This Row],[_Res3Text]],FIND("[",Tasks[[#This Row],[_Res3Text]]&amp;"[")-1))))</f>
        <v/>
      </c>
      <c r="EC11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2" s="43" t="n">
        <f aca="false">IF(OR(NOT(Tasks[[#This Row],[_IsLeaf]]=1),Tasks[[#This Row],[_Res3Row]]=0),0,N(Tasks[[#This Row],[_Days]])*HoursPerDay*IF(Tasks[[#This Row],[_Res3Units]]="",DefaultUnits,Tasks[[#This Row],[_Res3Units]]))</f>
        <v>0</v>
      </c>
      <c r="EE112" s="43" t="n">
        <f aca="false">IF(AND(AND(Tasks[[#This Row],[_IsLeaf]]=1,Tasks[[#This Row],[_LeafTotalWork]]&gt;0),Tasks[[#This Row],[_Res3Work]]&gt;0),Tasks[[#This Row],[_Res3Work]]/(Tasks[[#This Row],[_FinishWorkday]]-Tasks[[#This Row],[_StartWorkday]]+1),0)</f>
        <v>0</v>
      </c>
      <c r="EF112" s="43" t="n">
        <f aca="false">Tasks[[#This Row],[_Res3WorkPerWD]]*MAX(0,Tasks[[#This Row],[_StartWorkday]]-1)</f>
        <v>0</v>
      </c>
      <c r="EG112" s="43" t="n">
        <f aca="false">Tasks[[#This Row],[_Res3Work]]*Tasks[[#This Row],[_LeafProgress]]</f>
        <v>0</v>
      </c>
      <c r="EH112" s="43" t="str">
        <f aca="false">IF(Tasks[[#This Row],[_Res4Text]]="","",IF(Tasks[[#This Row],[_Res4Row]]&gt;0,INDEX(res_Name,Tasks[[#This Row],[_Res4Row]]),TRIM(LEFT(Tasks[[#This Row],[_Res4Text]],FIND("[",Tasks[[#This Row],[_Res4Text]]&amp;"[")-1))))</f>
        <v/>
      </c>
      <c r="EI11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2" s="43" t="n">
        <f aca="false">IF(OR(NOT(Tasks[[#This Row],[_IsLeaf]]=1),Tasks[[#This Row],[_Res4Row]]=0),0,N(Tasks[[#This Row],[_Days]])*HoursPerDay*IF(Tasks[[#This Row],[_Res4Units]]="",DefaultUnits,Tasks[[#This Row],[_Res4Units]]))</f>
        <v>0</v>
      </c>
      <c r="EK112" s="43" t="n">
        <f aca="false">IF(AND(AND(Tasks[[#This Row],[_IsLeaf]]=1,Tasks[[#This Row],[_LeafTotalWork]]&gt;0),Tasks[[#This Row],[_Res4Work]]&gt;0),Tasks[[#This Row],[_Res4Work]]/(Tasks[[#This Row],[_FinishWorkday]]-Tasks[[#This Row],[_StartWorkday]]+1),0)</f>
        <v>0</v>
      </c>
      <c r="EL112" s="43" t="n">
        <f aca="false">Tasks[[#This Row],[_Res4WorkPerWD]]*MAX(0,Tasks[[#This Row],[_StartWorkday]]-1)</f>
        <v>0</v>
      </c>
      <c r="EM112" s="43" t="n">
        <f aca="false">Tasks[[#This Row],[_Res4Work]]*Tasks[[#This Row],[_LeafProgress]]</f>
        <v>0</v>
      </c>
      <c r="EN112" s="43" t="n">
        <f aca="false">IF(ISNUMBER(Tasks[[#This Row],[% Complete]]),Tasks[[#This Row],[% Complete]],IF(Tasks[[#This Row],[Stage]]="",0,IFERROR(INDEX(stg_Pct,MATCH(Tasks[[#This Row],[Stage]],stg_Name,0)),0)))</f>
        <v>0</v>
      </c>
      <c r="EO112" s="43" t="n">
        <f aca="false">IF(NOT(Tasks[[#This Row],[_IsLeaf]]=1),0,IF(N(Tasks[[#This Row],[Actual Finish]])&gt;0,1,MIN(1,Tasks[[#This Row],[_Pct]])))</f>
        <v>0</v>
      </c>
      <c r="EP112" s="43" t="n">
        <f aca="false">IF(OR(NOT(Tasks[[#This Row],[_IsLeaf]]=1),Tasks[[#This Row],[_Res1Row]]=0),0,N(Tasks[[#This Row],[_Days]])*HoursPerDay*IF(Tasks[[#This Row],[_Units1]]="",DefaultUnits,Tasks[[#This Row],[_Units1]]))</f>
        <v>0</v>
      </c>
      <c r="EQ112" s="43" t="n">
        <f aca="false">Tasks[[#This Row],[_LeafWork]]+Tasks[[#This Row],[_Res2Work]]+Tasks[[#This Row],[_Res3Work]]+Tasks[[#This Row],[_Res4Work]]</f>
        <v>0</v>
      </c>
      <c r="ER11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2" s="43" t="n">
        <f aca="false">IF(NOT(Tasks[[#This Row],[_IsLeaf]]=1),0,MAX(_xlfn.MAXIFS(Tasks[_Row],Tasks[_Pred1UID],Tasks[[#This Row],[UID]]),_xlfn.MAXIFS(Tasks[_Row],Tasks[_Pred2UID],Tasks[[#This Row],[UID]]),_xlfn.MAXIFS(Tasks[_Row],Tasks[_Pred3UID],Tasks[[#This Row],[UID]]),_xlfn.MAXIFS(Tasks[_Row],Tasks[_Pred4UID],Tasks[[#This Row],[UID]])))</f>
        <v>0</v>
      </c>
      <c r="FA11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2" s="91" t="str">
        <f aca="false">IF(NOT(Tasks[[#This Row],[_IsLeaf]]=1),"",IF(N(Tasks[[#This Row],[_Days]])&lt;=0,Tasks[[#This Row],[_LeafLateFinish]],WORKDAY.INTL(Tasks[[#This Row],[_LeafLateFinish]],-(Tasks[[#This Row],[_Days]]-1),WorkWeek,Holidays)))</f>
        <v/>
      </c>
      <c r="FD11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2" s="90" t="b">
        <f aca="false">AND(Tasks[[#This Row],[_IsLeaf]]=1,Tasks[[#This Row],[_LeafProgress]]&lt;1,N(Tasks[[#This Row],[_LeafTotalSlack]])&lt;=CriticalSlackDays)</f>
        <v>0</v>
      </c>
      <c r="FF112" s="43" t="n">
        <f aca="false">IF(AND(Tasks[[#This Row],[_IsLeaf]]=1,Tasks[[#This Row],[_ConstraintCode]]=1,Tasks[[#This Row],[Mode]]&lt;&gt;"Manual",N(Tasks[[#This Row],[Actual Start]])=0),MAX(0,N(Tasks[[#This Row],[Free Slack]])),0)</f>
        <v>0</v>
      </c>
      <c r="FG112" s="91" t="str">
        <f aca="false">IF(NOT(Tasks[[#This Row],[_IsLeaf]]=1),"",IF(Tasks[[#This Row],[_AlapShift]]=0,Tasks[[#This Row],[_LeafCalcStart]],WORKDAY.INTL(Tasks[[#This Row],[_LeafCalcStart]],Tasks[[#This Row],[_AlapShift]],WorkWeek,Holidays)))</f>
        <v/>
      </c>
      <c r="FH112" s="91" t="str">
        <f aca="false">IF(NOT(Tasks[[#This Row],[_IsLeaf]]=1),"",IF(Tasks[[#This Row],[_AlapShift]]=0,Tasks[[#This Row],[_LeafCalcFinish]],WORKDAY.INTL(Tasks[[#This Row],[_LeafCalcFinish]],Tasks[[#This Row],[_AlapShift]],WorkWeek,Holidays)))</f>
        <v/>
      </c>
      <c r="FI112" s="91" t="str">
        <f aca="false">IF(NOT(Tasks[[#This Row],[_IsLeaf]]=1),"",IF(Tasks[[#This Row],[_AlapShift]]=0,Tasks[[#This Row],[_LeafFcstStart]],WORKDAY.INTL(Tasks[[#This Row],[_LeafFcstStart]],Tasks[[#This Row],[_AlapShift]],WorkWeek,Holidays)))</f>
        <v/>
      </c>
      <c r="FJ112" s="91" t="str">
        <f aca="false">IF(NOT(Tasks[[#This Row],[_IsLeaf]]=1),"",IF(Tasks[[#This Row],[_AlapShift]]=0,Tasks[[#This Row],[_LeafFcstFinish]],WORKDAY.INTL(Tasks[[#This Row],[_LeafFcstFinish]],Tasks[[#This Row],[_AlapShift]],WorkWeek,Holidays)))</f>
        <v/>
      </c>
      <c r="FK112" s="91" t="str">
        <f aca="false">IF(Tasks[[#This Row],[Task Name]]="","",IF(Tasks[[#This Row],[_IsSummary]],MIN(INDEX(Tasks[_ShownCalcStart],Tasks[[#This Row],[_Row]]+1):INDEX(Tasks[_ShownCalcStart],Tasks[[#This Row],[_Row]]+Tasks[[#This Row],[_Descendants]])),Tasks[[#This Row],[_ShownCalcStart]]))</f>
        <v/>
      </c>
      <c r="FL112" s="91" t="str">
        <f aca="false">IF(Tasks[[#This Row],[Task Name]]="","",IF(Tasks[[#This Row],[_IsSummary]],MAX(INDEX(Tasks[_ShownCalcFinish],Tasks[[#This Row],[_Row]]+1):INDEX(Tasks[_ShownCalcFinish],Tasks[[#This Row],[_Row]]+Tasks[[#This Row],[_Descendants]])),Tasks[[#This Row],[_ShownCalcFinish]]))</f>
        <v/>
      </c>
      <c r="FM11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2" s="43" t="n">
        <f aca="false">IF(AND(Tasks[[#This Row],[_IsLeaf]]=1,Tasks[[#This Row],[_LeafTotalWork]]&gt;0),NETWORKDAYS.INTL(ProjectStart,Tasks[[#This Row],[_ShownFcstStart]],WorkWeek,Holidays),0)</f>
        <v>0</v>
      </c>
      <c r="FZ112" s="43" t="n">
        <f aca="false">IF(AND(Tasks[[#This Row],[_IsLeaf]]=1,Tasks[[#This Row],[_LeafTotalWork]]&gt;0),MAX(Tasks[[#This Row],[_StartWorkday]],NETWORKDAYS.INTL(ProjectStart,Tasks[[#This Row],[_ShownFcstFinish]],WorkWeek,Holidays)),0)</f>
        <v>0</v>
      </c>
      <c r="GA112" s="43" t="n">
        <f aca="false">IF(AND(Tasks[[#This Row],[_IsLeaf]]=1,Tasks[[#This Row],[_LeafTotalWork]]&gt;0),Tasks[[#This Row],[_LeafWork]]/(Tasks[[#This Row],[_FinishWorkday]]-Tasks[[#This Row],[_StartWorkday]]+1),0)</f>
        <v>0</v>
      </c>
      <c r="GB112" s="43" t="n">
        <f aca="false">Tasks[[#This Row],[_WorkPerWorkday]]*(Tasks[[#This Row],[_StartWorkday]]-1)</f>
        <v>-0</v>
      </c>
      <c r="GC112" s="43" t="n">
        <f aca="false">IF(Tasks[[#This Row],[_IsLeaf]]=1,MAX(N(Tasks[[#This Row],[_Days]]),0.1),0)</f>
        <v>0</v>
      </c>
      <c r="GD112" s="43" t="n">
        <f aca="false">Tasks[[#This Row],[_WeightDur]]*Tasks[[#This Row],[_LeafProgress]]</f>
        <v>0</v>
      </c>
      <c r="GE112" s="43" t="n">
        <f aca="false">Tasks[[#This Row],[_WeightDur]]*Tasks[[#This Row],[_PlannedPct]]</f>
        <v>0</v>
      </c>
      <c r="GF11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2" s="43" t="str">
        <f aca="false">IF(AND(Tasks[[#This Row],[_IsLeaf]]=1,N(Tasks[[#This Row],[_Days]])=0,Tasks[[#This Row],[_LeafProgress]]&lt;1),Tasks[[#This Row],[_ShownFcstFinish]]+Tasks[[#This Row],[_Row]]/100000,"")</f>
        <v/>
      </c>
      <c r="GH11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2" s="43" t="str">
        <f aca="false">IF(Tasks[[#This Row],[Task Name]]="","",LEFT(Tasks[[#This Row],[WBS]],FIND(".",Tasks[[#This Row],[WBS]]&amp;".")-1))</f>
        <v/>
      </c>
      <c r="GJ112" s="43" t="str">
        <f aca="false">IF(AND(Tasks[[#This Row],[Task Name]]&lt;&gt;"",Tasks[[#This Row],[_Level]]=1),Tasks[[#This Row],[_Row]],"")</f>
        <v/>
      </c>
      <c r="GK112" s="43" t="str">
        <f aca="false">IF(AND(Tasks[[#This Row],[_IsLeaf]]=1,N(Tasks[[#This Row],[_Days]])=0),Tasks[[#This Row],[Planned Finish]]+Tasks[[#This Row],[_Row]]/100000,"")</f>
        <v/>
      </c>
      <c r="GL112" s="43" t="str">
        <f aca="false">IF(AND(Tasks[[#This Row],[_IsLeaf]]=1,Tasks[[#This Row],[_LeafProgress]]&lt;1,OR(N(Tasks[[#This Row],[Finish Var]])&gt;0,Tasks[[#This Row],[Status]]="Late Start")),MAX(0,Tasks[[#This Row],[Finish Var]])+1-Tasks[[#This Row],[_Row]]/1000000,"")</f>
        <v/>
      </c>
      <c r="GM112" s="43" t="str">
        <f aca="false">IF(AND(Tasks[[#This Row],[_IsLeaf]]=1,N(Tasks[[#This Row],[Actual Start]])=0,Tasks[[#This Row],[_ShownFcstStart]]&gt;=StatusDate,Tasks[[#This Row],[_ShownFcstStart]]&lt;=LookaheadEnd),Tasks[[#This Row],[_ShownFcstStart]]+Tasks[[#This Row],[_Row]]/100000,"")</f>
        <v/>
      </c>
      <c r="GN112" s="43" t="str">
        <f aca="false">IF(AND(Tasks[[#This Row],[_IsLeaf]]=1,Tasks[[#This Row],[_LeafProgress]]&lt;1,Tasks[[#This Row],[_ShownFcstFinish]]&gt;=StatusDate,Tasks[[#This Row],[_ShownFcstFinish]]&lt;=LookaheadEnd),Tasks[[#This Row],[_ShownFcstFinish]]+Tasks[[#This Row],[_Row]]/100000,"")</f>
        <v/>
      </c>
      <c r="GO112" s="43" t="str">
        <f aca="false">IF(Tasks[[#This Row],[_LeafCritical]],Tasks[[#This Row],[_ShownFcstStart]]+Tasks[[#This Row],[_Row]]/100000,"")</f>
        <v/>
      </c>
      <c r="GP112" s="43" t="n">
        <f aca="false">Tasks[[#This Row],[_LeafWork]]*Tasks[[#This Row],[_LeafProgress]]</f>
        <v>0</v>
      </c>
      <c r="GQ112" s="91" t="str">
        <f aca="false">IF(AND(Tasks[[#This Row],[_IsLeaf]]=1,Tasks[[#This Row],[_LeafProgress]]&gt;=1),IF(N(Tasks[[#This Row],[Actual Finish]])&gt;0,Tasks[[#This Row],[Actual Finish]],Tasks[[#This Row],[_ShownFcstFinish]]),"")</f>
        <v/>
      </c>
      <c r="GR112" s="43" t="n">
        <f aca="false">IF(Tasks[[#This Row],[_IsLeaf]]=1,N(Tasks[[#This Row],[Story Points]]),0)</f>
        <v>0</v>
      </c>
      <c r="GS112" s="43" t="str">
        <f aca="false">""</f>
        <v/>
      </c>
      <c r="GT112" s="90" t="b">
        <f aca="false">IF(Tasks[[#This Row],[Task Name]]="",FALSE(),AND(Tasks[[#This Row],[_IsLeaf]]=1,N(Tasks[[#This Row],[_Days]])=0))</f>
        <v>0</v>
      </c>
      <c r="GU112" s="91" t="n">
        <f aca="false">IF(Tasks[[#This Row],[Task Name]]="",0,IF(AND(Tasks[[#This Row],[_IsLeaf]]=1,NOT(Tasks[[#This Row],[_IsMilestone]]),N(Tasks[[#This Row],[Progress]])&gt;0),Tasks[[#This Row],[Start]],0))</f>
        <v>0</v>
      </c>
      <c r="GV112" s="91" t="n">
        <f aca="false">IF(Tasks[[#This Row],[_DoneFrom]]=0,0,IF(Tasks[[#This Row],[Progress]]&gt;=1,Tasks[[#This Row],[Finish]],MAX(Tasks[[#This Row],[_DoneFrom]],Tasks[[#This Row],[Start]]+ROUND((Tasks[[#This Row],[Finish]]-Tasks[[#This Row],[Start]]+1)*Tasks[[#This Row],[Progress]],0)-1)))</f>
        <v>0</v>
      </c>
      <c r="GW112" s="91" t="n">
        <f aca="false">IF(Tasks[[#This Row],[Task Name]]="",0,IF(OR(NOT(Tasks[[#This Row],[_IsLeaf]]=1),Tasks[[#This Row],[_IsMilestone]],N(Tasks[[#This Row],[Progress]])&gt;=1),0,IF(Tasks[[#This Row],[_DoneTo]]&gt;0,Tasks[[#This Row],[_DoneTo]]+1,Tasks[[#This Row],[Start]])))</f>
        <v>0</v>
      </c>
      <c r="GX112" s="91" t="n">
        <f aca="false">IF(Tasks[[#This Row],[_RemFrom]]=0,0,Tasks[[#This Row],[Finish]])</f>
        <v>0</v>
      </c>
      <c r="GY112" s="90" t="b">
        <f aca="false">IF(Tasks[[#This Row],[Task Name]]="",FALSE(),OR(NOT(BaselineSet),N(Tasks[[#This Row],[Baseline Start]])&gt;0))</f>
        <v>0</v>
      </c>
      <c r="GZ11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2" s="92" t="str">
        <f aca="false">IF(Tasks[[#This Row],[_IsLeaf]]=1,Tasks[[#This Row],[_Row]],"")</f>
        <v/>
      </c>
      <c r="HD112" s="92" t="str">
        <f aca="false">IFERROR(INDEX(Tasks[UID],SMALL(Tasks[_PickKey],Tasks[[#This Row],[_Row]]))&amp;" "&amp;INDEX(Tasks[Task Name],SMALL(Tasks[_PickKey],Tasks[[#This Row],[_Row]])),"")</f>
        <v/>
      </c>
      <c r="HE112" s="43" t="str">
        <f aca="false">IF(Tasks[[#This Row],[Task Name]]="","",IF(Tasks[[#This Row],[_IsSummary]],NETWORKDAYS.INTL(Tasks[[#This Row],[Start]],Tasks[[#This Row],[Finish]],WorkWeek,Holidays),N(Tasks[[#This Row],[_Days]])))</f>
        <v/>
      </c>
      <c r="HF112" s="43" t="n">
        <f aca="false">IF(Tasks[[#This Row],[Expected]]="",0,((Tasks[[#This Row],[Pessimistic]]-Tasks[[#This Row],[Optimistic]])/6)^2)</f>
        <v>0</v>
      </c>
      <c r="HG112" s="43" t="n">
        <f aca="false">IF(Tasks[[#This Row],[Expected]]="",0,Tasks[[#This Row],[Expected]]-N(Tasks[[#This Row],[_Days]]))</f>
        <v>0</v>
      </c>
    </row>
    <row r="113" customFormat="false" ht="15" hidden="false" customHeight="false" outlineLevel="0" collapsed="false">
      <c r="A113" s="21" t="str">
        <f aca="false">IF(Tasks[[#This Row],[Task Name]]="","",COUNTA(Tasks[[#Headers],[Task Name]]:Tasks[[#This Row],[Task Name]])-1)</f>
        <v/>
      </c>
      <c r="B113" s="22" t="n">
        <v>121</v>
      </c>
      <c r="C113" s="22"/>
      <c r="D113" s="23"/>
      <c r="E113" s="22"/>
      <c r="F113" s="23"/>
      <c r="G113" s="22"/>
      <c r="H113" s="22"/>
      <c r="I113" s="23"/>
      <c r="J113" s="22"/>
      <c r="K113" s="22"/>
      <c r="L113" s="23"/>
      <c r="M113" s="22"/>
      <c r="N113" s="22"/>
      <c r="O113" s="23"/>
      <c r="P113" s="22"/>
      <c r="Q113" s="22"/>
      <c r="R113" s="23"/>
      <c r="S113" s="23"/>
      <c r="T113" s="84"/>
      <c r="U113" s="23"/>
      <c r="V113" s="84"/>
      <c r="W113" s="23"/>
      <c r="X113" s="84"/>
      <c r="Y113" s="23"/>
      <c r="Z113" s="84"/>
      <c r="AA113" s="23"/>
      <c r="AB113" s="23"/>
      <c r="AC113" s="7"/>
      <c r="AD113" s="7"/>
      <c r="AE113" s="63" t="str">
        <f aca="false">IF(Tasks[[#This Row],[Task Name]]="","",IF(Tasks[[#This Row],[_IsSummary]],MIN(INDEX(Tasks[_ShownFcstStart],Tasks[[#This Row],[_Row]]+1):INDEX(Tasks[_ShownFcstStart],Tasks[[#This Row],[_Row]]+Tasks[[#This Row],[_Descendants]])),Tasks[[#This Row],[_ShownFcstStart]]))</f>
        <v/>
      </c>
      <c r="AF113" s="63" t="str">
        <f aca="false">IF(Tasks[[#This Row],[Task Name]]="","",IF(Tasks[[#This Row],[_IsSummary]],MAX(INDEX(Tasks[_ShownFcstFinish],Tasks[[#This Row],[_Row]]+1):INDEX(Tasks[_ShownFcstFinish],Tasks[[#This Row],[_Row]]+Tasks[[#This Row],[_Descendants]])),Tasks[[#This Row],[_ShownFcstFinish]]))</f>
        <v/>
      </c>
      <c r="AG113" s="21" t="str">
        <f aca="false">""</f>
        <v/>
      </c>
      <c r="AH113" s="23"/>
      <c r="AI1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3" s="7"/>
      <c r="AK113" s="22"/>
      <c r="AL113" s="23"/>
      <c r="AM113" s="7"/>
      <c r="AN113" s="47" t="str">
        <f aca="false">IF(Tasks[[#This Row],[Task Name]]="","",IF(Tasks[[#This Row],[Finish]]&gt;=Tasks[[#This Row],[Planned Finish]],NETWORKDAYS.INTL(Tasks[[#This Row],[Planned Finish]],Tasks[[#This Row],[Finish]],WorkWeek,Holidays)-1,1-NETWORKDAYS.INTL(Tasks[[#This Row],[Finish]],Tasks[[#This Row],[Planned Finish]],WorkWeek,Holidays)))</f>
        <v/>
      </c>
      <c r="AO113" s="21" t="str">
        <f aca="false">IF(Tasks[[#This Row],[Task Name]]="","",IF(Tasks[[#This Row],[Progress]]&gt;=1,"Complete",IF(OR(N(Tasks[[#This Row],[Actual Start]])&gt;0,Tasks[[#This Row],[Progress]]&gt;0),IF(Tasks[[#This Row],[Finish Var]]&gt;0,"Behind","In Progress"),IF(Tasks[[#This Row],[Planned Start]]&lt;StatusDate,"Late Start","Not Started"))))</f>
        <v/>
      </c>
      <c r="AP113" s="21" t="str">
        <f aca="false">IF(Tasks[[#This Row],[Task Name]]="","",IF(IF(Tasks[[#This Row],[_IsSummary]],COUNTIF(INDEX(Tasks[_LeafCritical],Tasks[[#This Row],[_Row]]+1):INDEX(Tasks[_LeafCritical],Tasks[[#This Row],[_Row]]+Tasks[[#This Row],[_Descendants]]),TRUE())&gt;0,Tasks[[#This Row],[_LeafCritical]]),"Yes",""))</f>
        <v/>
      </c>
      <c r="AQ113" s="63" t="str">
        <f aca="false">IF(Tasks[[#This Row],[Task Name]]="","",IF(N(Tasks[[#This Row],[Baseline Start]])&gt;0,Tasks[[#This Row],[Baseline Start]],Tasks[[#This Row],[_CalcStart]]))</f>
        <v/>
      </c>
      <c r="AR113" s="63" t="str">
        <f aca="false">IF(Tasks[[#This Row],[Task Name]]="","",IF(N(Tasks[[#This Row],[Baseline Finish]])&gt;0,Tasks[[#This Row],[Baseline Finish]],Tasks[[#This Row],[_CalcFinish]]))</f>
        <v/>
      </c>
      <c r="AS113" s="47" t="str">
        <f aca="false">IF(Tasks[[#This Row],[Task Name]]="","",IF(Tasks[[#This Row],[Start]]&gt;=Tasks[[#This Row],[Planned Start]],NETWORKDAYS.INTL(Tasks[[#This Row],[Planned Start]],Tasks[[#This Row],[Start]],WorkWeek,Holidays)-1,1-NETWORKDAYS.INTL(Tasks[[#This Row],[Start]],Tasks[[#This Row],[Planned Start]],WorkWeek,Holidays)))</f>
        <v/>
      </c>
      <c r="AT113" s="63" t="str">
        <f aca="false">IF(Tasks[[#This Row],[Task Name]]="","",IF(Tasks[[#This Row],[_IsSummary]],MIN(INDEX(Tasks[_LeafLateStart],Tasks[[#This Row],[_Row]]+1):INDEX(Tasks[_LeafLateStart],Tasks[[#This Row],[_Row]]+Tasks[[#This Row],[_Descendants]])),Tasks[[#This Row],[_LeafLateStart]]))</f>
        <v/>
      </c>
      <c r="AU113" s="63" t="str">
        <f aca="false">IF(Tasks[[#This Row],[Task Name]]="","",IF(Tasks[[#This Row],[_IsSummary]],MAX(INDEX(Tasks[_LeafLateFinish],Tasks[[#This Row],[_Row]]+1):INDEX(Tasks[_LeafLateFinish],Tasks[[#This Row],[_Row]]+Tasks[[#This Row],[_Descendants]])),Tasks[[#This Row],[_LeafLateFinish]]))</f>
        <v/>
      </c>
      <c r="AV113" s="47" t="str">
        <f aca="false">IF(Tasks[[#This Row],[Task Name]]="","",IF(Tasks[[#This Row],[_IsSummary]],MIN(INDEX(Tasks[_LeafTotalSlack],Tasks[[#This Row],[_Row]]+1):INDEX(Tasks[_LeafTotalSlack],Tasks[[#This Row],[_Row]]+Tasks[[#This Row],[_Descendants]])),Tasks[[#This Row],[_LeafTotalSlack]]))</f>
        <v/>
      </c>
      <c r="AW11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5"/>
      <c r="BA11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1" t="str">
        <f aca="false">IF(Tasks[[#This Row],[Task Name]]="","",IF(Tasks[[#This Row],[_Level]]&lt;=OutlineShowLevel,"Yes","No"))</f>
        <v/>
      </c>
      <c r="BE113" s="86" t="str">
        <f aca="false">IF(Tasks[[#This Row],[Task Name]]="","",IF(Tasks[[#This Row],[_IsSummary]],SUM(INDEX(Tasks[_LeafTotalWork],Tasks[[#This Row],[_Row]]+1):INDEX(Tasks[_LeafTotalWork],Tasks[[#This Row],[_Row]]+Tasks[[#This Row],[_Descendants]])),Tasks[[#This Row],[_LeafTotalWork]]))</f>
        <v/>
      </c>
      <c r="BF113" s="23"/>
      <c r="BG1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3" s="21" t="str">
        <f aca="false">""</f>
        <v/>
      </c>
      <c r="BI113" s="87"/>
      <c r="BJ113" s="22"/>
      <c r="BK113" s="47" t="str">
        <f aca="false">IF(OR(Tasks[[#This Row],[Task Name]]="",Tasks[[#This Row],[Baseline Duration]]=""),"",Tasks[[#This Row],[_SpanDays]]-N(Tasks[[#This Row],[Baseline Duration]]))</f>
        <v/>
      </c>
      <c r="BL113" s="86" t="str">
        <f aca="false">IF(OR(Tasks[[#This Row],[Task Name]]="",Tasks[[#This Row],[Baseline Work]]=""),"",Tasks[[#This Row],[Work]]-N(Tasks[[#This Row],[Baseline Work]]))</f>
        <v/>
      </c>
      <c r="BM113" s="63" t="str">
        <f aca="false">IF(Tasks[[#This Row],[Task Name]]="","",IF(OR(TakeBaseline="Yes",N(Tasks[[#This Row],[Baseline Start]])=0),Tasks[[#This Row],[Start]],Tasks[[#This Row],[Baseline Start]]))</f>
        <v/>
      </c>
      <c r="BN113" s="63" t="str">
        <f aca="false">IF(Tasks[[#This Row],[Task Name]]="","",IF(OR(TakeBaseline="Yes",N(Tasks[[#This Row],[Baseline Finish]])=0),Tasks[[#This Row],[Finish]],Tasks[[#This Row],[Baseline Finish]]))</f>
        <v/>
      </c>
      <c r="BO113" s="21" t="str">
        <f aca="false">IF(Tasks[[#This Row],[Task Name]]="","",IF(OR(TakeBaseline="Yes",N(Tasks[[#This Row],[Baseline Duration]])=0),Tasks[[#This Row],[_SpanDays]],Tasks[[#This Row],[Baseline Duration]]))</f>
        <v/>
      </c>
      <c r="BP113" s="86" t="str">
        <f aca="false">IF(Tasks[[#This Row],[Task Name]]="","",IF(OR(TakeBaseline="Yes",N(Tasks[[#This Row],[Baseline Work]])=0),Tasks[[#This Row],[Work]],Tasks[[#This Row],[Baseline Work]]))</f>
        <v/>
      </c>
      <c r="BQ113" s="7"/>
      <c r="BR113" s="7"/>
      <c r="BS113" s="22"/>
      <c r="BT113" s="88"/>
      <c r="BU113" s="23"/>
      <c r="BV113" s="23"/>
      <c r="BW113" s="23"/>
      <c r="BX113" s="89" t="str">
        <f aca="false">IF(AND(Tasks[[#This Row],[_IsLeaf]]=1,ISNUMBER(Tasks[[#This Row],[Optimistic]]),ISNUMBER(Tasks[[#This Row],[Pessimistic]])),ROUND((Tasks[[#This Row],[Optimistic]]+4*N(Tasks[[#This Row],[_Days]])+Tasks[[#This Row],[Pessimistic]])/6,1),"")</f>
        <v/>
      </c>
      <c r="BY113" s="87"/>
      <c r="BZ113" s="87"/>
      <c r="CA113" s="22"/>
      <c r="CB113" s="43" t="str">
        <f aca="false">IF(Tasks[[#This Row],[Task Name]]="","",MAX(1,N(Tasks[[#This Row],[Level]])))</f>
        <v/>
      </c>
      <c r="CC113" s="43" t="n">
        <f aca="false">ROW()-ROW(Tasks[[#Headers],[ID]])</f>
        <v>108</v>
      </c>
      <c r="CD113" s="43" t="n">
        <f aca="false">IF(OR(Tasks[[#This Row],[Task Name]]="",Tasks[[#This Row],[_Level]]&lt;=1),0,IFERROR(LOOKUP(2,1/(Tasks[[#Headers],[_Level]]:Tasks[[#This Row],[_Level]]=Tasks[[#This Row],[_Level]]-1),ROW(Tasks[[#Headers],[_Level]]:Tasks[[#This Row],[_Level]])),0))</f>
        <v>0</v>
      </c>
      <c r="CE113" s="43" t="n">
        <f aca="false">IFERROR(N(INDEX(Tasks[_Level],Tasks[[#This Row],[_Row]]+1)),0)</f>
        <v>0</v>
      </c>
      <c r="CF113" s="90" t="b">
        <f aca="false">AND(Tasks[[#This Row],[Task Name]]&lt;&gt;"",Tasks[[#This Row],[_NextLevel]]&gt;Tasks[[#This Row],[_Level]])</f>
        <v>0</v>
      </c>
      <c r="CG113" s="43" t="n">
        <f aca="false">IF(Tasks[[#This Row],[_IsSummary]],COUNTIF(Tasks[WBS],Tasks[[#This Row],[WBS]]&amp;".*"),0)</f>
        <v>0</v>
      </c>
      <c r="CH113" s="43" t="n">
        <f aca="false">IF(AND(Tasks[[#This Row],[Task Name]]&lt;&gt;"",NOT(Tasks[[#This Row],[_IsSummary]])),1,0)</f>
        <v>0</v>
      </c>
      <c r="CI113" s="43" t="n">
        <f aca="false">IF(N(Tasks[[#This Row],[_Pred1UID]])=0,0,IFERROR(MATCH(Tasks[[#This Row],[_Pred1UID]],Tasks[UID],0),-1))</f>
        <v>0</v>
      </c>
      <c r="CJ113" s="43" t="n">
        <f aca="false">IF(N(Tasks[[#This Row],[_Pred2UID]])=0,0,IFERROR(MATCH(Tasks[[#This Row],[_Pred2UID]],Tasks[UID],0),-1))</f>
        <v>0</v>
      </c>
      <c r="CK113" s="43" t="n">
        <f aca="false">IF(N(Tasks[[#This Row],[_Pred3UID]])=0,0,IFERROR(MATCH(Tasks[[#This Row],[_Pred3UID]],Tasks[UID],0),-1))</f>
        <v>0</v>
      </c>
      <c r="CL113" s="43" t="n">
        <f aca="false">IF(N(Tasks[[#This Row],[_Pred4UID]])=0,0,IFERROR(MATCH(Tasks[[#This Row],[_Pred4UID]],Tasks[UID],0),-1))</f>
        <v>0</v>
      </c>
      <c r="CM11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3" s="91" t="n">
        <f aca="false">IF(OR(Tasks[[#This Row],[_ConstraintCode]]=2,Tasks[[#This Row],[_ConstraintCode]]=3,Tasks[[#This Row],[_ConstraintCode]]=4,Tasks[[#This Row],[_ConstraintCode]]=6),Tasks[[#This Row],[_ConstraintStart]],0)</f>
        <v>0</v>
      </c>
      <c r="CP113" s="91" t="n">
        <f aca="false">IF(OR(Tasks[[#This Row],[_ConstraintCode]]=2,Tasks[[#This Row],[_ConstraintCode]]=3,Tasks[[#This Row],[_ConstraintCode]]=5,Tasks[[#This Row],[_ConstraintCode]]=7),Tasks[[#This Row],[_ConstraintStart]],2958465)</f>
        <v>2958465</v>
      </c>
      <c r="CQ11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3" s="91" t="str">
        <f aca="false">IF(NOT(Tasks[[#This Row],[_IsLeaf]]=1),"",IF(N(Tasks[[#This Row],[_Days]])&lt;=0,Tasks[[#This Row],[_LeafCalcStart]],WORKDAY.INTL(Tasks[[#This Row],[_LeafCalcStart]],Tasks[[#This Row],[_Days]]-1,WorkWeek,Holidays)))</f>
        <v/>
      </c>
      <c r="CS11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3" s="43" t="str">
        <f aca="false">IF(Tasks[[#This Row],[_Predecessors]]="","",TRIM(MID(SUBSTITUTE(SUBSTITUTE(SUBSTITUTE(UPPER(Tasks[[#This Row],[_Predecessors]]),";",",")," ",""),",",REPT(" ",99)),1,99)))</f>
        <v/>
      </c>
      <c r="CV113" s="43" t="str">
        <f aca="false">IF(Tasks[[#This Row],[_Pred1Text]]="","",IFERROR(VALUE(LEFT(Tasks[[#This Row],[_Pred1Text]],MIN(FIND("F",Tasks[[#This Row],[_Pred1Text]]&amp;"F"),FIND("S",Tasks[[#This Row],[_Pred1Text]]&amp;"S"),FIND("+",Tasks[[#This Row],[_Pred1Text]]&amp;"+"),FIND("-",Tasks[[#This Row],[_Pred1Text]]&amp;"-"))-1)),""))</f>
        <v/>
      </c>
      <c r="CW11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3" s="43" t="str">
        <f aca="false">IF(Tasks[[#This Row],[_Pred1Text]]="","",TRIM(MID(SUBSTITUTE(SUBSTITUTE(SUBSTITUTE(UPPER(Tasks[[#This Row],[_Predecessors]]),";",",")," ",""),",",REPT(" ",99)),100,99)))</f>
        <v/>
      </c>
      <c r="CZ113" s="43" t="str">
        <f aca="false">IF(Tasks[[#This Row],[_Pred2Text]]="","",IFERROR(VALUE(LEFT(Tasks[[#This Row],[_Pred2Text]],MIN(FIND("F",Tasks[[#This Row],[_Pred2Text]]&amp;"F"),FIND("S",Tasks[[#This Row],[_Pred2Text]]&amp;"S"),FIND("+",Tasks[[#This Row],[_Pred2Text]]&amp;"+"),FIND("-",Tasks[[#This Row],[_Pred2Text]]&amp;"-"))-1)),""))</f>
        <v/>
      </c>
      <c r="DA11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3" s="43" t="str">
        <f aca="false">IF(Tasks[[#This Row],[_Pred2Text]]="","",TRIM(MID(SUBSTITUTE(SUBSTITUTE(SUBSTITUTE(UPPER(Tasks[[#This Row],[_Predecessors]]),";",",")," ",""),",",REPT(" ",99)),199,99)))</f>
        <v/>
      </c>
      <c r="DD113" s="43" t="str">
        <f aca="false">IF(Tasks[[#This Row],[_Pred3Text]]="","",IFERROR(VALUE(LEFT(Tasks[[#This Row],[_Pred3Text]],MIN(FIND("F",Tasks[[#This Row],[_Pred3Text]]&amp;"F"),FIND("S",Tasks[[#This Row],[_Pred3Text]]&amp;"S"),FIND("+",Tasks[[#This Row],[_Pred3Text]]&amp;"+"),FIND("-",Tasks[[#This Row],[_Pred3Text]]&amp;"-"))-1)),""))</f>
        <v/>
      </c>
      <c r="DE11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3" s="43" t="str">
        <f aca="false">IF(Tasks[[#This Row],[_Pred3Text]]="","",TRIM(MID(SUBSTITUTE(SUBSTITUTE(SUBSTITUTE(UPPER(Tasks[[#This Row],[_Predecessors]]),";",",")," ",""),",",REPT(" ",99)),298,99)))</f>
        <v/>
      </c>
      <c r="DH113" s="43" t="str">
        <f aca="false">IF(Tasks[[#This Row],[_Pred4Text]]="","",IFERROR(VALUE(LEFT(Tasks[[#This Row],[_Pred4Text]],MIN(FIND("F",Tasks[[#This Row],[_Pred4Text]]&amp;"F"),FIND("S",Tasks[[#This Row],[_Pred4Text]]&amp;"S"),FIND("+",Tasks[[#This Row],[_Pred4Text]]&amp;"+"),FIND("-",Tasks[[#This Row],[_Pred4Text]]&amp;"-"))-1)),""))</f>
        <v/>
      </c>
      <c r="DI11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3" s="43" t="str">
        <f aca="false">IF(OR(Tasks[[#This Row],[Task Name]]="",Tasks[[#This Row],[_Resources]]=""),"",TRIM(MID(SUBSTITUTE(Tasks[[#This Row],[_Resources]],",",REPT(" ",99)),1,99)))</f>
        <v/>
      </c>
      <c r="DL113" s="43" t="str">
        <f aca="false">IF(Tasks[[#This Row],[_Res1Text]]="","",TRIM(MID(SUBSTITUTE(Tasks[[#This Row],[_Resources]],",",REPT(" ",99)),100,99)))</f>
        <v/>
      </c>
      <c r="DM113" s="43" t="str">
        <f aca="false">IF(Tasks[[#This Row],[_Res2Text]]="","",TRIM(MID(SUBSTITUTE(Tasks[[#This Row],[_Resources]],",",REPT(" ",99)),199,99)))</f>
        <v/>
      </c>
      <c r="DN113" s="43" t="str">
        <f aca="false">IF(Tasks[[#This Row],[_Res3Text]]="","",TRIM(MID(SUBSTITUTE(Tasks[[#This Row],[_Resources]],",",REPT(" ",99)),298,99)))</f>
        <v/>
      </c>
      <c r="DO113" s="43" t="n">
        <f aca="false">IF(Tasks[[#This Row],[_Res1Text]]="",0,IFERROR(MATCH(TRIM(LEFT(Tasks[[#This Row],[_Res1Text]],FIND("[",Tasks[[#This Row],[_Res1Text]]&amp;"[")-1)),res_Name,0),IFERROR(MATCH(TRIM(LEFT(Tasks[[#This Row],[_Res1Text]],FIND("[",Tasks[[#This Row],[_Res1Text]]&amp;"[")-1)),res_Initials,0),0)))</f>
        <v>0</v>
      </c>
      <c r="DP113" s="43" t="n">
        <f aca="false">IF(Tasks[[#This Row],[_Res2Text]]="",0,IFERROR(MATCH(TRIM(LEFT(Tasks[[#This Row],[_Res2Text]],FIND("[",Tasks[[#This Row],[_Res2Text]]&amp;"[")-1)),res_Name,0),IFERROR(MATCH(TRIM(LEFT(Tasks[[#This Row],[_Res2Text]],FIND("[",Tasks[[#This Row],[_Res2Text]]&amp;"[")-1)),res_Initials,0),0)))</f>
        <v>0</v>
      </c>
      <c r="DQ113" s="43" t="n">
        <f aca="false">IF(Tasks[[#This Row],[_Res3Text]]="",0,IFERROR(MATCH(TRIM(LEFT(Tasks[[#This Row],[_Res3Text]],FIND("[",Tasks[[#This Row],[_Res3Text]]&amp;"[")-1)),res_Name,0),IFERROR(MATCH(TRIM(LEFT(Tasks[[#This Row],[_Res3Text]],FIND("[",Tasks[[#This Row],[_Res3Text]]&amp;"[")-1)),res_Initials,0),0)))</f>
        <v>0</v>
      </c>
      <c r="DR113" s="43" t="n">
        <f aca="false">IF(Tasks[[#This Row],[_Res4Text]]="",0,IFERROR(MATCH(TRIM(LEFT(Tasks[[#This Row],[_Res4Text]],FIND("[",Tasks[[#This Row],[_Res4Text]]&amp;"[")-1)),res_Name,0),IFERROR(MATCH(TRIM(LEFT(Tasks[[#This Row],[_Res4Text]],FIND("[",Tasks[[#This Row],[_Res4Text]]&amp;"[")-1)),res_Initials,0),0)))</f>
        <v>0</v>
      </c>
      <c r="DS113" s="43" t="str">
        <f aca="false">IF(Tasks[[#This Row],[_Res1Text]]="","",IF(Tasks[[#This Row],[_Res1Row]]&gt;0,INDEX(res_Name,Tasks[[#This Row],[_Res1Row]]),TRIM(LEFT(Tasks[[#This Row],[_Res1Text]],FIND("[",Tasks[[#This Row],[_Res1Text]]&amp;"[")-1))))</f>
        <v/>
      </c>
      <c r="DT11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3" s="43" t="n">
        <f aca="false">IF(NOT(Tasks[[#This Row],[_IsLeaf]]=1),0,(Tasks[[#This Row],[_Resource1]]&lt;&gt;"")+(Tasks[[#This Row],[_Res2]]&lt;&gt;"")+(Tasks[[#This Row],[_Res3]]&lt;&gt;"")+(Tasks[[#This Row],[_Res4]]&lt;&gt;""))</f>
        <v>0</v>
      </c>
      <c r="DV113" s="43" t="str">
        <f aca="false">IF(Tasks[[#This Row],[_Res2Text]]="","",IF(Tasks[[#This Row],[_Res2Row]]&gt;0,INDEX(res_Name,Tasks[[#This Row],[_Res2Row]]),TRIM(LEFT(Tasks[[#This Row],[_Res2Text]],FIND("[",Tasks[[#This Row],[_Res2Text]]&amp;"[")-1))))</f>
        <v/>
      </c>
      <c r="DW11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3" s="43" t="n">
        <f aca="false">IF(OR(NOT(Tasks[[#This Row],[_IsLeaf]]=1),Tasks[[#This Row],[_Res2Row]]=0),0,N(Tasks[[#This Row],[_Days]])*HoursPerDay*IF(Tasks[[#This Row],[_Res2Units]]="",DefaultUnits,Tasks[[#This Row],[_Res2Units]]))</f>
        <v>0</v>
      </c>
      <c r="DY113" s="43" t="n">
        <f aca="false">IF(AND(AND(Tasks[[#This Row],[_IsLeaf]]=1,Tasks[[#This Row],[_LeafTotalWork]]&gt;0),Tasks[[#This Row],[_Res2Work]]&gt;0),Tasks[[#This Row],[_Res2Work]]/(Tasks[[#This Row],[_FinishWorkday]]-Tasks[[#This Row],[_StartWorkday]]+1),0)</f>
        <v>0</v>
      </c>
      <c r="DZ113" s="43" t="n">
        <f aca="false">Tasks[[#This Row],[_Res2WorkPerWD]]*MAX(0,Tasks[[#This Row],[_StartWorkday]]-1)</f>
        <v>0</v>
      </c>
      <c r="EA113" s="43" t="n">
        <f aca="false">Tasks[[#This Row],[_Res2Work]]*Tasks[[#This Row],[_LeafProgress]]</f>
        <v>0</v>
      </c>
      <c r="EB113" s="43" t="str">
        <f aca="false">IF(Tasks[[#This Row],[_Res3Text]]="","",IF(Tasks[[#This Row],[_Res3Row]]&gt;0,INDEX(res_Name,Tasks[[#This Row],[_Res3Row]]),TRIM(LEFT(Tasks[[#This Row],[_Res3Text]],FIND("[",Tasks[[#This Row],[_Res3Text]]&amp;"[")-1))))</f>
        <v/>
      </c>
      <c r="EC11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3" s="43" t="n">
        <f aca="false">IF(OR(NOT(Tasks[[#This Row],[_IsLeaf]]=1),Tasks[[#This Row],[_Res3Row]]=0),0,N(Tasks[[#This Row],[_Days]])*HoursPerDay*IF(Tasks[[#This Row],[_Res3Units]]="",DefaultUnits,Tasks[[#This Row],[_Res3Units]]))</f>
        <v>0</v>
      </c>
      <c r="EE113" s="43" t="n">
        <f aca="false">IF(AND(AND(Tasks[[#This Row],[_IsLeaf]]=1,Tasks[[#This Row],[_LeafTotalWork]]&gt;0),Tasks[[#This Row],[_Res3Work]]&gt;0),Tasks[[#This Row],[_Res3Work]]/(Tasks[[#This Row],[_FinishWorkday]]-Tasks[[#This Row],[_StartWorkday]]+1),0)</f>
        <v>0</v>
      </c>
      <c r="EF113" s="43" t="n">
        <f aca="false">Tasks[[#This Row],[_Res3WorkPerWD]]*MAX(0,Tasks[[#This Row],[_StartWorkday]]-1)</f>
        <v>0</v>
      </c>
      <c r="EG113" s="43" t="n">
        <f aca="false">Tasks[[#This Row],[_Res3Work]]*Tasks[[#This Row],[_LeafProgress]]</f>
        <v>0</v>
      </c>
      <c r="EH113" s="43" t="str">
        <f aca="false">IF(Tasks[[#This Row],[_Res4Text]]="","",IF(Tasks[[#This Row],[_Res4Row]]&gt;0,INDEX(res_Name,Tasks[[#This Row],[_Res4Row]]),TRIM(LEFT(Tasks[[#This Row],[_Res4Text]],FIND("[",Tasks[[#This Row],[_Res4Text]]&amp;"[")-1))))</f>
        <v/>
      </c>
      <c r="EI11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3" s="43" t="n">
        <f aca="false">IF(OR(NOT(Tasks[[#This Row],[_IsLeaf]]=1),Tasks[[#This Row],[_Res4Row]]=0),0,N(Tasks[[#This Row],[_Days]])*HoursPerDay*IF(Tasks[[#This Row],[_Res4Units]]="",DefaultUnits,Tasks[[#This Row],[_Res4Units]]))</f>
        <v>0</v>
      </c>
      <c r="EK113" s="43" t="n">
        <f aca="false">IF(AND(AND(Tasks[[#This Row],[_IsLeaf]]=1,Tasks[[#This Row],[_LeafTotalWork]]&gt;0),Tasks[[#This Row],[_Res4Work]]&gt;0),Tasks[[#This Row],[_Res4Work]]/(Tasks[[#This Row],[_FinishWorkday]]-Tasks[[#This Row],[_StartWorkday]]+1),0)</f>
        <v>0</v>
      </c>
      <c r="EL113" s="43" t="n">
        <f aca="false">Tasks[[#This Row],[_Res4WorkPerWD]]*MAX(0,Tasks[[#This Row],[_StartWorkday]]-1)</f>
        <v>0</v>
      </c>
      <c r="EM113" s="43" t="n">
        <f aca="false">Tasks[[#This Row],[_Res4Work]]*Tasks[[#This Row],[_LeafProgress]]</f>
        <v>0</v>
      </c>
      <c r="EN113" s="43" t="n">
        <f aca="false">IF(ISNUMBER(Tasks[[#This Row],[% Complete]]),Tasks[[#This Row],[% Complete]],IF(Tasks[[#This Row],[Stage]]="",0,IFERROR(INDEX(stg_Pct,MATCH(Tasks[[#This Row],[Stage]],stg_Name,0)),0)))</f>
        <v>0</v>
      </c>
      <c r="EO113" s="43" t="n">
        <f aca="false">IF(NOT(Tasks[[#This Row],[_IsLeaf]]=1),0,IF(N(Tasks[[#This Row],[Actual Finish]])&gt;0,1,MIN(1,Tasks[[#This Row],[_Pct]])))</f>
        <v>0</v>
      </c>
      <c r="EP113" s="43" t="n">
        <f aca="false">IF(OR(NOT(Tasks[[#This Row],[_IsLeaf]]=1),Tasks[[#This Row],[_Res1Row]]=0),0,N(Tasks[[#This Row],[_Days]])*HoursPerDay*IF(Tasks[[#This Row],[_Units1]]="",DefaultUnits,Tasks[[#This Row],[_Units1]]))</f>
        <v>0</v>
      </c>
      <c r="EQ113" s="43" t="n">
        <f aca="false">Tasks[[#This Row],[_LeafWork]]+Tasks[[#This Row],[_Res2Work]]+Tasks[[#This Row],[_Res3Work]]+Tasks[[#This Row],[_Res4Work]]</f>
        <v>0</v>
      </c>
      <c r="ER11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3" s="43" t="n">
        <f aca="false">IF(NOT(Tasks[[#This Row],[_IsLeaf]]=1),0,MAX(_xlfn.MAXIFS(Tasks[_Row],Tasks[_Pred1UID],Tasks[[#This Row],[UID]]),_xlfn.MAXIFS(Tasks[_Row],Tasks[_Pred2UID],Tasks[[#This Row],[UID]]),_xlfn.MAXIFS(Tasks[_Row],Tasks[_Pred3UID],Tasks[[#This Row],[UID]]),_xlfn.MAXIFS(Tasks[_Row],Tasks[_Pred4UID],Tasks[[#This Row],[UID]])))</f>
        <v>0</v>
      </c>
      <c r="FA11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3" s="91" t="str">
        <f aca="false">IF(NOT(Tasks[[#This Row],[_IsLeaf]]=1),"",IF(N(Tasks[[#This Row],[_Days]])&lt;=0,Tasks[[#This Row],[_LeafLateFinish]],WORKDAY.INTL(Tasks[[#This Row],[_LeafLateFinish]],-(Tasks[[#This Row],[_Days]]-1),WorkWeek,Holidays)))</f>
        <v/>
      </c>
      <c r="FD11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3" s="90" t="b">
        <f aca="false">AND(Tasks[[#This Row],[_IsLeaf]]=1,Tasks[[#This Row],[_LeafProgress]]&lt;1,N(Tasks[[#This Row],[_LeafTotalSlack]])&lt;=CriticalSlackDays)</f>
        <v>0</v>
      </c>
      <c r="FF113" s="43" t="n">
        <f aca="false">IF(AND(Tasks[[#This Row],[_IsLeaf]]=1,Tasks[[#This Row],[_ConstraintCode]]=1,Tasks[[#This Row],[Mode]]&lt;&gt;"Manual",N(Tasks[[#This Row],[Actual Start]])=0),MAX(0,N(Tasks[[#This Row],[Free Slack]])),0)</f>
        <v>0</v>
      </c>
      <c r="FG113" s="91" t="str">
        <f aca="false">IF(NOT(Tasks[[#This Row],[_IsLeaf]]=1),"",IF(Tasks[[#This Row],[_AlapShift]]=0,Tasks[[#This Row],[_LeafCalcStart]],WORKDAY.INTL(Tasks[[#This Row],[_LeafCalcStart]],Tasks[[#This Row],[_AlapShift]],WorkWeek,Holidays)))</f>
        <v/>
      </c>
      <c r="FH113" s="91" t="str">
        <f aca="false">IF(NOT(Tasks[[#This Row],[_IsLeaf]]=1),"",IF(Tasks[[#This Row],[_AlapShift]]=0,Tasks[[#This Row],[_LeafCalcFinish]],WORKDAY.INTL(Tasks[[#This Row],[_LeafCalcFinish]],Tasks[[#This Row],[_AlapShift]],WorkWeek,Holidays)))</f>
        <v/>
      </c>
      <c r="FI113" s="91" t="str">
        <f aca="false">IF(NOT(Tasks[[#This Row],[_IsLeaf]]=1),"",IF(Tasks[[#This Row],[_AlapShift]]=0,Tasks[[#This Row],[_LeafFcstStart]],WORKDAY.INTL(Tasks[[#This Row],[_LeafFcstStart]],Tasks[[#This Row],[_AlapShift]],WorkWeek,Holidays)))</f>
        <v/>
      </c>
      <c r="FJ113" s="91" t="str">
        <f aca="false">IF(NOT(Tasks[[#This Row],[_IsLeaf]]=1),"",IF(Tasks[[#This Row],[_AlapShift]]=0,Tasks[[#This Row],[_LeafFcstFinish]],WORKDAY.INTL(Tasks[[#This Row],[_LeafFcstFinish]],Tasks[[#This Row],[_AlapShift]],WorkWeek,Holidays)))</f>
        <v/>
      </c>
      <c r="FK113" s="91" t="str">
        <f aca="false">IF(Tasks[[#This Row],[Task Name]]="","",IF(Tasks[[#This Row],[_IsSummary]],MIN(INDEX(Tasks[_ShownCalcStart],Tasks[[#This Row],[_Row]]+1):INDEX(Tasks[_ShownCalcStart],Tasks[[#This Row],[_Row]]+Tasks[[#This Row],[_Descendants]])),Tasks[[#This Row],[_ShownCalcStart]]))</f>
        <v/>
      </c>
      <c r="FL113" s="91" t="str">
        <f aca="false">IF(Tasks[[#This Row],[Task Name]]="","",IF(Tasks[[#This Row],[_IsSummary]],MAX(INDEX(Tasks[_ShownCalcFinish],Tasks[[#This Row],[_Row]]+1):INDEX(Tasks[_ShownCalcFinish],Tasks[[#This Row],[_Row]]+Tasks[[#This Row],[_Descendants]])),Tasks[[#This Row],[_ShownCalcFinish]]))</f>
        <v/>
      </c>
      <c r="FM11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3" s="43" t="n">
        <f aca="false">IF(AND(Tasks[[#This Row],[_IsLeaf]]=1,Tasks[[#This Row],[_LeafTotalWork]]&gt;0),NETWORKDAYS.INTL(ProjectStart,Tasks[[#This Row],[_ShownFcstStart]],WorkWeek,Holidays),0)</f>
        <v>0</v>
      </c>
      <c r="FZ113" s="43" t="n">
        <f aca="false">IF(AND(Tasks[[#This Row],[_IsLeaf]]=1,Tasks[[#This Row],[_LeafTotalWork]]&gt;0),MAX(Tasks[[#This Row],[_StartWorkday]],NETWORKDAYS.INTL(ProjectStart,Tasks[[#This Row],[_ShownFcstFinish]],WorkWeek,Holidays)),0)</f>
        <v>0</v>
      </c>
      <c r="GA113" s="43" t="n">
        <f aca="false">IF(AND(Tasks[[#This Row],[_IsLeaf]]=1,Tasks[[#This Row],[_LeafTotalWork]]&gt;0),Tasks[[#This Row],[_LeafWork]]/(Tasks[[#This Row],[_FinishWorkday]]-Tasks[[#This Row],[_StartWorkday]]+1),0)</f>
        <v>0</v>
      </c>
      <c r="GB113" s="43" t="n">
        <f aca="false">Tasks[[#This Row],[_WorkPerWorkday]]*(Tasks[[#This Row],[_StartWorkday]]-1)</f>
        <v>-0</v>
      </c>
      <c r="GC113" s="43" t="n">
        <f aca="false">IF(Tasks[[#This Row],[_IsLeaf]]=1,MAX(N(Tasks[[#This Row],[_Days]]),0.1),0)</f>
        <v>0</v>
      </c>
      <c r="GD113" s="43" t="n">
        <f aca="false">Tasks[[#This Row],[_WeightDur]]*Tasks[[#This Row],[_LeafProgress]]</f>
        <v>0</v>
      </c>
      <c r="GE113" s="43" t="n">
        <f aca="false">Tasks[[#This Row],[_WeightDur]]*Tasks[[#This Row],[_PlannedPct]]</f>
        <v>0</v>
      </c>
      <c r="GF11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3" s="43" t="str">
        <f aca="false">IF(AND(Tasks[[#This Row],[_IsLeaf]]=1,N(Tasks[[#This Row],[_Days]])=0,Tasks[[#This Row],[_LeafProgress]]&lt;1),Tasks[[#This Row],[_ShownFcstFinish]]+Tasks[[#This Row],[_Row]]/100000,"")</f>
        <v/>
      </c>
      <c r="GH11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3" s="43" t="str">
        <f aca="false">IF(Tasks[[#This Row],[Task Name]]="","",LEFT(Tasks[[#This Row],[WBS]],FIND(".",Tasks[[#This Row],[WBS]]&amp;".")-1))</f>
        <v/>
      </c>
      <c r="GJ113" s="43" t="str">
        <f aca="false">IF(AND(Tasks[[#This Row],[Task Name]]&lt;&gt;"",Tasks[[#This Row],[_Level]]=1),Tasks[[#This Row],[_Row]],"")</f>
        <v/>
      </c>
      <c r="GK113" s="43" t="str">
        <f aca="false">IF(AND(Tasks[[#This Row],[_IsLeaf]]=1,N(Tasks[[#This Row],[_Days]])=0),Tasks[[#This Row],[Planned Finish]]+Tasks[[#This Row],[_Row]]/100000,"")</f>
        <v/>
      </c>
      <c r="GL113" s="43" t="str">
        <f aca="false">IF(AND(Tasks[[#This Row],[_IsLeaf]]=1,Tasks[[#This Row],[_LeafProgress]]&lt;1,OR(N(Tasks[[#This Row],[Finish Var]])&gt;0,Tasks[[#This Row],[Status]]="Late Start")),MAX(0,Tasks[[#This Row],[Finish Var]])+1-Tasks[[#This Row],[_Row]]/1000000,"")</f>
        <v/>
      </c>
      <c r="GM113" s="43" t="str">
        <f aca="false">IF(AND(Tasks[[#This Row],[_IsLeaf]]=1,N(Tasks[[#This Row],[Actual Start]])=0,Tasks[[#This Row],[_ShownFcstStart]]&gt;=StatusDate,Tasks[[#This Row],[_ShownFcstStart]]&lt;=LookaheadEnd),Tasks[[#This Row],[_ShownFcstStart]]+Tasks[[#This Row],[_Row]]/100000,"")</f>
        <v/>
      </c>
      <c r="GN113" s="43" t="str">
        <f aca="false">IF(AND(Tasks[[#This Row],[_IsLeaf]]=1,Tasks[[#This Row],[_LeafProgress]]&lt;1,Tasks[[#This Row],[_ShownFcstFinish]]&gt;=StatusDate,Tasks[[#This Row],[_ShownFcstFinish]]&lt;=LookaheadEnd),Tasks[[#This Row],[_ShownFcstFinish]]+Tasks[[#This Row],[_Row]]/100000,"")</f>
        <v/>
      </c>
      <c r="GO113" s="43" t="str">
        <f aca="false">IF(Tasks[[#This Row],[_LeafCritical]],Tasks[[#This Row],[_ShownFcstStart]]+Tasks[[#This Row],[_Row]]/100000,"")</f>
        <v/>
      </c>
      <c r="GP113" s="43" t="n">
        <f aca="false">Tasks[[#This Row],[_LeafWork]]*Tasks[[#This Row],[_LeafProgress]]</f>
        <v>0</v>
      </c>
      <c r="GQ113" s="91" t="str">
        <f aca="false">IF(AND(Tasks[[#This Row],[_IsLeaf]]=1,Tasks[[#This Row],[_LeafProgress]]&gt;=1),IF(N(Tasks[[#This Row],[Actual Finish]])&gt;0,Tasks[[#This Row],[Actual Finish]],Tasks[[#This Row],[_ShownFcstFinish]]),"")</f>
        <v/>
      </c>
      <c r="GR113" s="43" t="n">
        <f aca="false">IF(Tasks[[#This Row],[_IsLeaf]]=1,N(Tasks[[#This Row],[Story Points]]),0)</f>
        <v>0</v>
      </c>
      <c r="GS113" s="43" t="str">
        <f aca="false">""</f>
        <v/>
      </c>
      <c r="GT113" s="90" t="b">
        <f aca="false">IF(Tasks[[#This Row],[Task Name]]="",FALSE(),AND(Tasks[[#This Row],[_IsLeaf]]=1,N(Tasks[[#This Row],[_Days]])=0))</f>
        <v>0</v>
      </c>
      <c r="GU113" s="91" t="n">
        <f aca="false">IF(Tasks[[#This Row],[Task Name]]="",0,IF(AND(Tasks[[#This Row],[_IsLeaf]]=1,NOT(Tasks[[#This Row],[_IsMilestone]]),N(Tasks[[#This Row],[Progress]])&gt;0),Tasks[[#This Row],[Start]],0))</f>
        <v>0</v>
      </c>
      <c r="GV113" s="91" t="n">
        <f aca="false">IF(Tasks[[#This Row],[_DoneFrom]]=0,0,IF(Tasks[[#This Row],[Progress]]&gt;=1,Tasks[[#This Row],[Finish]],MAX(Tasks[[#This Row],[_DoneFrom]],Tasks[[#This Row],[Start]]+ROUND((Tasks[[#This Row],[Finish]]-Tasks[[#This Row],[Start]]+1)*Tasks[[#This Row],[Progress]],0)-1)))</f>
        <v>0</v>
      </c>
      <c r="GW113" s="91" t="n">
        <f aca="false">IF(Tasks[[#This Row],[Task Name]]="",0,IF(OR(NOT(Tasks[[#This Row],[_IsLeaf]]=1),Tasks[[#This Row],[_IsMilestone]],N(Tasks[[#This Row],[Progress]])&gt;=1),0,IF(Tasks[[#This Row],[_DoneTo]]&gt;0,Tasks[[#This Row],[_DoneTo]]+1,Tasks[[#This Row],[Start]])))</f>
        <v>0</v>
      </c>
      <c r="GX113" s="91" t="n">
        <f aca="false">IF(Tasks[[#This Row],[_RemFrom]]=0,0,Tasks[[#This Row],[Finish]])</f>
        <v>0</v>
      </c>
      <c r="GY113" s="90" t="b">
        <f aca="false">IF(Tasks[[#This Row],[Task Name]]="",FALSE(),OR(NOT(BaselineSet),N(Tasks[[#This Row],[Baseline Start]])&gt;0))</f>
        <v>0</v>
      </c>
      <c r="GZ11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3" s="92" t="str">
        <f aca="false">IF(Tasks[[#This Row],[_IsLeaf]]=1,Tasks[[#This Row],[_Row]],"")</f>
        <v/>
      </c>
      <c r="HD113" s="92" t="str">
        <f aca="false">IFERROR(INDEX(Tasks[UID],SMALL(Tasks[_PickKey],Tasks[[#This Row],[_Row]]))&amp;" "&amp;INDEX(Tasks[Task Name],SMALL(Tasks[_PickKey],Tasks[[#This Row],[_Row]])),"")</f>
        <v/>
      </c>
      <c r="HE113" s="43" t="str">
        <f aca="false">IF(Tasks[[#This Row],[Task Name]]="","",IF(Tasks[[#This Row],[_IsSummary]],NETWORKDAYS.INTL(Tasks[[#This Row],[Start]],Tasks[[#This Row],[Finish]],WorkWeek,Holidays),N(Tasks[[#This Row],[_Days]])))</f>
        <v/>
      </c>
      <c r="HF113" s="43" t="n">
        <f aca="false">IF(Tasks[[#This Row],[Expected]]="",0,((Tasks[[#This Row],[Pessimistic]]-Tasks[[#This Row],[Optimistic]])/6)^2)</f>
        <v>0</v>
      </c>
      <c r="HG113" s="43" t="n">
        <f aca="false">IF(Tasks[[#This Row],[Expected]]="",0,Tasks[[#This Row],[Expected]]-N(Tasks[[#This Row],[_Days]]))</f>
        <v>0</v>
      </c>
    </row>
    <row r="114" customFormat="false" ht="15" hidden="false" customHeight="false" outlineLevel="0" collapsed="false">
      <c r="A114" s="21" t="str">
        <f aca="false">IF(Tasks[[#This Row],[Task Name]]="","",COUNTA(Tasks[[#Headers],[Task Name]]:Tasks[[#This Row],[Task Name]])-1)</f>
        <v/>
      </c>
      <c r="B114" s="22" t="n">
        <v>122</v>
      </c>
      <c r="C114" s="22"/>
      <c r="D114" s="23"/>
      <c r="E114" s="22"/>
      <c r="F114" s="23"/>
      <c r="G114" s="22"/>
      <c r="H114" s="22"/>
      <c r="I114" s="23"/>
      <c r="J114" s="22"/>
      <c r="K114" s="22"/>
      <c r="L114" s="23"/>
      <c r="M114" s="22"/>
      <c r="N114" s="22"/>
      <c r="O114" s="23"/>
      <c r="P114" s="22"/>
      <c r="Q114" s="22"/>
      <c r="R114" s="23"/>
      <c r="S114" s="23"/>
      <c r="T114" s="84"/>
      <c r="U114" s="23"/>
      <c r="V114" s="84"/>
      <c r="W114" s="23"/>
      <c r="X114" s="84"/>
      <c r="Y114" s="23"/>
      <c r="Z114" s="84"/>
      <c r="AA114" s="23"/>
      <c r="AB114" s="23"/>
      <c r="AC114" s="7"/>
      <c r="AD114" s="7"/>
      <c r="AE114" s="63" t="str">
        <f aca="false">IF(Tasks[[#This Row],[Task Name]]="","",IF(Tasks[[#This Row],[_IsSummary]],MIN(INDEX(Tasks[_ShownFcstStart],Tasks[[#This Row],[_Row]]+1):INDEX(Tasks[_ShownFcstStart],Tasks[[#This Row],[_Row]]+Tasks[[#This Row],[_Descendants]])),Tasks[[#This Row],[_ShownFcstStart]]))</f>
        <v/>
      </c>
      <c r="AF114" s="63" t="str">
        <f aca="false">IF(Tasks[[#This Row],[Task Name]]="","",IF(Tasks[[#This Row],[_IsSummary]],MAX(INDEX(Tasks[_ShownFcstFinish],Tasks[[#This Row],[_Row]]+1):INDEX(Tasks[_ShownFcstFinish],Tasks[[#This Row],[_Row]]+Tasks[[#This Row],[_Descendants]])),Tasks[[#This Row],[_ShownFcstFinish]]))</f>
        <v/>
      </c>
      <c r="AG114" s="21" t="str">
        <f aca="false">""</f>
        <v/>
      </c>
      <c r="AH114" s="23"/>
      <c r="AI1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4" s="7"/>
      <c r="AK114" s="22"/>
      <c r="AL114" s="23"/>
      <c r="AM114" s="7"/>
      <c r="AN114" s="47" t="str">
        <f aca="false">IF(Tasks[[#This Row],[Task Name]]="","",IF(Tasks[[#This Row],[Finish]]&gt;=Tasks[[#This Row],[Planned Finish]],NETWORKDAYS.INTL(Tasks[[#This Row],[Planned Finish]],Tasks[[#This Row],[Finish]],WorkWeek,Holidays)-1,1-NETWORKDAYS.INTL(Tasks[[#This Row],[Finish]],Tasks[[#This Row],[Planned Finish]],WorkWeek,Holidays)))</f>
        <v/>
      </c>
      <c r="AO114" s="21" t="str">
        <f aca="false">IF(Tasks[[#This Row],[Task Name]]="","",IF(Tasks[[#This Row],[Progress]]&gt;=1,"Complete",IF(OR(N(Tasks[[#This Row],[Actual Start]])&gt;0,Tasks[[#This Row],[Progress]]&gt;0),IF(Tasks[[#This Row],[Finish Var]]&gt;0,"Behind","In Progress"),IF(Tasks[[#This Row],[Planned Start]]&lt;StatusDate,"Late Start","Not Started"))))</f>
        <v/>
      </c>
      <c r="AP114" s="21" t="str">
        <f aca="false">IF(Tasks[[#This Row],[Task Name]]="","",IF(IF(Tasks[[#This Row],[_IsSummary]],COUNTIF(INDEX(Tasks[_LeafCritical],Tasks[[#This Row],[_Row]]+1):INDEX(Tasks[_LeafCritical],Tasks[[#This Row],[_Row]]+Tasks[[#This Row],[_Descendants]]),TRUE())&gt;0,Tasks[[#This Row],[_LeafCritical]]),"Yes",""))</f>
        <v/>
      </c>
      <c r="AQ114" s="63" t="str">
        <f aca="false">IF(Tasks[[#This Row],[Task Name]]="","",IF(N(Tasks[[#This Row],[Baseline Start]])&gt;0,Tasks[[#This Row],[Baseline Start]],Tasks[[#This Row],[_CalcStart]]))</f>
        <v/>
      </c>
      <c r="AR114" s="63" t="str">
        <f aca="false">IF(Tasks[[#This Row],[Task Name]]="","",IF(N(Tasks[[#This Row],[Baseline Finish]])&gt;0,Tasks[[#This Row],[Baseline Finish]],Tasks[[#This Row],[_CalcFinish]]))</f>
        <v/>
      </c>
      <c r="AS114" s="47" t="str">
        <f aca="false">IF(Tasks[[#This Row],[Task Name]]="","",IF(Tasks[[#This Row],[Start]]&gt;=Tasks[[#This Row],[Planned Start]],NETWORKDAYS.INTL(Tasks[[#This Row],[Planned Start]],Tasks[[#This Row],[Start]],WorkWeek,Holidays)-1,1-NETWORKDAYS.INTL(Tasks[[#This Row],[Start]],Tasks[[#This Row],[Planned Start]],WorkWeek,Holidays)))</f>
        <v/>
      </c>
      <c r="AT114" s="63" t="str">
        <f aca="false">IF(Tasks[[#This Row],[Task Name]]="","",IF(Tasks[[#This Row],[_IsSummary]],MIN(INDEX(Tasks[_LeafLateStart],Tasks[[#This Row],[_Row]]+1):INDEX(Tasks[_LeafLateStart],Tasks[[#This Row],[_Row]]+Tasks[[#This Row],[_Descendants]])),Tasks[[#This Row],[_LeafLateStart]]))</f>
        <v/>
      </c>
      <c r="AU114" s="63" t="str">
        <f aca="false">IF(Tasks[[#This Row],[Task Name]]="","",IF(Tasks[[#This Row],[_IsSummary]],MAX(INDEX(Tasks[_LeafLateFinish],Tasks[[#This Row],[_Row]]+1):INDEX(Tasks[_LeafLateFinish],Tasks[[#This Row],[_Row]]+Tasks[[#This Row],[_Descendants]])),Tasks[[#This Row],[_LeafLateFinish]]))</f>
        <v/>
      </c>
      <c r="AV114" s="47" t="str">
        <f aca="false">IF(Tasks[[#This Row],[Task Name]]="","",IF(Tasks[[#This Row],[_IsSummary]],MIN(INDEX(Tasks[_LeafTotalSlack],Tasks[[#This Row],[_Row]]+1):INDEX(Tasks[_LeafTotalSlack],Tasks[[#This Row],[_Row]]+Tasks[[#This Row],[_Descendants]])),Tasks[[#This Row],[_LeafTotalSlack]]))</f>
        <v/>
      </c>
      <c r="AW1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5"/>
      <c r="BA11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1" t="str">
        <f aca="false">IF(Tasks[[#This Row],[Task Name]]="","",IF(Tasks[[#This Row],[_Level]]&lt;=OutlineShowLevel,"Yes","No"))</f>
        <v/>
      </c>
      <c r="BE114" s="86" t="str">
        <f aca="false">IF(Tasks[[#This Row],[Task Name]]="","",IF(Tasks[[#This Row],[_IsSummary]],SUM(INDEX(Tasks[_LeafTotalWork],Tasks[[#This Row],[_Row]]+1):INDEX(Tasks[_LeafTotalWork],Tasks[[#This Row],[_Row]]+Tasks[[#This Row],[_Descendants]])),Tasks[[#This Row],[_LeafTotalWork]]))</f>
        <v/>
      </c>
      <c r="BF114" s="23"/>
      <c r="BG1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4" s="21" t="str">
        <f aca="false">""</f>
        <v/>
      </c>
      <c r="BI114" s="87"/>
      <c r="BJ114" s="22"/>
      <c r="BK114" s="47" t="str">
        <f aca="false">IF(OR(Tasks[[#This Row],[Task Name]]="",Tasks[[#This Row],[Baseline Duration]]=""),"",Tasks[[#This Row],[_SpanDays]]-N(Tasks[[#This Row],[Baseline Duration]]))</f>
        <v/>
      </c>
      <c r="BL114" s="86" t="str">
        <f aca="false">IF(OR(Tasks[[#This Row],[Task Name]]="",Tasks[[#This Row],[Baseline Work]]=""),"",Tasks[[#This Row],[Work]]-N(Tasks[[#This Row],[Baseline Work]]))</f>
        <v/>
      </c>
      <c r="BM114" s="63" t="str">
        <f aca="false">IF(Tasks[[#This Row],[Task Name]]="","",IF(OR(TakeBaseline="Yes",N(Tasks[[#This Row],[Baseline Start]])=0),Tasks[[#This Row],[Start]],Tasks[[#This Row],[Baseline Start]]))</f>
        <v/>
      </c>
      <c r="BN114" s="63" t="str">
        <f aca="false">IF(Tasks[[#This Row],[Task Name]]="","",IF(OR(TakeBaseline="Yes",N(Tasks[[#This Row],[Baseline Finish]])=0),Tasks[[#This Row],[Finish]],Tasks[[#This Row],[Baseline Finish]]))</f>
        <v/>
      </c>
      <c r="BO114" s="21" t="str">
        <f aca="false">IF(Tasks[[#This Row],[Task Name]]="","",IF(OR(TakeBaseline="Yes",N(Tasks[[#This Row],[Baseline Duration]])=0),Tasks[[#This Row],[_SpanDays]],Tasks[[#This Row],[Baseline Duration]]))</f>
        <v/>
      </c>
      <c r="BP114" s="86" t="str">
        <f aca="false">IF(Tasks[[#This Row],[Task Name]]="","",IF(OR(TakeBaseline="Yes",N(Tasks[[#This Row],[Baseline Work]])=0),Tasks[[#This Row],[Work]],Tasks[[#This Row],[Baseline Work]]))</f>
        <v/>
      </c>
      <c r="BQ114" s="7"/>
      <c r="BR114" s="7"/>
      <c r="BS114" s="22"/>
      <c r="BT114" s="88"/>
      <c r="BU114" s="23"/>
      <c r="BV114" s="23"/>
      <c r="BW114" s="23"/>
      <c r="BX114" s="89" t="str">
        <f aca="false">IF(AND(Tasks[[#This Row],[_IsLeaf]]=1,ISNUMBER(Tasks[[#This Row],[Optimistic]]),ISNUMBER(Tasks[[#This Row],[Pessimistic]])),ROUND((Tasks[[#This Row],[Optimistic]]+4*N(Tasks[[#This Row],[_Days]])+Tasks[[#This Row],[Pessimistic]])/6,1),"")</f>
        <v/>
      </c>
      <c r="BY114" s="87"/>
      <c r="BZ114" s="87"/>
      <c r="CA114" s="22"/>
      <c r="CB114" s="43" t="str">
        <f aca="false">IF(Tasks[[#This Row],[Task Name]]="","",MAX(1,N(Tasks[[#This Row],[Level]])))</f>
        <v/>
      </c>
      <c r="CC114" s="43" t="n">
        <f aca="false">ROW()-ROW(Tasks[[#Headers],[ID]])</f>
        <v>109</v>
      </c>
      <c r="CD114" s="43" t="n">
        <f aca="false">IF(OR(Tasks[[#This Row],[Task Name]]="",Tasks[[#This Row],[_Level]]&lt;=1),0,IFERROR(LOOKUP(2,1/(Tasks[[#Headers],[_Level]]:Tasks[[#This Row],[_Level]]=Tasks[[#This Row],[_Level]]-1),ROW(Tasks[[#Headers],[_Level]]:Tasks[[#This Row],[_Level]])),0))</f>
        <v>0</v>
      </c>
      <c r="CE114" s="43" t="n">
        <f aca="false">IFERROR(N(INDEX(Tasks[_Level],Tasks[[#This Row],[_Row]]+1)),0)</f>
        <v>0</v>
      </c>
      <c r="CF114" s="90" t="b">
        <f aca="false">AND(Tasks[[#This Row],[Task Name]]&lt;&gt;"",Tasks[[#This Row],[_NextLevel]]&gt;Tasks[[#This Row],[_Level]])</f>
        <v>0</v>
      </c>
      <c r="CG114" s="43" t="n">
        <f aca="false">IF(Tasks[[#This Row],[_IsSummary]],COUNTIF(Tasks[WBS],Tasks[[#This Row],[WBS]]&amp;".*"),0)</f>
        <v>0</v>
      </c>
      <c r="CH114" s="43" t="n">
        <f aca="false">IF(AND(Tasks[[#This Row],[Task Name]]&lt;&gt;"",NOT(Tasks[[#This Row],[_IsSummary]])),1,0)</f>
        <v>0</v>
      </c>
      <c r="CI114" s="43" t="n">
        <f aca="false">IF(N(Tasks[[#This Row],[_Pred1UID]])=0,0,IFERROR(MATCH(Tasks[[#This Row],[_Pred1UID]],Tasks[UID],0),-1))</f>
        <v>0</v>
      </c>
      <c r="CJ114" s="43" t="n">
        <f aca="false">IF(N(Tasks[[#This Row],[_Pred2UID]])=0,0,IFERROR(MATCH(Tasks[[#This Row],[_Pred2UID]],Tasks[UID],0),-1))</f>
        <v>0</v>
      </c>
      <c r="CK114" s="43" t="n">
        <f aca="false">IF(N(Tasks[[#This Row],[_Pred3UID]])=0,0,IFERROR(MATCH(Tasks[[#This Row],[_Pred3UID]],Tasks[UID],0),-1))</f>
        <v>0</v>
      </c>
      <c r="CL114" s="43" t="n">
        <f aca="false">IF(N(Tasks[[#This Row],[_Pred4UID]])=0,0,IFERROR(MATCH(Tasks[[#This Row],[_Pred4UID]],Tasks[UID],0),-1))</f>
        <v>0</v>
      </c>
      <c r="CM11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4" s="91" t="n">
        <f aca="false">IF(OR(Tasks[[#This Row],[_ConstraintCode]]=2,Tasks[[#This Row],[_ConstraintCode]]=3,Tasks[[#This Row],[_ConstraintCode]]=4,Tasks[[#This Row],[_ConstraintCode]]=6),Tasks[[#This Row],[_ConstraintStart]],0)</f>
        <v>0</v>
      </c>
      <c r="CP114" s="91" t="n">
        <f aca="false">IF(OR(Tasks[[#This Row],[_ConstraintCode]]=2,Tasks[[#This Row],[_ConstraintCode]]=3,Tasks[[#This Row],[_ConstraintCode]]=5,Tasks[[#This Row],[_ConstraintCode]]=7),Tasks[[#This Row],[_ConstraintStart]],2958465)</f>
        <v>2958465</v>
      </c>
      <c r="CQ11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4" s="91" t="str">
        <f aca="false">IF(NOT(Tasks[[#This Row],[_IsLeaf]]=1),"",IF(N(Tasks[[#This Row],[_Days]])&lt;=0,Tasks[[#This Row],[_LeafCalcStart]],WORKDAY.INTL(Tasks[[#This Row],[_LeafCalcStart]],Tasks[[#This Row],[_Days]]-1,WorkWeek,Holidays)))</f>
        <v/>
      </c>
      <c r="CS11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4" s="43" t="str">
        <f aca="false">IF(Tasks[[#This Row],[_Predecessors]]="","",TRIM(MID(SUBSTITUTE(SUBSTITUTE(SUBSTITUTE(UPPER(Tasks[[#This Row],[_Predecessors]]),";",",")," ",""),",",REPT(" ",99)),1,99)))</f>
        <v/>
      </c>
      <c r="CV114" s="43" t="str">
        <f aca="false">IF(Tasks[[#This Row],[_Pred1Text]]="","",IFERROR(VALUE(LEFT(Tasks[[#This Row],[_Pred1Text]],MIN(FIND("F",Tasks[[#This Row],[_Pred1Text]]&amp;"F"),FIND("S",Tasks[[#This Row],[_Pred1Text]]&amp;"S"),FIND("+",Tasks[[#This Row],[_Pred1Text]]&amp;"+"),FIND("-",Tasks[[#This Row],[_Pred1Text]]&amp;"-"))-1)),""))</f>
        <v/>
      </c>
      <c r="CW11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4" s="43" t="str">
        <f aca="false">IF(Tasks[[#This Row],[_Pred1Text]]="","",TRIM(MID(SUBSTITUTE(SUBSTITUTE(SUBSTITUTE(UPPER(Tasks[[#This Row],[_Predecessors]]),";",",")," ",""),",",REPT(" ",99)),100,99)))</f>
        <v/>
      </c>
      <c r="CZ114" s="43" t="str">
        <f aca="false">IF(Tasks[[#This Row],[_Pred2Text]]="","",IFERROR(VALUE(LEFT(Tasks[[#This Row],[_Pred2Text]],MIN(FIND("F",Tasks[[#This Row],[_Pred2Text]]&amp;"F"),FIND("S",Tasks[[#This Row],[_Pred2Text]]&amp;"S"),FIND("+",Tasks[[#This Row],[_Pred2Text]]&amp;"+"),FIND("-",Tasks[[#This Row],[_Pred2Text]]&amp;"-"))-1)),""))</f>
        <v/>
      </c>
      <c r="DA11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4" s="43" t="str">
        <f aca="false">IF(Tasks[[#This Row],[_Pred2Text]]="","",TRIM(MID(SUBSTITUTE(SUBSTITUTE(SUBSTITUTE(UPPER(Tasks[[#This Row],[_Predecessors]]),";",",")," ",""),",",REPT(" ",99)),199,99)))</f>
        <v/>
      </c>
      <c r="DD114" s="43" t="str">
        <f aca="false">IF(Tasks[[#This Row],[_Pred3Text]]="","",IFERROR(VALUE(LEFT(Tasks[[#This Row],[_Pred3Text]],MIN(FIND("F",Tasks[[#This Row],[_Pred3Text]]&amp;"F"),FIND("S",Tasks[[#This Row],[_Pred3Text]]&amp;"S"),FIND("+",Tasks[[#This Row],[_Pred3Text]]&amp;"+"),FIND("-",Tasks[[#This Row],[_Pred3Text]]&amp;"-"))-1)),""))</f>
        <v/>
      </c>
      <c r="DE11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4" s="43" t="str">
        <f aca="false">IF(Tasks[[#This Row],[_Pred3Text]]="","",TRIM(MID(SUBSTITUTE(SUBSTITUTE(SUBSTITUTE(UPPER(Tasks[[#This Row],[_Predecessors]]),";",",")," ",""),",",REPT(" ",99)),298,99)))</f>
        <v/>
      </c>
      <c r="DH114" s="43" t="str">
        <f aca="false">IF(Tasks[[#This Row],[_Pred4Text]]="","",IFERROR(VALUE(LEFT(Tasks[[#This Row],[_Pred4Text]],MIN(FIND("F",Tasks[[#This Row],[_Pred4Text]]&amp;"F"),FIND("S",Tasks[[#This Row],[_Pred4Text]]&amp;"S"),FIND("+",Tasks[[#This Row],[_Pred4Text]]&amp;"+"),FIND("-",Tasks[[#This Row],[_Pred4Text]]&amp;"-"))-1)),""))</f>
        <v/>
      </c>
      <c r="DI11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4" s="43" t="str">
        <f aca="false">IF(OR(Tasks[[#This Row],[Task Name]]="",Tasks[[#This Row],[_Resources]]=""),"",TRIM(MID(SUBSTITUTE(Tasks[[#This Row],[_Resources]],",",REPT(" ",99)),1,99)))</f>
        <v/>
      </c>
      <c r="DL114" s="43" t="str">
        <f aca="false">IF(Tasks[[#This Row],[_Res1Text]]="","",TRIM(MID(SUBSTITUTE(Tasks[[#This Row],[_Resources]],",",REPT(" ",99)),100,99)))</f>
        <v/>
      </c>
      <c r="DM114" s="43" t="str">
        <f aca="false">IF(Tasks[[#This Row],[_Res2Text]]="","",TRIM(MID(SUBSTITUTE(Tasks[[#This Row],[_Resources]],",",REPT(" ",99)),199,99)))</f>
        <v/>
      </c>
      <c r="DN114" s="43" t="str">
        <f aca="false">IF(Tasks[[#This Row],[_Res3Text]]="","",TRIM(MID(SUBSTITUTE(Tasks[[#This Row],[_Resources]],",",REPT(" ",99)),298,99)))</f>
        <v/>
      </c>
      <c r="DO114" s="43" t="n">
        <f aca="false">IF(Tasks[[#This Row],[_Res1Text]]="",0,IFERROR(MATCH(TRIM(LEFT(Tasks[[#This Row],[_Res1Text]],FIND("[",Tasks[[#This Row],[_Res1Text]]&amp;"[")-1)),res_Name,0),IFERROR(MATCH(TRIM(LEFT(Tasks[[#This Row],[_Res1Text]],FIND("[",Tasks[[#This Row],[_Res1Text]]&amp;"[")-1)),res_Initials,0),0)))</f>
        <v>0</v>
      </c>
      <c r="DP114" s="43" t="n">
        <f aca="false">IF(Tasks[[#This Row],[_Res2Text]]="",0,IFERROR(MATCH(TRIM(LEFT(Tasks[[#This Row],[_Res2Text]],FIND("[",Tasks[[#This Row],[_Res2Text]]&amp;"[")-1)),res_Name,0),IFERROR(MATCH(TRIM(LEFT(Tasks[[#This Row],[_Res2Text]],FIND("[",Tasks[[#This Row],[_Res2Text]]&amp;"[")-1)),res_Initials,0),0)))</f>
        <v>0</v>
      </c>
      <c r="DQ114" s="43" t="n">
        <f aca="false">IF(Tasks[[#This Row],[_Res3Text]]="",0,IFERROR(MATCH(TRIM(LEFT(Tasks[[#This Row],[_Res3Text]],FIND("[",Tasks[[#This Row],[_Res3Text]]&amp;"[")-1)),res_Name,0),IFERROR(MATCH(TRIM(LEFT(Tasks[[#This Row],[_Res3Text]],FIND("[",Tasks[[#This Row],[_Res3Text]]&amp;"[")-1)),res_Initials,0),0)))</f>
        <v>0</v>
      </c>
      <c r="DR114" s="43" t="n">
        <f aca="false">IF(Tasks[[#This Row],[_Res4Text]]="",0,IFERROR(MATCH(TRIM(LEFT(Tasks[[#This Row],[_Res4Text]],FIND("[",Tasks[[#This Row],[_Res4Text]]&amp;"[")-1)),res_Name,0),IFERROR(MATCH(TRIM(LEFT(Tasks[[#This Row],[_Res4Text]],FIND("[",Tasks[[#This Row],[_Res4Text]]&amp;"[")-1)),res_Initials,0),0)))</f>
        <v>0</v>
      </c>
      <c r="DS114" s="43" t="str">
        <f aca="false">IF(Tasks[[#This Row],[_Res1Text]]="","",IF(Tasks[[#This Row],[_Res1Row]]&gt;0,INDEX(res_Name,Tasks[[#This Row],[_Res1Row]]),TRIM(LEFT(Tasks[[#This Row],[_Res1Text]],FIND("[",Tasks[[#This Row],[_Res1Text]]&amp;"[")-1))))</f>
        <v/>
      </c>
      <c r="DT11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4" s="43" t="n">
        <f aca="false">IF(NOT(Tasks[[#This Row],[_IsLeaf]]=1),0,(Tasks[[#This Row],[_Resource1]]&lt;&gt;"")+(Tasks[[#This Row],[_Res2]]&lt;&gt;"")+(Tasks[[#This Row],[_Res3]]&lt;&gt;"")+(Tasks[[#This Row],[_Res4]]&lt;&gt;""))</f>
        <v>0</v>
      </c>
      <c r="DV114" s="43" t="str">
        <f aca="false">IF(Tasks[[#This Row],[_Res2Text]]="","",IF(Tasks[[#This Row],[_Res2Row]]&gt;0,INDEX(res_Name,Tasks[[#This Row],[_Res2Row]]),TRIM(LEFT(Tasks[[#This Row],[_Res2Text]],FIND("[",Tasks[[#This Row],[_Res2Text]]&amp;"[")-1))))</f>
        <v/>
      </c>
      <c r="DW11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4" s="43" t="n">
        <f aca="false">IF(OR(NOT(Tasks[[#This Row],[_IsLeaf]]=1),Tasks[[#This Row],[_Res2Row]]=0),0,N(Tasks[[#This Row],[_Days]])*HoursPerDay*IF(Tasks[[#This Row],[_Res2Units]]="",DefaultUnits,Tasks[[#This Row],[_Res2Units]]))</f>
        <v>0</v>
      </c>
      <c r="DY114" s="43" t="n">
        <f aca="false">IF(AND(AND(Tasks[[#This Row],[_IsLeaf]]=1,Tasks[[#This Row],[_LeafTotalWork]]&gt;0),Tasks[[#This Row],[_Res2Work]]&gt;0),Tasks[[#This Row],[_Res2Work]]/(Tasks[[#This Row],[_FinishWorkday]]-Tasks[[#This Row],[_StartWorkday]]+1),0)</f>
        <v>0</v>
      </c>
      <c r="DZ114" s="43" t="n">
        <f aca="false">Tasks[[#This Row],[_Res2WorkPerWD]]*MAX(0,Tasks[[#This Row],[_StartWorkday]]-1)</f>
        <v>0</v>
      </c>
      <c r="EA114" s="43" t="n">
        <f aca="false">Tasks[[#This Row],[_Res2Work]]*Tasks[[#This Row],[_LeafProgress]]</f>
        <v>0</v>
      </c>
      <c r="EB114" s="43" t="str">
        <f aca="false">IF(Tasks[[#This Row],[_Res3Text]]="","",IF(Tasks[[#This Row],[_Res3Row]]&gt;0,INDEX(res_Name,Tasks[[#This Row],[_Res3Row]]),TRIM(LEFT(Tasks[[#This Row],[_Res3Text]],FIND("[",Tasks[[#This Row],[_Res3Text]]&amp;"[")-1))))</f>
        <v/>
      </c>
      <c r="EC11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4" s="43" t="n">
        <f aca="false">IF(OR(NOT(Tasks[[#This Row],[_IsLeaf]]=1),Tasks[[#This Row],[_Res3Row]]=0),0,N(Tasks[[#This Row],[_Days]])*HoursPerDay*IF(Tasks[[#This Row],[_Res3Units]]="",DefaultUnits,Tasks[[#This Row],[_Res3Units]]))</f>
        <v>0</v>
      </c>
      <c r="EE114" s="43" t="n">
        <f aca="false">IF(AND(AND(Tasks[[#This Row],[_IsLeaf]]=1,Tasks[[#This Row],[_LeafTotalWork]]&gt;0),Tasks[[#This Row],[_Res3Work]]&gt;0),Tasks[[#This Row],[_Res3Work]]/(Tasks[[#This Row],[_FinishWorkday]]-Tasks[[#This Row],[_StartWorkday]]+1),0)</f>
        <v>0</v>
      </c>
      <c r="EF114" s="43" t="n">
        <f aca="false">Tasks[[#This Row],[_Res3WorkPerWD]]*MAX(0,Tasks[[#This Row],[_StartWorkday]]-1)</f>
        <v>0</v>
      </c>
      <c r="EG114" s="43" t="n">
        <f aca="false">Tasks[[#This Row],[_Res3Work]]*Tasks[[#This Row],[_LeafProgress]]</f>
        <v>0</v>
      </c>
      <c r="EH114" s="43" t="str">
        <f aca="false">IF(Tasks[[#This Row],[_Res4Text]]="","",IF(Tasks[[#This Row],[_Res4Row]]&gt;0,INDEX(res_Name,Tasks[[#This Row],[_Res4Row]]),TRIM(LEFT(Tasks[[#This Row],[_Res4Text]],FIND("[",Tasks[[#This Row],[_Res4Text]]&amp;"[")-1))))</f>
        <v/>
      </c>
      <c r="EI11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4" s="43" t="n">
        <f aca="false">IF(OR(NOT(Tasks[[#This Row],[_IsLeaf]]=1),Tasks[[#This Row],[_Res4Row]]=0),0,N(Tasks[[#This Row],[_Days]])*HoursPerDay*IF(Tasks[[#This Row],[_Res4Units]]="",DefaultUnits,Tasks[[#This Row],[_Res4Units]]))</f>
        <v>0</v>
      </c>
      <c r="EK114" s="43" t="n">
        <f aca="false">IF(AND(AND(Tasks[[#This Row],[_IsLeaf]]=1,Tasks[[#This Row],[_LeafTotalWork]]&gt;0),Tasks[[#This Row],[_Res4Work]]&gt;0),Tasks[[#This Row],[_Res4Work]]/(Tasks[[#This Row],[_FinishWorkday]]-Tasks[[#This Row],[_StartWorkday]]+1),0)</f>
        <v>0</v>
      </c>
      <c r="EL114" s="43" t="n">
        <f aca="false">Tasks[[#This Row],[_Res4WorkPerWD]]*MAX(0,Tasks[[#This Row],[_StartWorkday]]-1)</f>
        <v>0</v>
      </c>
      <c r="EM114" s="43" t="n">
        <f aca="false">Tasks[[#This Row],[_Res4Work]]*Tasks[[#This Row],[_LeafProgress]]</f>
        <v>0</v>
      </c>
      <c r="EN114" s="43" t="n">
        <f aca="false">IF(ISNUMBER(Tasks[[#This Row],[% Complete]]),Tasks[[#This Row],[% Complete]],IF(Tasks[[#This Row],[Stage]]="",0,IFERROR(INDEX(stg_Pct,MATCH(Tasks[[#This Row],[Stage]],stg_Name,0)),0)))</f>
        <v>0</v>
      </c>
      <c r="EO114" s="43" t="n">
        <f aca="false">IF(NOT(Tasks[[#This Row],[_IsLeaf]]=1),0,IF(N(Tasks[[#This Row],[Actual Finish]])&gt;0,1,MIN(1,Tasks[[#This Row],[_Pct]])))</f>
        <v>0</v>
      </c>
      <c r="EP114" s="43" t="n">
        <f aca="false">IF(OR(NOT(Tasks[[#This Row],[_IsLeaf]]=1),Tasks[[#This Row],[_Res1Row]]=0),0,N(Tasks[[#This Row],[_Days]])*HoursPerDay*IF(Tasks[[#This Row],[_Units1]]="",DefaultUnits,Tasks[[#This Row],[_Units1]]))</f>
        <v>0</v>
      </c>
      <c r="EQ114" s="43" t="n">
        <f aca="false">Tasks[[#This Row],[_LeafWork]]+Tasks[[#This Row],[_Res2Work]]+Tasks[[#This Row],[_Res3Work]]+Tasks[[#This Row],[_Res4Work]]</f>
        <v>0</v>
      </c>
      <c r="ER11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4" s="43" t="n">
        <f aca="false">IF(NOT(Tasks[[#This Row],[_IsLeaf]]=1),0,MAX(_xlfn.MAXIFS(Tasks[_Row],Tasks[_Pred1UID],Tasks[[#This Row],[UID]]),_xlfn.MAXIFS(Tasks[_Row],Tasks[_Pred2UID],Tasks[[#This Row],[UID]]),_xlfn.MAXIFS(Tasks[_Row],Tasks[_Pred3UID],Tasks[[#This Row],[UID]]),_xlfn.MAXIFS(Tasks[_Row],Tasks[_Pred4UID],Tasks[[#This Row],[UID]])))</f>
        <v>0</v>
      </c>
      <c r="FA11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4" s="91" t="str">
        <f aca="false">IF(NOT(Tasks[[#This Row],[_IsLeaf]]=1),"",IF(N(Tasks[[#This Row],[_Days]])&lt;=0,Tasks[[#This Row],[_LeafLateFinish]],WORKDAY.INTL(Tasks[[#This Row],[_LeafLateFinish]],-(Tasks[[#This Row],[_Days]]-1),WorkWeek,Holidays)))</f>
        <v/>
      </c>
      <c r="FD11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4" s="90" t="b">
        <f aca="false">AND(Tasks[[#This Row],[_IsLeaf]]=1,Tasks[[#This Row],[_LeafProgress]]&lt;1,N(Tasks[[#This Row],[_LeafTotalSlack]])&lt;=CriticalSlackDays)</f>
        <v>0</v>
      </c>
      <c r="FF114" s="43" t="n">
        <f aca="false">IF(AND(Tasks[[#This Row],[_IsLeaf]]=1,Tasks[[#This Row],[_ConstraintCode]]=1,Tasks[[#This Row],[Mode]]&lt;&gt;"Manual",N(Tasks[[#This Row],[Actual Start]])=0),MAX(0,N(Tasks[[#This Row],[Free Slack]])),0)</f>
        <v>0</v>
      </c>
      <c r="FG114" s="91" t="str">
        <f aca="false">IF(NOT(Tasks[[#This Row],[_IsLeaf]]=1),"",IF(Tasks[[#This Row],[_AlapShift]]=0,Tasks[[#This Row],[_LeafCalcStart]],WORKDAY.INTL(Tasks[[#This Row],[_LeafCalcStart]],Tasks[[#This Row],[_AlapShift]],WorkWeek,Holidays)))</f>
        <v/>
      </c>
      <c r="FH114" s="91" t="str">
        <f aca="false">IF(NOT(Tasks[[#This Row],[_IsLeaf]]=1),"",IF(Tasks[[#This Row],[_AlapShift]]=0,Tasks[[#This Row],[_LeafCalcFinish]],WORKDAY.INTL(Tasks[[#This Row],[_LeafCalcFinish]],Tasks[[#This Row],[_AlapShift]],WorkWeek,Holidays)))</f>
        <v/>
      </c>
      <c r="FI114" s="91" t="str">
        <f aca="false">IF(NOT(Tasks[[#This Row],[_IsLeaf]]=1),"",IF(Tasks[[#This Row],[_AlapShift]]=0,Tasks[[#This Row],[_LeafFcstStart]],WORKDAY.INTL(Tasks[[#This Row],[_LeafFcstStart]],Tasks[[#This Row],[_AlapShift]],WorkWeek,Holidays)))</f>
        <v/>
      </c>
      <c r="FJ114" s="91" t="str">
        <f aca="false">IF(NOT(Tasks[[#This Row],[_IsLeaf]]=1),"",IF(Tasks[[#This Row],[_AlapShift]]=0,Tasks[[#This Row],[_LeafFcstFinish]],WORKDAY.INTL(Tasks[[#This Row],[_LeafFcstFinish]],Tasks[[#This Row],[_AlapShift]],WorkWeek,Holidays)))</f>
        <v/>
      </c>
      <c r="FK114" s="91" t="str">
        <f aca="false">IF(Tasks[[#This Row],[Task Name]]="","",IF(Tasks[[#This Row],[_IsSummary]],MIN(INDEX(Tasks[_ShownCalcStart],Tasks[[#This Row],[_Row]]+1):INDEX(Tasks[_ShownCalcStart],Tasks[[#This Row],[_Row]]+Tasks[[#This Row],[_Descendants]])),Tasks[[#This Row],[_ShownCalcStart]]))</f>
        <v/>
      </c>
      <c r="FL114" s="91" t="str">
        <f aca="false">IF(Tasks[[#This Row],[Task Name]]="","",IF(Tasks[[#This Row],[_IsSummary]],MAX(INDEX(Tasks[_ShownCalcFinish],Tasks[[#This Row],[_Row]]+1):INDEX(Tasks[_ShownCalcFinish],Tasks[[#This Row],[_Row]]+Tasks[[#This Row],[_Descendants]])),Tasks[[#This Row],[_ShownCalcFinish]]))</f>
        <v/>
      </c>
      <c r="FM11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4" s="43" t="n">
        <f aca="false">IF(AND(Tasks[[#This Row],[_IsLeaf]]=1,Tasks[[#This Row],[_LeafTotalWork]]&gt;0),NETWORKDAYS.INTL(ProjectStart,Tasks[[#This Row],[_ShownFcstStart]],WorkWeek,Holidays),0)</f>
        <v>0</v>
      </c>
      <c r="FZ114" s="43" t="n">
        <f aca="false">IF(AND(Tasks[[#This Row],[_IsLeaf]]=1,Tasks[[#This Row],[_LeafTotalWork]]&gt;0),MAX(Tasks[[#This Row],[_StartWorkday]],NETWORKDAYS.INTL(ProjectStart,Tasks[[#This Row],[_ShownFcstFinish]],WorkWeek,Holidays)),0)</f>
        <v>0</v>
      </c>
      <c r="GA114" s="43" t="n">
        <f aca="false">IF(AND(Tasks[[#This Row],[_IsLeaf]]=1,Tasks[[#This Row],[_LeafTotalWork]]&gt;0),Tasks[[#This Row],[_LeafWork]]/(Tasks[[#This Row],[_FinishWorkday]]-Tasks[[#This Row],[_StartWorkday]]+1),0)</f>
        <v>0</v>
      </c>
      <c r="GB114" s="43" t="n">
        <f aca="false">Tasks[[#This Row],[_WorkPerWorkday]]*(Tasks[[#This Row],[_StartWorkday]]-1)</f>
        <v>-0</v>
      </c>
      <c r="GC114" s="43" t="n">
        <f aca="false">IF(Tasks[[#This Row],[_IsLeaf]]=1,MAX(N(Tasks[[#This Row],[_Days]]),0.1),0)</f>
        <v>0</v>
      </c>
      <c r="GD114" s="43" t="n">
        <f aca="false">Tasks[[#This Row],[_WeightDur]]*Tasks[[#This Row],[_LeafProgress]]</f>
        <v>0</v>
      </c>
      <c r="GE114" s="43" t="n">
        <f aca="false">Tasks[[#This Row],[_WeightDur]]*Tasks[[#This Row],[_PlannedPct]]</f>
        <v>0</v>
      </c>
      <c r="GF11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4" s="43" t="str">
        <f aca="false">IF(AND(Tasks[[#This Row],[_IsLeaf]]=1,N(Tasks[[#This Row],[_Days]])=0,Tasks[[#This Row],[_LeafProgress]]&lt;1),Tasks[[#This Row],[_ShownFcstFinish]]+Tasks[[#This Row],[_Row]]/100000,"")</f>
        <v/>
      </c>
      <c r="GH11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4" s="43" t="str">
        <f aca="false">IF(Tasks[[#This Row],[Task Name]]="","",LEFT(Tasks[[#This Row],[WBS]],FIND(".",Tasks[[#This Row],[WBS]]&amp;".")-1))</f>
        <v/>
      </c>
      <c r="GJ114" s="43" t="str">
        <f aca="false">IF(AND(Tasks[[#This Row],[Task Name]]&lt;&gt;"",Tasks[[#This Row],[_Level]]=1),Tasks[[#This Row],[_Row]],"")</f>
        <v/>
      </c>
      <c r="GK114" s="43" t="str">
        <f aca="false">IF(AND(Tasks[[#This Row],[_IsLeaf]]=1,N(Tasks[[#This Row],[_Days]])=0),Tasks[[#This Row],[Planned Finish]]+Tasks[[#This Row],[_Row]]/100000,"")</f>
        <v/>
      </c>
      <c r="GL114" s="43" t="str">
        <f aca="false">IF(AND(Tasks[[#This Row],[_IsLeaf]]=1,Tasks[[#This Row],[_LeafProgress]]&lt;1,OR(N(Tasks[[#This Row],[Finish Var]])&gt;0,Tasks[[#This Row],[Status]]="Late Start")),MAX(0,Tasks[[#This Row],[Finish Var]])+1-Tasks[[#This Row],[_Row]]/1000000,"")</f>
        <v/>
      </c>
      <c r="GM114" s="43" t="str">
        <f aca="false">IF(AND(Tasks[[#This Row],[_IsLeaf]]=1,N(Tasks[[#This Row],[Actual Start]])=0,Tasks[[#This Row],[_ShownFcstStart]]&gt;=StatusDate,Tasks[[#This Row],[_ShownFcstStart]]&lt;=LookaheadEnd),Tasks[[#This Row],[_ShownFcstStart]]+Tasks[[#This Row],[_Row]]/100000,"")</f>
        <v/>
      </c>
      <c r="GN114" s="43" t="str">
        <f aca="false">IF(AND(Tasks[[#This Row],[_IsLeaf]]=1,Tasks[[#This Row],[_LeafProgress]]&lt;1,Tasks[[#This Row],[_ShownFcstFinish]]&gt;=StatusDate,Tasks[[#This Row],[_ShownFcstFinish]]&lt;=LookaheadEnd),Tasks[[#This Row],[_ShownFcstFinish]]+Tasks[[#This Row],[_Row]]/100000,"")</f>
        <v/>
      </c>
      <c r="GO114" s="43" t="str">
        <f aca="false">IF(Tasks[[#This Row],[_LeafCritical]],Tasks[[#This Row],[_ShownFcstStart]]+Tasks[[#This Row],[_Row]]/100000,"")</f>
        <v/>
      </c>
      <c r="GP114" s="43" t="n">
        <f aca="false">Tasks[[#This Row],[_LeafWork]]*Tasks[[#This Row],[_LeafProgress]]</f>
        <v>0</v>
      </c>
      <c r="GQ114" s="91" t="str">
        <f aca="false">IF(AND(Tasks[[#This Row],[_IsLeaf]]=1,Tasks[[#This Row],[_LeafProgress]]&gt;=1),IF(N(Tasks[[#This Row],[Actual Finish]])&gt;0,Tasks[[#This Row],[Actual Finish]],Tasks[[#This Row],[_ShownFcstFinish]]),"")</f>
        <v/>
      </c>
      <c r="GR114" s="43" t="n">
        <f aca="false">IF(Tasks[[#This Row],[_IsLeaf]]=1,N(Tasks[[#This Row],[Story Points]]),0)</f>
        <v>0</v>
      </c>
      <c r="GS114" s="43" t="str">
        <f aca="false">""</f>
        <v/>
      </c>
      <c r="GT114" s="90" t="b">
        <f aca="false">IF(Tasks[[#This Row],[Task Name]]="",FALSE(),AND(Tasks[[#This Row],[_IsLeaf]]=1,N(Tasks[[#This Row],[_Days]])=0))</f>
        <v>0</v>
      </c>
      <c r="GU114" s="91" t="n">
        <f aca="false">IF(Tasks[[#This Row],[Task Name]]="",0,IF(AND(Tasks[[#This Row],[_IsLeaf]]=1,NOT(Tasks[[#This Row],[_IsMilestone]]),N(Tasks[[#This Row],[Progress]])&gt;0),Tasks[[#This Row],[Start]],0))</f>
        <v>0</v>
      </c>
      <c r="GV114" s="91" t="n">
        <f aca="false">IF(Tasks[[#This Row],[_DoneFrom]]=0,0,IF(Tasks[[#This Row],[Progress]]&gt;=1,Tasks[[#This Row],[Finish]],MAX(Tasks[[#This Row],[_DoneFrom]],Tasks[[#This Row],[Start]]+ROUND((Tasks[[#This Row],[Finish]]-Tasks[[#This Row],[Start]]+1)*Tasks[[#This Row],[Progress]],0)-1)))</f>
        <v>0</v>
      </c>
      <c r="GW114" s="91" t="n">
        <f aca="false">IF(Tasks[[#This Row],[Task Name]]="",0,IF(OR(NOT(Tasks[[#This Row],[_IsLeaf]]=1),Tasks[[#This Row],[_IsMilestone]],N(Tasks[[#This Row],[Progress]])&gt;=1),0,IF(Tasks[[#This Row],[_DoneTo]]&gt;0,Tasks[[#This Row],[_DoneTo]]+1,Tasks[[#This Row],[Start]])))</f>
        <v>0</v>
      </c>
      <c r="GX114" s="91" t="n">
        <f aca="false">IF(Tasks[[#This Row],[_RemFrom]]=0,0,Tasks[[#This Row],[Finish]])</f>
        <v>0</v>
      </c>
      <c r="GY114" s="90" t="b">
        <f aca="false">IF(Tasks[[#This Row],[Task Name]]="",FALSE(),OR(NOT(BaselineSet),N(Tasks[[#This Row],[Baseline Start]])&gt;0))</f>
        <v>0</v>
      </c>
      <c r="GZ11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4" s="92" t="str">
        <f aca="false">IF(Tasks[[#This Row],[_IsLeaf]]=1,Tasks[[#This Row],[_Row]],"")</f>
        <v/>
      </c>
      <c r="HD114" s="92" t="str">
        <f aca="false">IFERROR(INDEX(Tasks[UID],SMALL(Tasks[_PickKey],Tasks[[#This Row],[_Row]]))&amp;" "&amp;INDEX(Tasks[Task Name],SMALL(Tasks[_PickKey],Tasks[[#This Row],[_Row]])),"")</f>
        <v/>
      </c>
      <c r="HE114" s="43" t="str">
        <f aca="false">IF(Tasks[[#This Row],[Task Name]]="","",IF(Tasks[[#This Row],[_IsSummary]],NETWORKDAYS.INTL(Tasks[[#This Row],[Start]],Tasks[[#This Row],[Finish]],WorkWeek,Holidays),N(Tasks[[#This Row],[_Days]])))</f>
        <v/>
      </c>
      <c r="HF114" s="43" t="n">
        <f aca="false">IF(Tasks[[#This Row],[Expected]]="",0,((Tasks[[#This Row],[Pessimistic]]-Tasks[[#This Row],[Optimistic]])/6)^2)</f>
        <v>0</v>
      </c>
      <c r="HG114" s="43" t="n">
        <f aca="false">IF(Tasks[[#This Row],[Expected]]="",0,Tasks[[#This Row],[Expected]]-N(Tasks[[#This Row],[_Days]]))</f>
        <v>0</v>
      </c>
    </row>
    <row r="115" customFormat="false" ht="15" hidden="false" customHeight="false" outlineLevel="0" collapsed="false">
      <c r="A115" s="21" t="str">
        <f aca="false">IF(Tasks[[#This Row],[Task Name]]="","",COUNTA(Tasks[[#Headers],[Task Name]]:Tasks[[#This Row],[Task Name]])-1)</f>
        <v/>
      </c>
      <c r="B115" s="22" t="n">
        <v>123</v>
      </c>
      <c r="C115" s="22"/>
      <c r="D115" s="23"/>
      <c r="E115" s="22"/>
      <c r="F115" s="23"/>
      <c r="G115" s="22"/>
      <c r="H115" s="22"/>
      <c r="I115" s="23"/>
      <c r="J115" s="22"/>
      <c r="K115" s="22"/>
      <c r="L115" s="23"/>
      <c r="M115" s="22"/>
      <c r="N115" s="22"/>
      <c r="O115" s="23"/>
      <c r="P115" s="22"/>
      <c r="Q115" s="22"/>
      <c r="R115" s="23"/>
      <c r="S115" s="23"/>
      <c r="T115" s="84"/>
      <c r="U115" s="23"/>
      <c r="V115" s="84"/>
      <c r="W115" s="23"/>
      <c r="X115" s="84"/>
      <c r="Y115" s="23"/>
      <c r="Z115" s="84"/>
      <c r="AA115" s="23"/>
      <c r="AB115" s="23"/>
      <c r="AC115" s="7"/>
      <c r="AD115" s="7"/>
      <c r="AE115" s="63" t="str">
        <f aca="false">IF(Tasks[[#This Row],[Task Name]]="","",IF(Tasks[[#This Row],[_IsSummary]],MIN(INDEX(Tasks[_ShownFcstStart],Tasks[[#This Row],[_Row]]+1):INDEX(Tasks[_ShownFcstStart],Tasks[[#This Row],[_Row]]+Tasks[[#This Row],[_Descendants]])),Tasks[[#This Row],[_ShownFcstStart]]))</f>
        <v/>
      </c>
      <c r="AF115" s="63" t="str">
        <f aca="false">IF(Tasks[[#This Row],[Task Name]]="","",IF(Tasks[[#This Row],[_IsSummary]],MAX(INDEX(Tasks[_ShownFcstFinish],Tasks[[#This Row],[_Row]]+1):INDEX(Tasks[_ShownFcstFinish],Tasks[[#This Row],[_Row]]+Tasks[[#This Row],[_Descendants]])),Tasks[[#This Row],[_ShownFcstFinish]]))</f>
        <v/>
      </c>
      <c r="AG115" s="21" t="str">
        <f aca="false">""</f>
        <v/>
      </c>
      <c r="AH115" s="23"/>
      <c r="AI1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5" s="7"/>
      <c r="AK115" s="22"/>
      <c r="AL115" s="23"/>
      <c r="AM115" s="7"/>
      <c r="AN115" s="47" t="str">
        <f aca="false">IF(Tasks[[#This Row],[Task Name]]="","",IF(Tasks[[#This Row],[Finish]]&gt;=Tasks[[#This Row],[Planned Finish]],NETWORKDAYS.INTL(Tasks[[#This Row],[Planned Finish]],Tasks[[#This Row],[Finish]],WorkWeek,Holidays)-1,1-NETWORKDAYS.INTL(Tasks[[#This Row],[Finish]],Tasks[[#This Row],[Planned Finish]],WorkWeek,Holidays)))</f>
        <v/>
      </c>
      <c r="AO115" s="21" t="str">
        <f aca="false">IF(Tasks[[#This Row],[Task Name]]="","",IF(Tasks[[#This Row],[Progress]]&gt;=1,"Complete",IF(OR(N(Tasks[[#This Row],[Actual Start]])&gt;0,Tasks[[#This Row],[Progress]]&gt;0),IF(Tasks[[#This Row],[Finish Var]]&gt;0,"Behind","In Progress"),IF(Tasks[[#This Row],[Planned Start]]&lt;StatusDate,"Late Start","Not Started"))))</f>
        <v/>
      </c>
      <c r="AP115" s="21" t="str">
        <f aca="false">IF(Tasks[[#This Row],[Task Name]]="","",IF(IF(Tasks[[#This Row],[_IsSummary]],COUNTIF(INDEX(Tasks[_LeafCritical],Tasks[[#This Row],[_Row]]+1):INDEX(Tasks[_LeafCritical],Tasks[[#This Row],[_Row]]+Tasks[[#This Row],[_Descendants]]),TRUE())&gt;0,Tasks[[#This Row],[_LeafCritical]]),"Yes",""))</f>
        <v/>
      </c>
      <c r="AQ115" s="63" t="str">
        <f aca="false">IF(Tasks[[#This Row],[Task Name]]="","",IF(N(Tasks[[#This Row],[Baseline Start]])&gt;0,Tasks[[#This Row],[Baseline Start]],Tasks[[#This Row],[_CalcStart]]))</f>
        <v/>
      </c>
      <c r="AR115" s="63" t="str">
        <f aca="false">IF(Tasks[[#This Row],[Task Name]]="","",IF(N(Tasks[[#This Row],[Baseline Finish]])&gt;0,Tasks[[#This Row],[Baseline Finish]],Tasks[[#This Row],[_CalcFinish]]))</f>
        <v/>
      </c>
      <c r="AS115" s="47" t="str">
        <f aca="false">IF(Tasks[[#This Row],[Task Name]]="","",IF(Tasks[[#This Row],[Start]]&gt;=Tasks[[#This Row],[Planned Start]],NETWORKDAYS.INTL(Tasks[[#This Row],[Planned Start]],Tasks[[#This Row],[Start]],WorkWeek,Holidays)-1,1-NETWORKDAYS.INTL(Tasks[[#This Row],[Start]],Tasks[[#This Row],[Planned Start]],WorkWeek,Holidays)))</f>
        <v/>
      </c>
      <c r="AT115" s="63" t="str">
        <f aca="false">IF(Tasks[[#This Row],[Task Name]]="","",IF(Tasks[[#This Row],[_IsSummary]],MIN(INDEX(Tasks[_LeafLateStart],Tasks[[#This Row],[_Row]]+1):INDEX(Tasks[_LeafLateStart],Tasks[[#This Row],[_Row]]+Tasks[[#This Row],[_Descendants]])),Tasks[[#This Row],[_LeafLateStart]]))</f>
        <v/>
      </c>
      <c r="AU115" s="63" t="str">
        <f aca="false">IF(Tasks[[#This Row],[Task Name]]="","",IF(Tasks[[#This Row],[_IsSummary]],MAX(INDEX(Tasks[_LeafLateFinish],Tasks[[#This Row],[_Row]]+1):INDEX(Tasks[_LeafLateFinish],Tasks[[#This Row],[_Row]]+Tasks[[#This Row],[_Descendants]])),Tasks[[#This Row],[_LeafLateFinish]]))</f>
        <v/>
      </c>
      <c r="AV115" s="47" t="str">
        <f aca="false">IF(Tasks[[#This Row],[Task Name]]="","",IF(Tasks[[#This Row],[_IsSummary]],MIN(INDEX(Tasks[_LeafTotalSlack],Tasks[[#This Row],[_Row]]+1):INDEX(Tasks[_LeafTotalSlack],Tasks[[#This Row],[_Row]]+Tasks[[#This Row],[_Descendants]])),Tasks[[#This Row],[_LeafTotalSlack]]))</f>
        <v/>
      </c>
      <c r="AW11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5"/>
      <c r="BA11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1" t="str">
        <f aca="false">IF(Tasks[[#This Row],[Task Name]]="","",IF(Tasks[[#This Row],[_Level]]&lt;=OutlineShowLevel,"Yes","No"))</f>
        <v/>
      </c>
      <c r="BE115" s="86" t="str">
        <f aca="false">IF(Tasks[[#This Row],[Task Name]]="","",IF(Tasks[[#This Row],[_IsSummary]],SUM(INDEX(Tasks[_LeafTotalWork],Tasks[[#This Row],[_Row]]+1):INDEX(Tasks[_LeafTotalWork],Tasks[[#This Row],[_Row]]+Tasks[[#This Row],[_Descendants]])),Tasks[[#This Row],[_LeafTotalWork]]))</f>
        <v/>
      </c>
      <c r="BF115" s="23"/>
      <c r="BG1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5" s="21" t="str">
        <f aca="false">""</f>
        <v/>
      </c>
      <c r="BI115" s="87"/>
      <c r="BJ115" s="22"/>
      <c r="BK115" s="47" t="str">
        <f aca="false">IF(OR(Tasks[[#This Row],[Task Name]]="",Tasks[[#This Row],[Baseline Duration]]=""),"",Tasks[[#This Row],[_SpanDays]]-N(Tasks[[#This Row],[Baseline Duration]]))</f>
        <v/>
      </c>
      <c r="BL115" s="86" t="str">
        <f aca="false">IF(OR(Tasks[[#This Row],[Task Name]]="",Tasks[[#This Row],[Baseline Work]]=""),"",Tasks[[#This Row],[Work]]-N(Tasks[[#This Row],[Baseline Work]]))</f>
        <v/>
      </c>
      <c r="BM115" s="63" t="str">
        <f aca="false">IF(Tasks[[#This Row],[Task Name]]="","",IF(OR(TakeBaseline="Yes",N(Tasks[[#This Row],[Baseline Start]])=0),Tasks[[#This Row],[Start]],Tasks[[#This Row],[Baseline Start]]))</f>
        <v/>
      </c>
      <c r="BN115" s="63" t="str">
        <f aca="false">IF(Tasks[[#This Row],[Task Name]]="","",IF(OR(TakeBaseline="Yes",N(Tasks[[#This Row],[Baseline Finish]])=0),Tasks[[#This Row],[Finish]],Tasks[[#This Row],[Baseline Finish]]))</f>
        <v/>
      </c>
      <c r="BO115" s="21" t="str">
        <f aca="false">IF(Tasks[[#This Row],[Task Name]]="","",IF(OR(TakeBaseline="Yes",N(Tasks[[#This Row],[Baseline Duration]])=0),Tasks[[#This Row],[_SpanDays]],Tasks[[#This Row],[Baseline Duration]]))</f>
        <v/>
      </c>
      <c r="BP115" s="86" t="str">
        <f aca="false">IF(Tasks[[#This Row],[Task Name]]="","",IF(OR(TakeBaseline="Yes",N(Tasks[[#This Row],[Baseline Work]])=0),Tasks[[#This Row],[Work]],Tasks[[#This Row],[Baseline Work]]))</f>
        <v/>
      </c>
      <c r="BQ115" s="7"/>
      <c r="BR115" s="7"/>
      <c r="BS115" s="22"/>
      <c r="BT115" s="88"/>
      <c r="BU115" s="23"/>
      <c r="BV115" s="23"/>
      <c r="BW115" s="23"/>
      <c r="BX115" s="89" t="str">
        <f aca="false">IF(AND(Tasks[[#This Row],[_IsLeaf]]=1,ISNUMBER(Tasks[[#This Row],[Optimistic]]),ISNUMBER(Tasks[[#This Row],[Pessimistic]])),ROUND((Tasks[[#This Row],[Optimistic]]+4*N(Tasks[[#This Row],[_Days]])+Tasks[[#This Row],[Pessimistic]])/6,1),"")</f>
        <v/>
      </c>
      <c r="BY115" s="87"/>
      <c r="BZ115" s="87"/>
      <c r="CA115" s="22"/>
      <c r="CB115" s="43" t="str">
        <f aca="false">IF(Tasks[[#This Row],[Task Name]]="","",MAX(1,N(Tasks[[#This Row],[Level]])))</f>
        <v/>
      </c>
      <c r="CC115" s="43" t="n">
        <f aca="false">ROW()-ROW(Tasks[[#Headers],[ID]])</f>
        <v>110</v>
      </c>
      <c r="CD115" s="43" t="n">
        <f aca="false">IF(OR(Tasks[[#This Row],[Task Name]]="",Tasks[[#This Row],[_Level]]&lt;=1),0,IFERROR(LOOKUP(2,1/(Tasks[[#Headers],[_Level]]:Tasks[[#This Row],[_Level]]=Tasks[[#This Row],[_Level]]-1),ROW(Tasks[[#Headers],[_Level]]:Tasks[[#This Row],[_Level]])),0))</f>
        <v>0</v>
      </c>
      <c r="CE115" s="43" t="n">
        <f aca="false">IFERROR(N(INDEX(Tasks[_Level],Tasks[[#This Row],[_Row]]+1)),0)</f>
        <v>0</v>
      </c>
      <c r="CF115" s="90" t="b">
        <f aca="false">AND(Tasks[[#This Row],[Task Name]]&lt;&gt;"",Tasks[[#This Row],[_NextLevel]]&gt;Tasks[[#This Row],[_Level]])</f>
        <v>0</v>
      </c>
      <c r="CG115" s="43" t="n">
        <f aca="false">IF(Tasks[[#This Row],[_IsSummary]],COUNTIF(Tasks[WBS],Tasks[[#This Row],[WBS]]&amp;".*"),0)</f>
        <v>0</v>
      </c>
      <c r="CH115" s="43" t="n">
        <f aca="false">IF(AND(Tasks[[#This Row],[Task Name]]&lt;&gt;"",NOT(Tasks[[#This Row],[_IsSummary]])),1,0)</f>
        <v>0</v>
      </c>
      <c r="CI115" s="43" t="n">
        <f aca="false">IF(N(Tasks[[#This Row],[_Pred1UID]])=0,0,IFERROR(MATCH(Tasks[[#This Row],[_Pred1UID]],Tasks[UID],0),-1))</f>
        <v>0</v>
      </c>
      <c r="CJ115" s="43" t="n">
        <f aca="false">IF(N(Tasks[[#This Row],[_Pred2UID]])=0,0,IFERROR(MATCH(Tasks[[#This Row],[_Pred2UID]],Tasks[UID],0),-1))</f>
        <v>0</v>
      </c>
      <c r="CK115" s="43" t="n">
        <f aca="false">IF(N(Tasks[[#This Row],[_Pred3UID]])=0,0,IFERROR(MATCH(Tasks[[#This Row],[_Pred3UID]],Tasks[UID],0),-1))</f>
        <v>0</v>
      </c>
      <c r="CL115" s="43" t="n">
        <f aca="false">IF(N(Tasks[[#This Row],[_Pred4UID]])=0,0,IFERROR(MATCH(Tasks[[#This Row],[_Pred4UID]],Tasks[UID],0),-1))</f>
        <v>0</v>
      </c>
      <c r="CM11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5" s="91" t="n">
        <f aca="false">IF(OR(Tasks[[#This Row],[_ConstraintCode]]=2,Tasks[[#This Row],[_ConstraintCode]]=3,Tasks[[#This Row],[_ConstraintCode]]=4,Tasks[[#This Row],[_ConstraintCode]]=6),Tasks[[#This Row],[_ConstraintStart]],0)</f>
        <v>0</v>
      </c>
      <c r="CP115" s="91" t="n">
        <f aca="false">IF(OR(Tasks[[#This Row],[_ConstraintCode]]=2,Tasks[[#This Row],[_ConstraintCode]]=3,Tasks[[#This Row],[_ConstraintCode]]=5,Tasks[[#This Row],[_ConstraintCode]]=7),Tasks[[#This Row],[_ConstraintStart]],2958465)</f>
        <v>2958465</v>
      </c>
      <c r="CQ11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5" s="91" t="str">
        <f aca="false">IF(NOT(Tasks[[#This Row],[_IsLeaf]]=1),"",IF(N(Tasks[[#This Row],[_Days]])&lt;=0,Tasks[[#This Row],[_LeafCalcStart]],WORKDAY.INTL(Tasks[[#This Row],[_LeafCalcStart]],Tasks[[#This Row],[_Days]]-1,WorkWeek,Holidays)))</f>
        <v/>
      </c>
      <c r="CS11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5" s="43" t="str">
        <f aca="false">IF(Tasks[[#This Row],[_Predecessors]]="","",TRIM(MID(SUBSTITUTE(SUBSTITUTE(SUBSTITUTE(UPPER(Tasks[[#This Row],[_Predecessors]]),";",",")," ",""),",",REPT(" ",99)),1,99)))</f>
        <v/>
      </c>
      <c r="CV115" s="43" t="str">
        <f aca="false">IF(Tasks[[#This Row],[_Pred1Text]]="","",IFERROR(VALUE(LEFT(Tasks[[#This Row],[_Pred1Text]],MIN(FIND("F",Tasks[[#This Row],[_Pred1Text]]&amp;"F"),FIND("S",Tasks[[#This Row],[_Pred1Text]]&amp;"S"),FIND("+",Tasks[[#This Row],[_Pred1Text]]&amp;"+"),FIND("-",Tasks[[#This Row],[_Pred1Text]]&amp;"-"))-1)),""))</f>
        <v/>
      </c>
      <c r="CW11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5" s="43" t="str">
        <f aca="false">IF(Tasks[[#This Row],[_Pred1Text]]="","",TRIM(MID(SUBSTITUTE(SUBSTITUTE(SUBSTITUTE(UPPER(Tasks[[#This Row],[_Predecessors]]),";",",")," ",""),",",REPT(" ",99)),100,99)))</f>
        <v/>
      </c>
      <c r="CZ115" s="43" t="str">
        <f aca="false">IF(Tasks[[#This Row],[_Pred2Text]]="","",IFERROR(VALUE(LEFT(Tasks[[#This Row],[_Pred2Text]],MIN(FIND("F",Tasks[[#This Row],[_Pred2Text]]&amp;"F"),FIND("S",Tasks[[#This Row],[_Pred2Text]]&amp;"S"),FIND("+",Tasks[[#This Row],[_Pred2Text]]&amp;"+"),FIND("-",Tasks[[#This Row],[_Pred2Text]]&amp;"-"))-1)),""))</f>
        <v/>
      </c>
      <c r="DA11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5" s="43" t="str">
        <f aca="false">IF(Tasks[[#This Row],[_Pred2Text]]="","",TRIM(MID(SUBSTITUTE(SUBSTITUTE(SUBSTITUTE(UPPER(Tasks[[#This Row],[_Predecessors]]),";",",")," ",""),",",REPT(" ",99)),199,99)))</f>
        <v/>
      </c>
      <c r="DD115" s="43" t="str">
        <f aca="false">IF(Tasks[[#This Row],[_Pred3Text]]="","",IFERROR(VALUE(LEFT(Tasks[[#This Row],[_Pred3Text]],MIN(FIND("F",Tasks[[#This Row],[_Pred3Text]]&amp;"F"),FIND("S",Tasks[[#This Row],[_Pred3Text]]&amp;"S"),FIND("+",Tasks[[#This Row],[_Pred3Text]]&amp;"+"),FIND("-",Tasks[[#This Row],[_Pred3Text]]&amp;"-"))-1)),""))</f>
        <v/>
      </c>
      <c r="DE11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5" s="43" t="str">
        <f aca="false">IF(Tasks[[#This Row],[_Pred3Text]]="","",TRIM(MID(SUBSTITUTE(SUBSTITUTE(SUBSTITUTE(UPPER(Tasks[[#This Row],[_Predecessors]]),";",",")," ",""),",",REPT(" ",99)),298,99)))</f>
        <v/>
      </c>
      <c r="DH115" s="43" t="str">
        <f aca="false">IF(Tasks[[#This Row],[_Pred4Text]]="","",IFERROR(VALUE(LEFT(Tasks[[#This Row],[_Pred4Text]],MIN(FIND("F",Tasks[[#This Row],[_Pred4Text]]&amp;"F"),FIND("S",Tasks[[#This Row],[_Pred4Text]]&amp;"S"),FIND("+",Tasks[[#This Row],[_Pred4Text]]&amp;"+"),FIND("-",Tasks[[#This Row],[_Pred4Text]]&amp;"-"))-1)),""))</f>
        <v/>
      </c>
      <c r="DI11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5" s="43" t="str">
        <f aca="false">IF(OR(Tasks[[#This Row],[Task Name]]="",Tasks[[#This Row],[_Resources]]=""),"",TRIM(MID(SUBSTITUTE(Tasks[[#This Row],[_Resources]],",",REPT(" ",99)),1,99)))</f>
        <v/>
      </c>
      <c r="DL115" s="43" t="str">
        <f aca="false">IF(Tasks[[#This Row],[_Res1Text]]="","",TRIM(MID(SUBSTITUTE(Tasks[[#This Row],[_Resources]],",",REPT(" ",99)),100,99)))</f>
        <v/>
      </c>
      <c r="DM115" s="43" t="str">
        <f aca="false">IF(Tasks[[#This Row],[_Res2Text]]="","",TRIM(MID(SUBSTITUTE(Tasks[[#This Row],[_Resources]],",",REPT(" ",99)),199,99)))</f>
        <v/>
      </c>
      <c r="DN115" s="43" t="str">
        <f aca="false">IF(Tasks[[#This Row],[_Res3Text]]="","",TRIM(MID(SUBSTITUTE(Tasks[[#This Row],[_Resources]],",",REPT(" ",99)),298,99)))</f>
        <v/>
      </c>
      <c r="DO115" s="43" t="n">
        <f aca="false">IF(Tasks[[#This Row],[_Res1Text]]="",0,IFERROR(MATCH(TRIM(LEFT(Tasks[[#This Row],[_Res1Text]],FIND("[",Tasks[[#This Row],[_Res1Text]]&amp;"[")-1)),res_Name,0),IFERROR(MATCH(TRIM(LEFT(Tasks[[#This Row],[_Res1Text]],FIND("[",Tasks[[#This Row],[_Res1Text]]&amp;"[")-1)),res_Initials,0),0)))</f>
        <v>0</v>
      </c>
      <c r="DP115" s="43" t="n">
        <f aca="false">IF(Tasks[[#This Row],[_Res2Text]]="",0,IFERROR(MATCH(TRIM(LEFT(Tasks[[#This Row],[_Res2Text]],FIND("[",Tasks[[#This Row],[_Res2Text]]&amp;"[")-1)),res_Name,0),IFERROR(MATCH(TRIM(LEFT(Tasks[[#This Row],[_Res2Text]],FIND("[",Tasks[[#This Row],[_Res2Text]]&amp;"[")-1)),res_Initials,0),0)))</f>
        <v>0</v>
      </c>
      <c r="DQ115" s="43" t="n">
        <f aca="false">IF(Tasks[[#This Row],[_Res3Text]]="",0,IFERROR(MATCH(TRIM(LEFT(Tasks[[#This Row],[_Res3Text]],FIND("[",Tasks[[#This Row],[_Res3Text]]&amp;"[")-1)),res_Name,0),IFERROR(MATCH(TRIM(LEFT(Tasks[[#This Row],[_Res3Text]],FIND("[",Tasks[[#This Row],[_Res3Text]]&amp;"[")-1)),res_Initials,0),0)))</f>
        <v>0</v>
      </c>
      <c r="DR115" s="43" t="n">
        <f aca="false">IF(Tasks[[#This Row],[_Res4Text]]="",0,IFERROR(MATCH(TRIM(LEFT(Tasks[[#This Row],[_Res4Text]],FIND("[",Tasks[[#This Row],[_Res4Text]]&amp;"[")-1)),res_Name,0),IFERROR(MATCH(TRIM(LEFT(Tasks[[#This Row],[_Res4Text]],FIND("[",Tasks[[#This Row],[_Res4Text]]&amp;"[")-1)),res_Initials,0),0)))</f>
        <v>0</v>
      </c>
      <c r="DS115" s="43" t="str">
        <f aca="false">IF(Tasks[[#This Row],[_Res1Text]]="","",IF(Tasks[[#This Row],[_Res1Row]]&gt;0,INDEX(res_Name,Tasks[[#This Row],[_Res1Row]]),TRIM(LEFT(Tasks[[#This Row],[_Res1Text]],FIND("[",Tasks[[#This Row],[_Res1Text]]&amp;"[")-1))))</f>
        <v/>
      </c>
      <c r="DT11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5" s="43" t="n">
        <f aca="false">IF(NOT(Tasks[[#This Row],[_IsLeaf]]=1),0,(Tasks[[#This Row],[_Resource1]]&lt;&gt;"")+(Tasks[[#This Row],[_Res2]]&lt;&gt;"")+(Tasks[[#This Row],[_Res3]]&lt;&gt;"")+(Tasks[[#This Row],[_Res4]]&lt;&gt;""))</f>
        <v>0</v>
      </c>
      <c r="DV115" s="43" t="str">
        <f aca="false">IF(Tasks[[#This Row],[_Res2Text]]="","",IF(Tasks[[#This Row],[_Res2Row]]&gt;0,INDEX(res_Name,Tasks[[#This Row],[_Res2Row]]),TRIM(LEFT(Tasks[[#This Row],[_Res2Text]],FIND("[",Tasks[[#This Row],[_Res2Text]]&amp;"[")-1))))</f>
        <v/>
      </c>
      <c r="DW11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5" s="43" t="n">
        <f aca="false">IF(OR(NOT(Tasks[[#This Row],[_IsLeaf]]=1),Tasks[[#This Row],[_Res2Row]]=0),0,N(Tasks[[#This Row],[_Days]])*HoursPerDay*IF(Tasks[[#This Row],[_Res2Units]]="",DefaultUnits,Tasks[[#This Row],[_Res2Units]]))</f>
        <v>0</v>
      </c>
      <c r="DY115" s="43" t="n">
        <f aca="false">IF(AND(AND(Tasks[[#This Row],[_IsLeaf]]=1,Tasks[[#This Row],[_LeafTotalWork]]&gt;0),Tasks[[#This Row],[_Res2Work]]&gt;0),Tasks[[#This Row],[_Res2Work]]/(Tasks[[#This Row],[_FinishWorkday]]-Tasks[[#This Row],[_StartWorkday]]+1),0)</f>
        <v>0</v>
      </c>
      <c r="DZ115" s="43" t="n">
        <f aca="false">Tasks[[#This Row],[_Res2WorkPerWD]]*MAX(0,Tasks[[#This Row],[_StartWorkday]]-1)</f>
        <v>0</v>
      </c>
      <c r="EA115" s="43" t="n">
        <f aca="false">Tasks[[#This Row],[_Res2Work]]*Tasks[[#This Row],[_LeafProgress]]</f>
        <v>0</v>
      </c>
      <c r="EB115" s="43" t="str">
        <f aca="false">IF(Tasks[[#This Row],[_Res3Text]]="","",IF(Tasks[[#This Row],[_Res3Row]]&gt;0,INDEX(res_Name,Tasks[[#This Row],[_Res3Row]]),TRIM(LEFT(Tasks[[#This Row],[_Res3Text]],FIND("[",Tasks[[#This Row],[_Res3Text]]&amp;"[")-1))))</f>
        <v/>
      </c>
      <c r="EC11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5" s="43" t="n">
        <f aca="false">IF(OR(NOT(Tasks[[#This Row],[_IsLeaf]]=1),Tasks[[#This Row],[_Res3Row]]=0),0,N(Tasks[[#This Row],[_Days]])*HoursPerDay*IF(Tasks[[#This Row],[_Res3Units]]="",DefaultUnits,Tasks[[#This Row],[_Res3Units]]))</f>
        <v>0</v>
      </c>
      <c r="EE115" s="43" t="n">
        <f aca="false">IF(AND(AND(Tasks[[#This Row],[_IsLeaf]]=1,Tasks[[#This Row],[_LeafTotalWork]]&gt;0),Tasks[[#This Row],[_Res3Work]]&gt;0),Tasks[[#This Row],[_Res3Work]]/(Tasks[[#This Row],[_FinishWorkday]]-Tasks[[#This Row],[_StartWorkday]]+1),0)</f>
        <v>0</v>
      </c>
      <c r="EF115" s="43" t="n">
        <f aca="false">Tasks[[#This Row],[_Res3WorkPerWD]]*MAX(0,Tasks[[#This Row],[_StartWorkday]]-1)</f>
        <v>0</v>
      </c>
      <c r="EG115" s="43" t="n">
        <f aca="false">Tasks[[#This Row],[_Res3Work]]*Tasks[[#This Row],[_LeafProgress]]</f>
        <v>0</v>
      </c>
      <c r="EH115" s="43" t="str">
        <f aca="false">IF(Tasks[[#This Row],[_Res4Text]]="","",IF(Tasks[[#This Row],[_Res4Row]]&gt;0,INDEX(res_Name,Tasks[[#This Row],[_Res4Row]]),TRIM(LEFT(Tasks[[#This Row],[_Res4Text]],FIND("[",Tasks[[#This Row],[_Res4Text]]&amp;"[")-1))))</f>
        <v/>
      </c>
      <c r="EI11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5" s="43" t="n">
        <f aca="false">IF(OR(NOT(Tasks[[#This Row],[_IsLeaf]]=1),Tasks[[#This Row],[_Res4Row]]=0),0,N(Tasks[[#This Row],[_Days]])*HoursPerDay*IF(Tasks[[#This Row],[_Res4Units]]="",DefaultUnits,Tasks[[#This Row],[_Res4Units]]))</f>
        <v>0</v>
      </c>
      <c r="EK115" s="43" t="n">
        <f aca="false">IF(AND(AND(Tasks[[#This Row],[_IsLeaf]]=1,Tasks[[#This Row],[_LeafTotalWork]]&gt;0),Tasks[[#This Row],[_Res4Work]]&gt;0),Tasks[[#This Row],[_Res4Work]]/(Tasks[[#This Row],[_FinishWorkday]]-Tasks[[#This Row],[_StartWorkday]]+1),0)</f>
        <v>0</v>
      </c>
      <c r="EL115" s="43" t="n">
        <f aca="false">Tasks[[#This Row],[_Res4WorkPerWD]]*MAX(0,Tasks[[#This Row],[_StartWorkday]]-1)</f>
        <v>0</v>
      </c>
      <c r="EM115" s="43" t="n">
        <f aca="false">Tasks[[#This Row],[_Res4Work]]*Tasks[[#This Row],[_LeafProgress]]</f>
        <v>0</v>
      </c>
      <c r="EN115" s="43" t="n">
        <f aca="false">IF(ISNUMBER(Tasks[[#This Row],[% Complete]]),Tasks[[#This Row],[% Complete]],IF(Tasks[[#This Row],[Stage]]="",0,IFERROR(INDEX(stg_Pct,MATCH(Tasks[[#This Row],[Stage]],stg_Name,0)),0)))</f>
        <v>0</v>
      </c>
      <c r="EO115" s="43" t="n">
        <f aca="false">IF(NOT(Tasks[[#This Row],[_IsLeaf]]=1),0,IF(N(Tasks[[#This Row],[Actual Finish]])&gt;0,1,MIN(1,Tasks[[#This Row],[_Pct]])))</f>
        <v>0</v>
      </c>
      <c r="EP115" s="43" t="n">
        <f aca="false">IF(OR(NOT(Tasks[[#This Row],[_IsLeaf]]=1),Tasks[[#This Row],[_Res1Row]]=0),0,N(Tasks[[#This Row],[_Days]])*HoursPerDay*IF(Tasks[[#This Row],[_Units1]]="",DefaultUnits,Tasks[[#This Row],[_Units1]]))</f>
        <v>0</v>
      </c>
      <c r="EQ115" s="43" t="n">
        <f aca="false">Tasks[[#This Row],[_LeafWork]]+Tasks[[#This Row],[_Res2Work]]+Tasks[[#This Row],[_Res3Work]]+Tasks[[#This Row],[_Res4Work]]</f>
        <v>0</v>
      </c>
      <c r="ER11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5" s="43" t="n">
        <f aca="false">IF(NOT(Tasks[[#This Row],[_IsLeaf]]=1),0,MAX(_xlfn.MAXIFS(Tasks[_Row],Tasks[_Pred1UID],Tasks[[#This Row],[UID]]),_xlfn.MAXIFS(Tasks[_Row],Tasks[_Pred2UID],Tasks[[#This Row],[UID]]),_xlfn.MAXIFS(Tasks[_Row],Tasks[_Pred3UID],Tasks[[#This Row],[UID]]),_xlfn.MAXIFS(Tasks[_Row],Tasks[_Pred4UID],Tasks[[#This Row],[UID]])))</f>
        <v>0</v>
      </c>
      <c r="FA11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5" s="91" t="str">
        <f aca="false">IF(NOT(Tasks[[#This Row],[_IsLeaf]]=1),"",IF(N(Tasks[[#This Row],[_Days]])&lt;=0,Tasks[[#This Row],[_LeafLateFinish]],WORKDAY.INTL(Tasks[[#This Row],[_LeafLateFinish]],-(Tasks[[#This Row],[_Days]]-1),WorkWeek,Holidays)))</f>
        <v/>
      </c>
      <c r="FD11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5" s="90" t="b">
        <f aca="false">AND(Tasks[[#This Row],[_IsLeaf]]=1,Tasks[[#This Row],[_LeafProgress]]&lt;1,N(Tasks[[#This Row],[_LeafTotalSlack]])&lt;=CriticalSlackDays)</f>
        <v>0</v>
      </c>
      <c r="FF115" s="43" t="n">
        <f aca="false">IF(AND(Tasks[[#This Row],[_IsLeaf]]=1,Tasks[[#This Row],[_ConstraintCode]]=1,Tasks[[#This Row],[Mode]]&lt;&gt;"Manual",N(Tasks[[#This Row],[Actual Start]])=0),MAX(0,N(Tasks[[#This Row],[Free Slack]])),0)</f>
        <v>0</v>
      </c>
      <c r="FG115" s="91" t="str">
        <f aca="false">IF(NOT(Tasks[[#This Row],[_IsLeaf]]=1),"",IF(Tasks[[#This Row],[_AlapShift]]=0,Tasks[[#This Row],[_LeafCalcStart]],WORKDAY.INTL(Tasks[[#This Row],[_LeafCalcStart]],Tasks[[#This Row],[_AlapShift]],WorkWeek,Holidays)))</f>
        <v/>
      </c>
      <c r="FH115" s="91" t="str">
        <f aca="false">IF(NOT(Tasks[[#This Row],[_IsLeaf]]=1),"",IF(Tasks[[#This Row],[_AlapShift]]=0,Tasks[[#This Row],[_LeafCalcFinish]],WORKDAY.INTL(Tasks[[#This Row],[_LeafCalcFinish]],Tasks[[#This Row],[_AlapShift]],WorkWeek,Holidays)))</f>
        <v/>
      </c>
      <c r="FI115" s="91" t="str">
        <f aca="false">IF(NOT(Tasks[[#This Row],[_IsLeaf]]=1),"",IF(Tasks[[#This Row],[_AlapShift]]=0,Tasks[[#This Row],[_LeafFcstStart]],WORKDAY.INTL(Tasks[[#This Row],[_LeafFcstStart]],Tasks[[#This Row],[_AlapShift]],WorkWeek,Holidays)))</f>
        <v/>
      </c>
      <c r="FJ115" s="91" t="str">
        <f aca="false">IF(NOT(Tasks[[#This Row],[_IsLeaf]]=1),"",IF(Tasks[[#This Row],[_AlapShift]]=0,Tasks[[#This Row],[_LeafFcstFinish]],WORKDAY.INTL(Tasks[[#This Row],[_LeafFcstFinish]],Tasks[[#This Row],[_AlapShift]],WorkWeek,Holidays)))</f>
        <v/>
      </c>
      <c r="FK115" s="91" t="str">
        <f aca="false">IF(Tasks[[#This Row],[Task Name]]="","",IF(Tasks[[#This Row],[_IsSummary]],MIN(INDEX(Tasks[_ShownCalcStart],Tasks[[#This Row],[_Row]]+1):INDEX(Tasks[_ShownCalcStart],Tasks[[#This Row],[_Row]]+Tasks[[#This Row],[_Descendants]])),Tasks[[#This Row],[_ShownCalcStart]]))</f>
        <v/>
      </c>
      <c r="FL115" s="91" t="str">
        <f aca="false">IF(Tasks[[#This Row],[Task Name]]="","",IF(Tasks[[#This Row],[_IsSummary]],MAX(INDEX(Tasks[_ShownCalcFinish],Tasks[[#This Row],[_Row]]+1):INDEX(Tasks[_ShownCalcFinish],Tasks[[#This Row],[_Row]]+Tasks[[#This Row],[_Descendants]])),Tasks[[#This Row],[_ShownCalcFinish]]))</f>
        <v/>
      </c>
      <c r="FM11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5" s="43" t="n">
        <f aca="false">IF(AND(Tasks[[#This Row],[_IsLeaf]]=1,Tasks[[#This Row],[_LeafTotalWork]]&gt;0),NETWORKDAYS.INTL(ProjectStart,Tasks[[#This Row],[_ShownFcstStart]],WorkWeek,Holidays),0)</f>
        <v>0</v>
      </c>
      <c r="FZ115" s="43" t="n">
        <f aca="false">IF(AND(Tasks[[#This Row],[_IsLeaf]]=1,Tasks[[#This Row],[_LeafTotalWork]]&gt;0),MAX(Tasks[[#This Row],[_StartWorkday]],NETWORKDAYS.INTL(ProjectStart,Tasks[[#This Row],[_ShownFcstFinish]],WorkWeek,Holidays)),0)</f>
        <v>0</v>
      </c>
      <c r="GA115" s="43" t="n">
        <f aca="false">IF(AND(Tasks[[#This Row],[_IsLeaf]]=1,Tasks[[#This Row],[_LeafTotalWork]]&gt;0),Tasks[[#This Row],[_LeafWork]]/(Tasks[[#This Row],[_FinishWorkday]]-Tasks[[#This Row],[_StartWorkday]]+1),0)</f>
        <v>0</v>
      </c>
      <c r="GB115" s="43" t="n">
        <f aca="false">Tasks[[#This Row],[_WorkPerWorkday]]*(Tasks[[#This Row],[_StartWorkday]]-1)</f>
        <v>-0</v>
      </c>
      <c r="GC115" s="43" t="n">
        <f aca="false">IF(Tasks[[#This Row],[_IsLeaf]]=1,MAX(N(Tasks[[#This Row],[_Days]]),0.1),0)</f>
        <v>0</v>
      </c>
      <c r="GD115" s="43" t="n">
        <f aca="false">Tasks[[#This Row],[_WeightDur]]*Tasks[[#This Row],[_LeafProgress]]</f>
        <v>0</v>
      </c>
      <c r="GE115" s="43" t="n">
        <f aca="false">Tasks[[#This Row],[_WeightDur]]*Tasks[[#This Row],[_PlannedPct]]</f>
        <v>0</v>
      </c>
      <c r="GF11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5" s="43" t="str">
        <f aca="false">IF(AND(Tasks[[#This Row],[_IsLeaf]]=1,N(Tasks[[#This Row],[_Days]])=0,Tasks[[#This Row],[_LeafProgress]]&lt;1),Tasks[[#This Row],[_ShownFcstFinish]]+Tasks[[#This Row],[_Row]]/100000,"")</f>
        <v/>
      </c>
      <c r="GH11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5" s="43" t="str">
        <f aca="false">IF(Tasks[[#This Row],[Task Name]]="","",LEFT(Tasks[[#This Row],[WBS]],FIND(".",Tasks[[#This Row],[WBS]]&amp;".")-1))</f>
        <v/>
      </c>
      <c r="GJ115" s="43" t="str">
        <f aca="false">IF(AND(Tasks[[#This Row],[Task Name]]&lt;&gt;"",Tasks[[#This Row],[_Level]]=1),Tasks[[#This Row],[_Row]],"")</f>
        <v/>
      </c>
      <c r="GK115" s="43" t="str">
        <f aca="false">IF(AND(Tasks[[#This Row],[_IsLeaf]]=1,N(Tasks[[#This Row],[_Days]])=0),Tasks[[#This Row],[Planned Finish]]+Tasks[[#This Row],[_Row]]/100000,"")</f>
        <v/>
      </c>
      <c r="GL115" s="43" t="str">
        <f aca="false">IF(AND(Tasks[[#This Row],[_IsLeaf]]=1,Tasks[[#This Row],[_LeafProgress]]&lt;1,OR(N(Tasks[[#This Row],[Finish Var]])&gt;0,Tasks[[#This Row],[Status]]="Late Start")),MAX(0,Tasks[[#This Row],[Finish Var]])+1-Tasks[[#This Row],[_Row]]/1000000,"")</f>
        <v/>
      </c>
      <c r="GM115" s="43" t="str">
        <f aca="false">IF(AND(Tasks[[#This Row],[_IsLeaf]]=1,N(Tasks[[#This Row],[Actual Start]])=0,Tasks[[#This Row],[_ShownFcstStart]]&gt;=StatusDate,Tasks[[#This Row],[_ShownFcstStart]]&lt;=LookaheadEnd),Tasks[[#This Row],[_ShownFcstStart]]+Tasks[[#This Row],[_Row]]/100000,"")</f>
        <v/>
      </c>
      <c r="GN115" s="43" t="str">
        <f aca="false">IF(AND(Tasks[[#This Row],[_IsLeaf]]=1,Tasks[[#This Row],[_LeafProgress]]&lt;1,Tasks[[#This Row],[_ShownFcstFinish]]&gt;=StatusDate,Tasks[[#This Row],[_ShownFcstFinish]]&lt;=LookaheadEnd),Tasks[[#This Row],[_ShownFcstFinish]]+Tasks[[#This Row],[_Row]]/100000,"")</f>
        <v/>
      </c>
      <c r="GO115" s="43" t="str">
        <f aca="false">IF(Tasks[[#This Row],[_LeafCritical]],Tasks[[#This Row],[_ShownFcstStart]]+Tasks[[#This Row],[_Row]]/100000,"")</f>
        <v/>
      </c>
      <c r="GP115" s="43" t="n">
        <f aca="false">Tasks[[#This Row],[_LeafWork]]*Tasks[[#This Row],[_LeafProgress]]</f>
        <v>0</v>
      </c>
      <c r="GQ115" s="91" t="str">
        <f aca="false">IF(AND(Tasks[[#This Row],[_IsLeaf]]=1,Tasks[[#This Row],[_LeafProgress]]&gt;=1),IF(N(Tasks[[#This Row],[Actual Finish]])&gt;0,Tasks[[#This Row],[Actual Finish]],Tasks[[#This Row],[_ShownFcstFinish]]),"")</f>
        <v/>
      </c>
      <c r="GR115" s="43" t="n">
        <f aca="false">IF(Tasks[[#This Row],[_IsLeaf]]=1,N(Tasks[[#This Row],[Story Points]]),0)</f>
        <v>0</v>
      </c>
      <c r="GS115" s="43" t="str">
        <f aca="false">""</f>
        <v/>
      </c>
      <c r="GT115" s="90" t="b">
        <f aca="false">IF(Tasks[[#This Row],[Task Name]]="",FALSE(),AND(Tasks[[#This Row],[_IsLeaf]]=1,N(Tasks[[#This Row],[_Days]])=0))</f>
        <v>0</v>
      </c>
      <c r="GU115" s="91" t="n">
        <f aca="false">IF(Tasks[[#This Row],[Task Name]]="",0,IF(AND(Tasks[[#This Row],[_IsLeaf]]=1,NOT(Tasks[[#This Row],[_IsMilestone]]),N(Tasks[[#This Row],[Progress]])&gt;0),Tasks[[#This Row],[Start]],0))</f>
        <v>0</v>
      </c>
      <c r="GV115" s="91" t="n">
        <f aca="false">IF(Tasks[[#This Row],[_DoneFrom]]=0,0,IF(Tasks[[#This Row],[Progress]]&gt;=1,Tasks[[#This Row],[Finish]],MAX(Tasks[[#This Row],[_DoneFrom]],Tasks[[#This Row],[Start]]+ROUND((Tasks[[#This Row],[Finish]]-Tasks[[#This Row],[Start]]+1)*Tasks[[#This Row],[Progress]],0)-1)))</f>
        <v>0</v>
      </c>
      <c r="GW115" s="91" t="n">
        <f aca="false">IF(Tasks[[#This Row],[Task Name]]="",0,IF(OR(NOT(Tasks[[#This Row],[_IsLeaf]]=1),Tasks[[#This Row],[_IsMilestone]],N(Tasks[[#This Row],[Progress]])&gt;=1),0,IF(Tasks[[#This Row],[_DoneTo]]&gt;0,Tasks[[#This Row],[_DoneTo]]+1,Tasks[[#This Row],[Start]])))</f>
        <v>0</v>
      </c>
      <c r="GX115" s="91" t="n">
        <f aca="false">IF(Tasks[[#This Row],[_RemFrom]]=0,0,Tasks[[#This Row],[Finish]])</f>
        <v>0</v>
      </c>
      <c r="GY115" s="90" t="b">
        <f aca="false">IF(Tasks[[#This Row],[Task Name]]="",FALSE(),OR(NOT(BaselineSet),N(Tasks[[#This Row],[Baseline Start]])&gt;0))</f>
        <v>0</v>
      </c>
      <c r="GZ11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5" s="92" t="str">
        <f aca="false">IF(Tasks[[#This Row],[_IsLeaf]]=1,Tasks[[#This Row],[_Row]],"")</f>
        <v/>
      </c>
      <c r="HD115" s="92" t="str">
        <f aca="false">IFERROR(INDEX(Tasks[UID],SMALL(Tasks[_PickKey],Tasks[[#This Row],[_Row]]))&amp;" "&amp;INDEX(Tasks[Task Name],SMALL(Tasks[_PickKey],Tasks[[#This Row],[_Row]])),"")</f>
        <v/>
      </c>
      <c r="HE115" s="43" t="str">
        <f aca="false">IF(Tasks[[#This Row],[Task Name]]="","",IF(Tasks[[#This Row],[_IsSummary]],NETWORKDAYS.INTL(Tasks[[#This Row],[Start]],Tasks[[#This Row],[Finish]],WorkWeek,Holidays),N(Tasks[[#This Row],[_Days]])))</f>
        <v/>
      </c>
      <c r="HF115" s="43" t="n">
        <f aca="false">IF(Tasks[[#This Row],[Expected]]="",0,((Tasks[[#This Row],[Pessimistic]]-Tasks[[#This Row],[Optimistic]])/6)^2)</f>
        <v>0</v>
      </c>
      <c r="HG115" s="43" t="n">
        <f aca="false">IF(Tasks[[#This Row],[Expected]]="",0,Tasks[[#This Row],[Expected]]-N(Tasks[[#This Row],[_Days]]))</f>
        <v>0</v>
      </c>
    </row>
    <row r="116" customFormat="false" ht="15" hidden="false" customHeight="false" outlineLevel="0" collapsed="false">
      <c r="A116" s="21" t="str">
        <f aca="false">IF(Tasks[[#This Row],[Task Name]]="","",COUNTA(Tasks[[#Headers],[Task Name]]:Tasks[[#This Row],[Task Name]])-1)</f>
        <v/>
      </c>
      <c r="B116" s="22" t="n">
        <v>124</v>
      </c>
      <c r="C116" s="22"/>
      <c r="D116" s="23"/>
      <c r="E116" s="22"/>
      <c r="F116" s="23"/>
      <c r="G116" s="22"/>
      <c r="H116" s="22"/>
      <c r="I116" s="23"/>
      <c r="J116" s="22"/>
      <c r="K116" s="22"/>
      <c r="L116" s="23"/>
      <c r="M116" s="22"/>
      <c r="N116" s="22"/>
      <c r="O116" s="23"/>
      <c r="P116" s="22"/>
      <c r="Q116" s="22"/>
      <c r="R116" s="23"/>
      <c r="S116" s="23"/>
      <c r="T116" s="84"/>
      <c r="U116" s="23"/>
      <c r="V116" s="84"/>
      <c r="W116" s="23"/>
      <c r="X116" s="84"/>
      <c r="Y116" s="23"/>
      <c r="Z116" s="84"/>
      <c r="AA116" s="23"/>
      <c r="AB116" s="23"/>
      <c r="AC116" s="7"/>
      <c r="AD116" s="7"/>
      <c r="AE116" s="63" t="str">
        <f aca="false">IF(Tasks[[#This Row],[Task Name]]="","",IF(Tasks[[#This Row],[_IsSummary]],MIN(INDEX(Tasks[_ShownFcstStart],Tasks[[#This Row],[_Row]]+1):INDEX(Tasks[_ShownFcstStart],Tasks[[#This Row],[_Row]]+Tasks[[#This Row],[_Descendants]])),Tasks[[#This Row],[_ShownFcstStart]]))</f>
        <v/>
      </c>
      <c r="AF116" s="63" t="str">
        <f aca="false">IF(Tasks[[#This Row],[Task Name]]="","",IF(Tasks[[#This Row],[_IsSummary]],MAX(INDEX(Tasks[_ShownFcstFinish],Tasks[[#This Row],[_Row]]+1):INDEX(Tasks[_ShownFcstFinish],Tasks[[#This Row],[_Row]]+Tasks[[#This Row],[_Descendants]])),Tasks[[#This Row],[_ShownFcstFinish]]))</f>
        <v/>
      </c>
      <c r="AG116" s="21" t="str">
        <f aca="false">""</f>
        <v/>
      </c>
      <c r="AH116" s="23"/>
      <c r="AI1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6" s="7"/>
      <c r="AK116" s="22"/>
      <c r="AL116" s="23"/>
      <c r="AM116" s="7"/>
      <c r="AN116" s="47" t="str">
        <f aca="false">IF(Tasks[[#This Row],[Task Name]]="","",IF(Tasks[[#This Row],[Finish]]&gt;=Tasks[[#This Row],[Planned Finish]],NETWORKDAYS.INTL(Tasks[[#This Row],[Planned Finish]],Tasks[[#This Row],[Finish]],WorkWeek,Holidays)-1,1-NETWORKDAYS.INTL(Tasks[[#This Row],[Finish]],Tasks[[#This Row],[Planned Finish]],WorkWeek,Holidays)))</f>
        <v/>
      </c>
      <c r="AO116" s="21" t="str">
        <f aca="false">IF(Tasks[[#This Row],[Task Name]]="","",IF(Tasks[[#This Row],[Progress]]&gt;=1,"Complete",IF(OR(N(Tasks[[#This Row],[Actual Start]])&gt;0,Tasks[[#This Row],[Progress]]&gt;0),IF(Tasks[[#This Row],[Finish Var]]&gt;0,"Behind","In Progress"),IF(Tasks[[#This Row],[Planned Start]]&lt;StatusDate,"Late Start","Not Started"))))</f>
        <v/>
      </c>
      <c r="AP116" s="21" t="str">
        <f aca="false">IF(Tasks[[#This Row],[Task Name]]="","",IF(IF(Tasks[[#This Row],[_IsSummary]],COUNTIF(INDEX(Tasks[_LeafCritical],Tasks[[#This Row],[_Row]]+1):INDEX(Tasks[_LeafCritical],Tasks[[#This Row],[_Row]]+Tasks[[#This Row],[_Descendants]]),TRUE())&gt;0,Tasks[[#This Row],[_LeafCritical]]),"Yes",""))</f>
        <v/>
      </c>
      <c r="AQ116" s="63" t="str">
        <f aca="false">IF(Tasks[[#This Row],[Task Name]]="","",IF(N(Tasks[[#This Row],[Baseline Start]])&gt;0,Tasks[[#This Row],[Baseline Start]],Tasks[[#This Row],[_CalcStart]]))</f>
        <v/>
      </c>
      <c r="AR116" s="63" t="str">
        <f aca="false">IF(Tasks[[#This Row],[Task Name]]="","",IF(N(Tasks[[#This Row],[Baseline Finish]])&gt;0,Tasks[[#This Row],[Baseline Finish]],Tasks[[#This Row],[_CalcFinish]]))</f>
        <v/>
      </c>
      <c r="AS116" s="47" t="str">
        <f aca="false">IF(Tasks[[#This Row],[Task Name]]="","",IF(Tasks[[#This Row],[Start]]&gt;=Tasks[[#This Row],[Planned Start]],NETWORKDAYS.INTL(Tasks[[#This Row],[Planned Start]],Tasks[[#This Row],[Start]],WorkWeek,Holidays)-1,1-NETWORKDAYS.INTL(Tasks[[#This Row],[Start]],Tasks[[#This Row],[Planned Start]],WorkWeek,Holidays)))</f>
        <v/>
      </c>
      <c r="AT116" s="63" t="str">
        <f aca="false">IF(Tasks[[#This Row],[Task Name]]="","",IF(Tasks[[#This Row],[_IsSummary]],MIN(INDEX(Tasks[_LeafLateStart],Tasks[[#This Row],[_Row]]+1):INDEX(Tasks[_LeafLateStart],Tasks[[#This Row],[_Row]]+Tasks[[#This Row],[_Descendants]])),Tasks[[#This Row],[_LeafLateStart]]))</f>
        <v/>
      </c>
      <c r="AU116" s="63" t="str">
        <f aca="false">IF(Tasks[[#This Row],[Task Name]]="","",IF(Tasks[[#This Row],[_IsSummary]],MAX(INDEX(Tasks[_LeafLateFinish],Tasks[[#This Row],[_Row]]+1):INDEX(Tasks[_LeafLateFinish],Tasks[[#This Row],[_Row]]+Tasks[[#This Row],[_Descendants]])),Tasks[[#This Row],[_LeafLateFinish]]))</f>
        <v/>
      </c>
      <c r="AV116" s="47" t="str">
        <f aca="false">IF(Tasks[[#This Row],[Task Name]]="","",IF(Tasks[[#This Row],[_IsSummary]],MIN(INDEX(Tasks[_LeafTotalSlack],Tasks[[#This Row],[_Row]]+1):INDEX(Tasks[_LeafTotalSlack],Tasks[[#This Row],[_Row]]+Tasks[[#This Row],[_Descendants]])),Tasks[[#This Row],[_LeafTotalSlack]]))</f>
        <v/>
      </c>
      <c r="AW11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5"/>
      <c r="BA11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1" t="str">
        <f aca="false">IF(Tasks[[#This Row],[Task Name]]="","",IF(Tasks[[#This Row],[_Level]]&lt;=OutlineShowLevel,"Yes","No"))</f>
        <v/>
      </c>
      <c r="BE116" s="86" t="str">
        <f aca="false">IF(Tasks[[#This Row],[Task Name]]="","",IF(Tasks[[#This Row],[_IsSummary]],SUM(INDEX(Tasks[_LeafTotalWork],Tasks[[#This Row],[_Row]]+1):INDEX(Tasks[_LeafTotalWork],Tasks[[#This Row],[_Row]]+Tasks[[#This Row],[_Descendants]])),Tasks[[#This Row],[_LeafTotalWork]]))</f>
        <v/>
      </c>
      <c r="BF116" s="23"/>
      <c r="BG1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6" s="21" t="str">
        <f aca="false">""</f>
        <v/>
      </c>
      <c r="BI116" s="87"/>
      <c r="BJ116" s="22"/>
      <c r="BK116" s="47" t="str">
        <f aca="false">IF(OR(Tasks[[#This Row],[Task Name]]="",Tasks[[#This Row],[Baseline Duration]]=""),"",Tasks[[#This Row],[_SpanDays]]-N(Tasks[[#This Row],[Baseline Duration]]))</f>
        <v/>
      </c>
      <c r="BL116" s="86" t="str">
        <f aca="false">IF(OR(Tasks[[#This Row],[Task Name]]="",Tasks[[#This Row],[Baseline Work]]=""),"",Tasks[[#This Row],[Work]]-N(Tasks[[#This Row],[Baseline Work]]))</f>
        <v/>
      </c>
      <c r="BM116" s="63" t="str">
        <f aca="false">IF(Tasks[[#This Row],[Task Name]]="","",IF(OR(TakeBaseline="Yes",N(Tasks[[#This Row],[Baseline Start]])=0),Tasks[[#This Row],[Start]],Tasks[[#This Row],[Baseline Start]]))</f>
        <v/>
      </c>
      <c r="BN116" s="63" t="str">
        <f aca="false">IF(Tasks[[#This Row],[Task Name]]="","",IF(OR(TakeBaseline="Yes",N(Tasks[[#This Row],[Baseline Finish]])=0),Tasks[[#This Row],[Finish]],Tasks[[#This Row],[Baseline Finish]]))</f>
        <v/>
      </c>
      <c r="BO116" s="21" t="str">
        <f aca="false">IF(Tasks[[#This Row],[Task Name]]="","",IF(OR(TakeBaseline="Yes",N(Tasks[[#This Row],[Baseline Duration]])=0),Tasks[[#This Row],[_SpanDays]],Tasks[[#This Row],[Baseline Duration]]))</f>
        <v/>
      </c>
      <c r="BP116" s="86" t="str">
        <f aca="false">IF(Tasks[[#This Row],[Task Name]]="","",IF(OR(TakeBaseline="Yes",N(Tasks[[#This Row],[Baseline Work]])=0),Tasks[[#This Row],[Work]],Tasks[[#This Row],[Baseline Work]]))</f>
        <v/>
      </c>
      <c r="BQ116" s="7"/>
      <c r="BR116" s="7"/>
      <c r="BS116" s="22"/>
      <c r="BT116" s="88"/>
      <c r="BU116" s="23"/>
      <c r="BV116" s="23"/>
      <c r="BW116" s="23"/>
      <c r="BX116" s="89" t="str">
        <f aca="false">IF(AND(Tasks[[#This Row],[_IsLeaf]]=1,ISNUMBER(Tasks[[#This Row],[Optimistic]]),ISNUMBER(Tasks[[#This Row],[Pessimistic]])),ROUND((Tasks[[#This Row],[Optimistic]]+4*N(Tasks[[#This Row],[_Days]])+Tasks[[#This Row],[Pessimistic]])/6,1),"")</f>
        <v/>
      </c>
      <c r="BY116" s="87"/>
      <c r="BZ116" s="87"/>
      <c r="CA116" s="22"/>
      <c r="CB116" s="43" t="str">
        <f aca="false">IF(Tasks[[#This Row],[Task Name]]="","",MAX(1,N(Tasks[[#This Row],[Level]])))</f>
        <v/>
      </c>
      <c r="CC116" s="43" t="n">
        <f aca="false">ROW()-ROW(Tasks[[#Headers],[ID]])</f>
        <v>111</v>
      </c>
      <c r="CD116" s="43" t="n">
        <f aca="false">IF(OR(Tasks[[#This Row],[Task Name]]="",Tasks[[#This Row],[_Level]]&lt;=1),0,IFERROR(LOOKUP(2,1/(Tasks[[#Headers],[_Level]]:Tasks[[#This Row],[_Level]]=Tasks[[#This Row],[_Level]]-1),ROW(Tasks[[#Headers],[_Level]]:Tasks[[#This Row],[_Level]])),0))</f>
        <v>0</v>
      </c>
      <c r="CE116" s="43" t="n">
        <f aca="false">IFERROR(N(INDEX(Tasks[_Level],Tasks[[#This Row],[_Row]]+1)),0)</f>
        <v>0</v>
      </c>
      <c r="CF116" s="90" t="b">
        <f aca="false">AND(Tasks[[#This Row],[Task Name]]&lt;&gt;"",Tasks[[#This Row],[_NextLevel]]&gt;Tasks[[#This Row],[_Level]])</f>
        <v>0</v>
      </c>
      <c r="CG116" s="43" t="n">
        <f aca="false">IF(Tasks[[#This Row],[_IsSummary]],COUNTIF(Tasks[WBS],Tasks[[#This Row],[WBS]]&amp;".*"),0)</f>
        <v>0</v>
      </c>
      <c r="CH116" s="43" t="n">
        <f aca="false">IF(AND(Tasks[[#This Row],[Task Name]]&lt;&gt;"",NOT(Tasks[[#This Row],[_IsSummary]])),1,0)</f>
        <v>0</v>
      </c>
      <c r="CI116" s="43" t="n">
        <f aca="false">IF(N(Tasks[[#This Row],[_Pred1UID]])=0,0,IFERROR(MATCH(Tasks[[#This Row],[_Pred1UID]],Tasks[UID],0),-1))</f>
        <v>0</v>
      </c>
      <c r="CJ116" s="43" t="n">
        <f aca="false">IF(N(Tasks[[#This Row],[_Pred2UID]])=0,0,IFERROR(MATCH(Tasks[[#This Row],[_Pred2UID]],Tasks[UID],0),-1))</f>
        <v>0</v>
      </c>
      <c r="CK116" s="43" t="n">
        <f aca="false">IF(N(Tasks[[#This Row],[_Pred3UID]])=0,0,IFERROR(MATCH(Tasks[[#This Row],[_Pred3UID]],Tasks[UID],0),-1))</f>
        <v>0</v>
      </c>
      <c r="CL116" s="43" t="n">
        <f aca="false">IF(N(Tasks[[#This Row],[_Pred4UID]])=0,0,IFERROR(MATCH(Tasks[[#This Row],[_Pred4UID]],Tasks[UID],0),-1))</f>
        <v>0</v>
      </c>
      <c r="CM11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6" s="91" t="n">
        <f aca="false">IF(OR(Tasks[[#This Row],[_ConstraintCode]]=2,Tasks[[#This Row],[_ConstraintCode]]=3,Tasks[[#This Row],[_ConstraintCode]]=4,Tasks[[#This Row],[_ConstraintCode]]=6),Tasks[[#This Row],[_ConstraintStart]],0)</f>
        <v>0</v>
      </c>
      <c r="CP116" s="91" t="n">
        <f aca="false">IF(OR(Tasks[[#This Row],[_ConstraintCode]]=2,Tasks[[#This Row],[_ConstraintCode]]=3,Tasks[[#This Row],[_ConstraintCode]]=5,Tasks[[#This Row],[_ConstraintCode]]=7),Tasks[[#This Row],[_ConstraintStart]],2958465)</f>
        <v>2958465</v>
      </c>
      <c r="CQ11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6" s="91" t="str">
        <f aca="false">IF(NOT(Tasks[[#This Row],[_IsLeaf]]=1),"",IF(N(Tasks[[#This Row],[_Days]])&lt;=0,Tasks[[#This Row],[_LeafCalcStart]],WORKDAY.INTL(Tasks[[#This Row],[_LeafCalcStart]],Tasks[[#This Row],[_Days]]-1,WorkWeek,Holidays)))</f>
        <v/>
      </c>
      <c r="CS11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6" s="43" t="str">
        <f aca="false">IF(Tasks[[#This Row],[_Predecessors]]="","",TRIM(MID(SUBSTITUTE(SUBSTITUTE(SUBSTITUTE(UPPER(Tasks[[#This Row],[_Predecessors]]),";",",")," ",""),",",REPT(" ",99)),1,99)))</f>
        <v/>
      </c>
      <c r="CV116" s="43" t="str">
        <f aca="false">IF(Tasks[[#This Row],[_Pred1Text]]="","",IFERROR(VALUE(LEFT(Tasks[[#This Row],[_Pred1Text]],MIN(FIND("F",Tasks[[#This Row],[_Pred1Text]]&amp;"F"),FIND("S",Tasks[[#This Row],[_Pred1Text]]&amp;"S"),FIND("+",Tasks[[#This Row],[_Pred1Text]]&amp;"+"),FIND("-",Tasks[[#This Row],[_Pred1Text]]&amp;"-"))-1)),""))</f>
        <v/>
      </c>
      <c r="CW11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6" s="43" t="str">
        <f aca="false">IF(Tasks[[#This Row],[_Pred1Text]]="","",TRIM(MID(SUBSTITUTE(SUBSTITUTE(SUBSTITUTE(UPPER(Tasks[[#This Row],[_Predecessors]]),";",",")," ",""),",",REPT(" ",99)),100,99)))</f>
        <v/>
      </c>
      <c r="CZ116" s="43" t="str">
        <f aca="false">IF(Tasks[[#This Row],[_Pred2Text]]="","",IFERROR(VALUE(LEFT(Tasks[[#This Row],[_Pred2Text]],MIN(FIND("F",Tasks[[#This Row],[_Pred2Text]]&amp;"F"),FIND("S",Tasks[[#This Row],[_Pred2Text]]&amp;"S"),FIND("+",Tasks[[#This Row],[_Pred2Text]]&amp;"+"),FIND("-",Tasks[[#This Row],[_Pred2Text]]&amp;"-"))-1)),""))</f>
        <v/>
      </c>
      <c r="DA11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6" s="43" t="str">
        <f aca="false">IF(Tasks[[#This Row],[_Pred2Text]]="","",TRIM(MID(SUBSTITUTE(SUBSTITUTE(SUBSTITUTE(UPPER(Tasks[[#This Row],[_Predecessors]]),";",",")," ",""),",",REPT(" ",99)),199,99)))</f>
        <v/>
      </c>
      <c r="DD116" s="43" t="str">
        <f aca="false">IF(Tasks[[#This Row],[_Pred3Text]]="","",IFERROR(VALUE(LEFT(Tasks[[#This Row],[_Pred3Text]],MIN(FIND("F",Tasks[[#This Row],[_Pred3Text]]&amp;"F"),FIND("S",Tasks[[#This Row],[_Pred3Text]]&amp;"S"),FIND("+",Tasks[[#This Row],[_Pred3Text]]&amp;"+"),FIND("-",Tasks[[#This Row],[_Pred3Text]]&amp;"-"))-1)),""))</f>
        <v/>
      </c>
      <c r="DE11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6" s="43" t="str">
        <f aca="false">IF(Tasks[[#This Row],[_Pred3Text]]="","",TRIM(MID(SUBSTITUTE(SUBSTITUTE(SUBSTITUTE(UPPER(Tasks[[#This Row],[_Predecessors]]),";",",")," ",""),",",REPT(" ",99)),298,99)))</f>
        <v/>
      </c>
      <c r="DH116" s="43" t="str">
        <f aca="false">IF(Tasks[[#This Row],[_Pred4Text]]="","",IFERROR(VALUE(LEFT(Tasks[[#This Row],[_Pred4Text]],MIN(FIND("F",Tasks[[#This Row],[_Pred4Text]]&amp;"F"),FIND("S",Tasks[[#This Row],[_Pred4Text]]&amp;"S"),FIND("+",Tasks[[#This Row],[_Pred4Text]]&amp;"+"),FIND("-",Tasks[[#This Row],[_Pred4Text]]&amp;"-"))-1)),""))</f>
        <v/>
      </c>
      <c r="DI11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6" s="43" t="str">
        <f aca="false">IF(OR(Tasks[[#This Row],[Task Name]]="",Tasks[[#This Row],[_Resources]]=""),"",TRIM(MID(SUBSTITUTE(Tasks[[#This Row],[_Resources]],",",REPT(" ",99)),1,99)))</f>
        <v/>
      </c>
      <c r="DL116" s="43" t="str">
        <f aca="false">IF(Tasks[[#This Row],[_Res1Text]]="","",TRIM(MID(SUBSTITUTE(Tasks[[#This Row],[_Resources]],",",REPT(" ",99)),100,99)))</f>
        <v/>
      </c>
      <c r="DM116" s="43" t="str">
        <f aca="false">IF(Tasks[[#This Row],[_Res2Text]]="","",TRIM(MID(SUBSTITUTE(Tasks[[#This Row],[_Resources]],",",REPT(" ",99)),199,99)))</f>
        <v/>
      </c>
      <c r="DN116" s="43" t="str">
        <f aca="false">IF(Tasks[[#This Row],[_Res3Text]]="","",TRIM(MID(SUBSTITUTE(Tasks[[#This Row],[_Resources]],",",REPT(" ",99)),298,99)))</f>
        <v/>
      </c>
      <c r="DO116" s="43" t="n">
        <f aca="false">IF(Tasks[[#This Row],[_Res1Text]]="",0,IFERROR(MATCH(TRIM(LEFT(Tasks[[#This Row],[_Res1Text]],FIND("[",Tasks[[#This Row],[_Res1Text]]&amp;"[")-1)),res_Name,0),IFERROR(MATCH(TRIM(LEFT(Tasks[[#This Row],[_Res1Text]],FIND("[",Tasks[[#This Row],[_Res1Text]]&amp;"[")-1)),res_Initials,0),0)))</f>
        <v>0</v>
      </c>
      <c r="DP116" s="43" t="n">
        <f aca="false">IF(Tasks[[#This Row],[_Res2Text]]="",0,IFERROR(MATCH(TRIM(LEFT(Tasks[[#This Row],[_Res2Text]],FIND("[",Tasks[[#This Row],[_Res2Text]]&amp;"[")-1)),res_Name,0),IFERROR(MATCH(TRIM(LEFT(Tasks[[#This Row],[_Res2Text]],FIND("[",Tasks[[#This Row],[_Res2Text]]&amp;"[")-1)),res_Initials,0),0)))</f>
        <v>0</v>
      </c>
      <c r="DQ116" s="43" t="n">
        <f aca="false">IF(Tasks[[#This Row],[_Res3Text]]="",0,IFERROR(MATCH(TRIM(LEFT(Tasks[[#This Row],[_Res3Text]],FIND("[",Tasks[[#This Row],[_Res3Text]]&amp;"[")-1)),res_Name,0),IFERROR(MATCH(TRIM(LEFT(Tasks[[#This Row],[_Res3Text]],FIND("[",Tasks[[#This Row],[_Res3Text]]&amp;"[")-1)),res_Initials,0),0)))</f>
        <v>0</v>
      </c>
      <c r="DR116" s="43" t="n">
        <f aca="false">IF(Tasks[[#This Row],[_Res4Text]]="",0,IFERROR(MATCH(TRIM(LEFT(Tasks[[#This Row],[_Res4Text]],FIND("[",Tasks[[#This Row],[_Res4Text]]&amp;"[")-1)),res_Name,0),IFERROR(MATCH(TRIM(LEFT(Tasks[[#This Row],[_Res4Text]],FIND("[",Tasks[[#This Row],[_Res4Text]]&amp;"[")-1)),res_Initials,0),0)))</f>
        <v>0</v>
      </c>
      <c r="DS116" s="43" t="str">
        <f aca="false">IF(Tasks[[#This Row],[_Res1Text]]="","",IF(Tasks[[#This Row],[_Res1Row]]&gt;0,INDEX(res_Name,Tasks[[#This Row],[_Res1Row]]),TRIM(LEFT(Tasks[[#This Row],[_Res1Text]],FIND("[",Tasks[[#This Row],[_Res1Text]]&amp;"[")-1))))</f>
        <v/>
      </c>
      <c r="DT11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6" s="43" t="n">
        <f aca="false">IF(NOT(Tasks[[#This Row],[_IsLeaf]]=1),0,(Tasks[[#This Row],[_Resource1]]&lt;&gt;"")+(Tasks[[#This Row],[_Res2]]&lt;&gt;"")+(Tasks[[#This Row],[_Res3]]&lt;&gt;"")+(Tasks[[#This Row],[_Res4]]&lt;&gt;""))</f>
        <v>0</v>
      </c>
      <c r="DV116" s="43" t="str">
        <f aca="false">IF(Tasks[[#This Row],[_Res2Text]]="","",IF(Tasks[[#This Row],[_Res2Row]]&gt;0,INDEX(res_Name,Tasks[[#This Row],[_Res2Row]]),TRIM(LEFT(Tasks[[#This Row],[_Res2Text]],FIND("[",Tasks[[#This Row],[_Res2Text]]&amp;"[")-1))))</f>
        <v/>
      </c>
      <c r="DW11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6" s="43" t="n">
        <f aca="false">IF(OR(NOT(Tasks[[#This Row],[_IsLeaf]]=1),Tasks[[#This Row],[_Res2Row]]=0),0,N(Tasks[[#This Row],[_Days]])*HoursPerDay*IF(Tasks[[#This Row],[_Res2Units]]="",DefaultUnits,Tasks[[#This Row],[_Res2Units]]))</f>
        <v>0</v>
      </c>
      <c r="DY116" s="43" t="n">
        <f aca="false">IF(AND(AND(Tasks[[#This Row],[_IsLeaf]]=1,Tasks[[#This Row],[_LeafTotalWork]]&gt;0),Tasks[[#This Row],[_Res2Work]]&gt;0),Tasks[[#This Row],[_Res2Work]]/(Tasks[[#This Row],[_FinishWorkday]]-Tasks[[#This Row],[_StartWorkday]]+1),0)</f>
        <v>0</v>
      </c>
      <c r="DZ116" s="43" t="n">
        <f aca="false">Tasks[[#This Row],[_Res2WorkPerWD]]*MAX(0,Tasks[[#This Row],[_StartWorkday]]-1)</f>
        <v>0</v>
      </c>
      <c r="EA116" s="43" t="n">
        <f aca="false">Tasks[[#This Row],[_Res2Work]]*Tasks[[#This Row],[_LeafProgress]]</f>
        <v>0</v>
      </c>
      <c r="EB116" s="43" t="str">
        <f aca="false">IF(Tasks[[#This Row],[_Res3Text]]="","",IF(Tasks[[#This Row],[_Res3Row]]&gt;0,INDEX(res_Name,Tasks[[#This Row],[_Res3Row]]),TRIM(LEFT(Tasks[[#This Row],[_Res3Text]],FIND("[",Tasks[[#This Row],[_Res3Text]]&amp;"[")-1))))</f>
        <v/>
      </c>
      <c r="EC11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6" s="43" t="n">
        <f aca="false">IF(OR(NOT(Tasks[[#This Row],[_IsLeaf]]=1),Tasks[[#This Row],[_Res3Row]]=0),0,N(Tasks[[#This Row],[_Days]])*HoursPerDay*IF(Tasks[[#This Row],[_Res3Units]]="",DefaultUnits,Tasks[[#This Row],[_Res3Units]]))</f>
        <v>0</v>
      </c>
      <c r="EE116" s="43" t="n">
        <f aca="false">IF(AND(AND(Tasks[[#This Row],[_IsLeaf]]=1,Tasks[[#This Row],[_LeafTotalWork]]&gt;0),Tasks[[#This Row],[_Res3Work]]&gt;0),Tasks[[#This Row],[_Res3Work]]/(Tasks[[#This Row],[_FinishWorkday]]-Tasks[[#This Row],[_StartWorkday]]+1),0)</f>
        <v>0</v>
      </c>
      <c r="EF116" s="43" t="n">
        <f aca="false">Tasks[[#This Row],[_Res3WorkPerWD]]*MAX(0,Tasks[[#This Row],[_StartWorkday]]-1)</f>
        <v>0</v>
      </c>
      <c r="EG116" s="43" t="n">
        <f aca="false">Tasks[[#This Row],[_Res3Work]]*Tasks[[#This Row],[_LeafProgress]]</f>
        <v>0</v>
      </c>
      <c r="EH116" s="43" t="str">
        <f aca="false">IF(Tasks[[#This Row],[_Res4Text]]="","",IF(Tasks[[#This Row],[_Res4Row]]&gt;0,INDEX(res_Name,Tasks[[#This Row],[_Res4Row]]),TRIM(LEFT(Tasks[[#This Row],[_Res4Text]],FIND("[",Tasks[[#This Row],[_Res4Text]]&amp;"[")-1))))</f>
        <v/>
      </c>
      <c r="EI11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6" s="43" t="n">
        <f aca="false">IF(OR(NOT(Tasks[[#This Row],[_IsLeaf]]=1),Tasks[[#This Row],[_Res4Row]]=0),0,N(Tasks[[#This Row],[_Days]])*HoursPerDay*IF(Tasks[[#This Row],[_Res4Units]]="",DefaultUnits,Tasks[[#This Row],[_Res4Units]]))</f>
        <v>0</v>
      </c>
      <c r="EK116" s="43" t="n">
        <f aca="false">IF(AND(AND(Tasks[[#This Row],[_IsLeaf]]=1,Tasks[[#This Row],[_LeafTotalWork]]&gt;0),Tasks[[#This Row],[_Res4Work]]&gt;0),Tasks[[#This Row],[_Res4Work]]/(Tasks[[#This Row],[_FinishWorkday]]-Tasks[[#This Row],[_StartWorkday]]+1),0)</f>
        <v>0</v>
      </c>
      <c r="EL116" s="43" t="n">
        <f aca="false">Tasks[[#This Row],[_Res4WorkPerWD]]*MAX(0,Tasks[[#This Row],[_StartWorkday]]-1)</f>
        <v>0</v>
      </c>
      <c r="EM116" s="43" t="n">
        <f aca="false">Tasks[[#This Row],[_Res4Work]]*Tasks[[#This Row],[_LeafProgress]]</f>
        <v>0</v>
      </c>
      <c r="EN116" s="43" t="n">
        <f aca="false">IF(ISNUMBER(Tasks[[#This Row],[% Complete]]),Tasks[[#This Row],[% Complete]],IF(Tasks[[#This Row],[Stage]]="",0,IFERROR(INDEX(stg_Pct,MATCH(Tasks[[#This Row],[Stage]],stg_Name,0)),0)))</f>
        <v>0</v>
      </c>
      <c r="EO116" s="43" t="n">
        <f aca="false">IF(NOT(Tasks[[#This Row],[_IsLeaf]]=1),0,IF(N(Tasks[[#This Row],[Actual Finish]])&gt;0,1,MIN(1,Tasks[[#This Row],[_Pct]])))</f>
        <v>0</v>
      </c>
      <c r="EP116" s="43" t="n">
        <f aca="false">IF(OR(NOT(Tasks[[#This Row],[_IsLeaf]]=1),Tasks[[#This Row],[_Res1Row]]=0),0,N(Tasks[[#This Row],[_Days]])*HoursPerDay*IF(Tasks[[#This Row],[_Units1]]="",DefaultUnits,Tasks[[#This Row],[_Units1]]))</f>
        <v>0</v>
      </c>
      <c r="EQ116" s="43" t="n">
        <f aca="false">Tasks[[#This Row],[_LeafWork]]+Tasks[[#This Row],[_Res2Work]]+Tasks[[#This Row],[_Res3Work]]+Tasks[[#This Row],[_Res4Work]]</f>
        <v>0</v>
      </c>
      <c r="ER11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6" s="43" t="n">
        <f aca="false">IF(NOT(Tasks[[#This Row],[_IsLeaf]]=1),0,MAX(_xlfn.MAXIFS(Tasks[_Row],Tasks[_Pred1UID],Tasks[[#This Row],[UID]]),_xlfn.MAXIFS(Tasks[_Row],Tasks[_Pred2UID],Tasks[[#This Row],[UID]]),_xlfn.MAXIFS(Tasks[_Row],Tasks[_Pred3UID],Tasks[[#This Row],[UID]]),_xlfn.MAXIFS(Tasks[_Row],Tasks[_Pred4UID],Tasks[[#This Row],[UID]])))</f>
        <v>0</v>
      </c>
      <c r="FA11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6" s="91" t="str">
        <f aca="false">IF(NOT(Tasks[[#This Row],[_IsLeaf]]=1),"",IF(N(Tasks[[#This Row],[_Days]])&lt;=0,Tasks[[#This Row],[_LeafLateFinish]],WORKDAY.INTL(Tasks[[#This Row],[_LeafLateFinish]],-(Tasks[[#This Row],[_Days]]-1),WorkWeek,Holidays)))</f>
        <v/>
      </c>
      <c r="FD11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6" s="90" t="b">
        <f aca="false">AND(Tasks[[#This Row],[_IsLeaf]]=1,Tasks[[#This Row],[_LeafProgress]]&lt;1,N(Tasks[[#This Row],[_LeafTotalSlack]])&lt;=CriticalSlackDays)</f>
        <v>0</v>
      </c>
      <c r="FF116" s="43" t="n">
        <f aca="false">IF(AND(Tasks[[#This Row],[_IsLeaf]]=1,Tasks[[#This Row],[_ConstraintCode]]=1,Tasks[[#This Row],[Mode]]&lt;&gt;"Manual",N(Tasks[[#This Row],[Actual Start]])=0),MAX(0,N(Tasks[[#This Row],[Free Slack]])),0)</f>
        <v>0</v>
      </c>
      <c r="FG116" s="91" t="str">
        <f aca="false">IF(NOT(Tasks[[#This Row],[_IsLeaf]]=1),"",IF(Tasks[[#This Row],[_AlapShift]]=0,Tasks[[#This Row],[_LeafCalcStart]],WORKDAY.INTL(Tasks[[#This Row],[_LeafCalcStart]],Tasks[[#This Row],[_AlapShift]],WorkWeek,Holidays)))</f>
        <v/>
      </c>
      <c r="FH116" s="91" t="str">
        <f aca="false">IF(NOT(Tasks[[#This Row],[_IsLeaf]]=1),"",IF(Tasks[[#This Row],[_AlapShift]]=0,Tasks[[#This Row],[_LeafCalcFinish]],WORKDAY.INTL(Tasks[[#This Row],[_LeafCalcFinish]],Tasks[[#This Row],[_AlapShift]],WorkWeek,Holidays)))</f>
        <v/>
      </c>
      <c r="FI116" s="91" t="str">
        <f aca="false">IF(NOT(Tasks[[#This Row],[_IsLeaf]]=1),"",IF(Tasks[[#This Row],[_AlapShift]]=0,Tasks[[#This Row],[_LeafFcstStart]],WORKDAY.INTL(Tasks[[#This Row],[_LeafFcstStart]],Tasks[[#This Row],[_AlapShift]],WorkWeek,Holidays)))</f>
        <v/>
      </c>
      <c r="FJ116" s="91" t="str">
        <f aca="false">IF(NOT(Tasks[[#This Row],[_IsLeaf]]=1),"",IF(Tasks[[#This Row],[_AlapShift]]=0,Tasks[[#This Row],[_LeafFcstFinish]],WORKDAY.INTL(Tasks[[#This Row],[_LeafFcstFinish]],Tasks[[#This Row],[_AlapShift]],WorkWeek,Holidays)))</f>
        <v/>
      </c>
      <c r="FK116" s="91" t="str">
        <f aca="false">IF(Tasks[[#This Row],[Task Name]]="","",IF(Tasks[[#This Row],[_IsSummary]],MIN(INDEX(Tasks[_ShownCalcStart],Tasks[[#This Row],[_Row]]+1):INDEX(Tasks[_ShownCalcStart],Tasks[[#This Row],[_Row]]+Tasks[[#This Row],[_Descendants]])),Tasks[[#This Row],[_ShownCalcStart]]))</f>
        <v/>
      </c>
      <c r="FL116" s="91" t="str">
        <f aca="false">IF(Tasks[[#This Row],[Task Name]]="","",IF(Tasks[[#This Row],[_IsSummary]],MAX(INDEX(Tasks[_ShownCalcFinish],Tasks[[#This Row],[_Row]]+1):INDEX(Tasks[_ShownCalcFinish],Tasks[[#This Row],[_Row]]+Tasks[[#This Row],[_Descendants]])),Tasks[[#This Row],[_ShownCalcFinish]]))</f>
        <v/>
      </c>
      <c r="FM11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6" s="43" t="n">
        <f aca="false">IF(AND(Tasks[[#This Row],[_IsLeaf]]=1,Tasks[[#This Row],[_LeafTotalWork]]&gt;0),NETWORKDAYS.INTL(ProjectStart,Tasks[[#This Row],[_ShownFcstStart]],WorkWeek,Holidays),0)</f>
        <v>0</v>
      </c>
      <c r="FZ116" s="43" t="n">
        <f aca="false">IF(AND(Tasks[[#This Row],[_IsLeaf]]=1,Tasks[[#This Row],[_LeafTotalWork]]&gt;0),MAX(Tasks[[#This Row],[_StartWorkday]],NETWORKDAYS.INTL(ProjectStart,Tasks[[#This Row],[_ShownFcstFinish]],WorkWeek,Holidays)),0)</f>
        <v>0</v>
      </c>
      <c r="GA116" s="43" t="n">
        <f aca="false">IF(AND(Tasks[[#This Row],[_IsLeaf]]=1,Tasks[[#This Row],[_LeafTotalWork]]&gt;0),Tasks[[#This Row],[_LeafWork]]/(Tasks[[#This Row],[_FinishWorkday]]-Tasks[[#This Row],[_StartWorkday]]+1),0)</f>
        <v>0</v>
      </c>
      <c r="GB116" s="43" t="n">
        <f aca="false">Tasks[[#This Row],[_WorkPerWorkday]]*(Tasks[[#This Row],[_StartWorkday]]-1)</f>
        <v>-0</v>
      </c>
      <c r="GC116" s="43" t="n">
        <f aca="false">IF(Tasks[[#This Row],[_IsLeaf]]=1,MAX(N(Tasks[[#This Row],[_Days]]),0.1),0)</f>
        <v>0</v>
      </c>
      <c r="GD116" s="43" t="n">
        <f aca="false">Tasks[[#This Row],[_WeightDur]]*Tasks[[#This Row],[_LeafProgress]]</f>
        <v>0</v>
      </c>
      <c r="GE116" s="43" t="n">
        <f aca="false">Tasks[[#This Row],[_WeightDur]]*Tasks[[#This Row],[_PlannedPct]]</f>
        <v>0</v>
      </c>
      <c r="GF11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6" s="43" t="str">
        <f aca="false">IF(AND(Tasks[[#This Row],[_IsLeaf]]=1,N(Tasks[[#This Row],[_Days]])=0,Tasks[[#This Row],[_LeafProgress]]&lt;1),Tasks[[#This Row],[_ShownFcstFinish]]+Tasks[[#This Row],[_Row]]/100000,"")</f>
        <v/>
      </c>
      <c r="GH11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6" s="43" t="str">
        <f aca="false">IF(Tasks[[#This Row],[Task Name]]="","",LEFT(Tasks[[#This Row],[WBS]],FIND(".",Tasks[[#This Row],[WBS]]&amp;".")-1))</f>
        <v/>
      </c>
      <c r="GJ116" s="43" t="str">
        <f aca="false">IF(AND(Tasks[[#This Row],[Task Name]]&lt;&gt;"",Tasks[[#This Row],[_Level]]=1),Tasks[[#This Row],[_Row]],"")</f>
        <v/>
      </c>
      <c r="GK116" s="43" t="str">
        <f aca="false">IF(AND(Tasks[[#This Row],[_IsLeaf]]=1,N(Tasks[[#This Row],[_Days]])=0),Tasks[[#This Row],[Planned Finish]]+Tasks[[#This Row],[_Row]]/100000,"")</f>
        <v/>
      </c>
      <c r="GL116" s="43" t="str">
        <f aca="false">IF(AND(Tasks[[#This Row],[_IsLeaf]]=1,Tasks[[#This Row],[_LeafProgress]]&lt;1,OR(N(Tasks[[#This Row],[Finish Var]])&gt;0,Tasks[[#This Row],[Status]]="Late Start")),MAX(0,Tasks[[#This Row],[Finish Var]])+1-Tasks[[#This Row],[_Row]]/1000000,"")</f>
        <v/>
      </c>
      <c r="GM116" s="43" t="str">
        <f aca="false">IF(AND(Tasks[[#This Row],[_IsLeaf]]=1,N(Tasks[[#This Row],[Actual Start]])=0,Tasks[[#This Row],[_ShownFcstStart]]&gt;=StatusDate,Tasks[[#This Row],[_ShownFcstStart]]&lt;=LookaheadEnd),Tasks[[#This Row],[_ShownFcstStart]]+Tasks[[#This Row],[_Row]]/100000,"")</f>
        <v/>
      </c>
      <c r="GN116" s="43" t="str">
        <f aca="false">IF(AND(Tasks[[#This Row],[_IsLeaf]]=1,Tasks[[#This Row],[_LeafProgress]]&lt;1,Tasks[[#This Row],[_ShownFcstFinish]]&gt;=StatusDate,Tasks[[#This Row],[_ShownFcstFinish]]&lt;=LookaheadEnd),Tasks[[#This Row],[_ShownFcstFinish]]+Tasks[[#This Row],[_Row]]/100000,"")</f>
        <v/>
      </c>
      <c r="GO116" s="43" t="str">
        <f aca="false">IF(Tasks[[#This Row],[_LeafCritical]],Tasks[[#This Row],[_ShownFcstStart]]+Tasks[[#This Row],[_Row]]/100000,"")</f>
        <v/>
      </c>
      <c r="GP116" s="43" t="n">
        <f aca="false">Tasks[[#This Row],[_LeafWork]]*Tasks[[#This Row],[_LeafProgress]]</f>
        <v>0</v>
      </c>
      <c r="GQ116" s="91" t="str">
        <f aca="false">IF(AND(Tasks[[#This Row],[_IsLeaf]]=1,Tasks[[#This Row],[_LeafProgress]]&gt;=1),IF(N(Tasks[[#This Row],[Actual Finish]])&gt;0,Tasks[[#This Row],[Actual Finish]],Tasks[[#This Row],[_ShownFcstFinish]]),"")</f>
        <v/>
      </c>
      <c r="GR116" s="43" t="n">
        <f aca="false">IF(Tasks[[#This Row],[_IsLeaf]]=1,N(Tasks[[#This Row],[Story Points]]),0)</f>
        <v>0</v>
      </c>
      <c r="GS116" s="43" t="str">
        <f aca="false">""</f>
        <v/>
      </c>
      <c r="GT116" s="90" t="b">
        <f aca="false">IF(Tasks[[#This Row],[Task Name]]="",FALSE(),AND(Tasks[[#This Row],[_IsLeaf]]=1,N(Tasks[[#This Row],[_Days]])=0))</f>
        <v>0</v>
      </c>
      <c r="GU116" s="91" t="n">
        <f aca="false">IF(Tasks[[#This Row],[Task Name]]="",0,IF(AND(Tasks[[#This Row],[_IsLeaf]]=1,NOT(Tasks[[#This Row],[_IsMilestone]]),N(Tasks[[#This Row],[Progress]])&gt;0),Tasks[[#This Row],[Start]],0))</f>
        <v>0</v>
      </c>
      <c r="GV116" s="91" t="n">
        <f aca="false">IF(Tasks[[#This Row],[_DoneFrom]]=0,0,IF(Tasks[[#This Row],[Progress]]&gt;=1,Tasks[[#This Row],[Finish]],MAX(Tasks[[#This Row],[_DoneFrom]],Tasks[[#This Row],[Start]]+ROUND((Tasks[[#This Row],[Finish]]-Tasks[[#This Row],[Start]]+1)*Tasks[[#This Row],[Progress]],0)-1)))</f>
        <v>0</v>
      </c>
      <c r="GW116" s="91" t="n">
        <f aca="false">IF(Tasks[[#This Row],[Task Name]]="",0,IF(OR(NOT(Tasks[[#This Row],[_IsLeaf]]=1),Tasks[[#This Row],[_IsMilestone]],N(Tasks[[#This Row],[Progress]])&gt;=1),0,IF(Tasks[[#This Row],[_DoneTo]]&gt;0,Tasks[[#This Row],[_DoneTo]]+1,Tasks[[#This Row],[Start]])))</f>
        <v>0</v>
      </c>
      <c r="GX116" s="91" t="n">
        <f aca="false">IF(Tasks[[#This Row],[_RemFrom]]=0,0,Tasks[[#This Row],[Finish]])</f>
        <v>0</v>
      </c>
      <c r="GY116" s="90" t="b">
        <f aca="false">IF(Tasks[[#This Row],[Task Name]]="",FALSE(),OR(NOT(BaselineSet),N(Tasks[[#This Row],[Baseline Start]])&gt;0))</f>
        <v>0</v>
      </c>
      <c r="GZ11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6" s="92" t="str">
        <f aca="false">IF(Tasks[[#This Row],[_IsLeaf]]=1,Tasks[[#This Row],[_Row]],"")</f>
        <v/>
      </c>
      <c r="HD116" s="92" t="str">
        <f aca="false">IFERROR(INDEX(Tasks[UID],SMALL(Tasks[_PickKey],Tasks[[#This Row],[_Row]]))&amp;" "&amp;INDEX(Tasks[Task Name],SMALL(Tasks[_PickKey],Tasks[[#This Row],[_Row]])),"")</f>
        <v/>
      </c>
      <c r="HE116" s="43" t="str">
        <f aca="false">IF(Tasks[[#This Row],[Task Name]]="","",IF(Tasks[[#This Row],[_IsSummary]],NETWORKDAYS.INTL(Tasks[[#This Row],[Start]],Tasks[[#This Row],[Finish]],WorkWeek,Holidays),N(Tasks[[#This Row],[_Days]])))</f>
        <v/>
      </c>
      <c r="HF116" s="43" t="n">
        <f aca="false">IF(Tasks[[#This Row],[Expected]]="",0,((Tasks[[#This Row],[Pessimistic]]-Tasks[[#This Row],[Optimistic]])/6)^2)</f>
        <v>0</v>
      </c>
      <c r="HG116" s="43" t="n">
        <f aca="false">IF(Tasks[[#This Row],[Expected]]="",0,Tasks[[#This Row],[Expected]]-N(Tasks[[#This Row],[_Days]]))</f>
        <v>0</v>
      </c>
    </row>
    <row r="117" customFormat="false" ht="15" hidden="false" customHeight="false" outlineLevel="0" collapsed="false">
      <c r="A117" s="21" t="str">
        <f aca="false">IF(Tasks[[#This Row],[Task Name]]="","",COUNTA(Tasks[[#Headers],[Task Name]]:Tasks[[#This Row],[Task Name]])-1)</f>
        <v/>
      </c>
      <c r="B117" s="22" t="n">
        <v>125</v>
      </c>
      <c r="C117" s="22"/>
      <c r="D117" s="23"/>
      <c r="E117" s="22"/>
      <c r="F117" s="23"/>
      <c r="G117" s="22"/>
      <c r="H117" s="22"/>
      <c r="I117" s="23"/>
      <c r="J117" s="22"/>
      <c r="K117" s="22"/>
      <c r="L117" s="23"/>
      <c r="M117" s="22"/>
      <c r="N117" s="22"/>
      <c r="O117" s="23"/>
      <c r="P117" s="22"/>
      <c r="Q117" s="22"/>
      <c r="R117" s="23"/>
      <c r="S117" s="23"/>
      <c r="T117" s="84"/>
      <c r="U117" s="23"/>
      <c r="V117" s="84"/>
      <c r="W117" s="23"/>
      <c r="X117" s="84"/>
      <c r="Y117" s="23"/>
      <c r="Z117" s="84"/>
      <c r="AA117" s="23"/>
      <c r="AB117" s="23"/>
      <c r="AC117" s="7"/>
      <c r="AD117" s="7"/>
      <c r="AE117" s="63" t="str">
        <f aca="false">IF(Tasks[[#This Row],[Task Name]]="","",IF(Tasks[[#This Row],[_IsSummary]],MIN(INDEX(Tasks[_ShownFcstStart],Tasks[[#This Row],[_Row]]+1):INDEX(Tasks[_ShownFcstStart],Tasks[[#This Row],[_Row]]+Tasks[[#This Row],[_Descendants]])),Tasks[[#This Row],[_ShownFcstStart]]))</f>
        <v/>
      </c>
      <c r="AF117" s="63" t="str">
        <f aca="false">IF(Tasks[[#This Row],[Task Name]]="","",IF(Tasks[[#This Row],[_IsSummary]],MAX(INDEX(Tasks[_ShownFcstFinish],Tasks[[#This Row],[_Row]]+1):INDEX(Tasks[_ShownFcstFinish],Tasks[[#This Row],[_Row]]+Tasks[[#This Row],[_Descendants]])),Tasks[[#This Row],[_ShownFcstFinish]]))</f>
        <v/>
      </c>
      <c r="AG117" s="21" t="str">
        <f aca="false">""</f>
        <v/>
      </c>
      <c r="AH117" s="23"/>
      <c r="AI1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7" s="7"/>
      <c r="AK117" s="22"/>
      <c r="AL117" s="23"/>
      <c r="AM117" s="7"/>
      <c r="AN117" s="47" t="str">
        <f aca="false">IF(Tasks[[#This Row],[Task Name]]="","",IF(Tasks[[#This Row],[Finish]]&gt;=Tasks[[#This Row],[Planned Finish]],NETWORKDAYS.INTL(Tasks[[#This Row],[Planned Finish]],Tasks[[#This Row],[Finish]],WorkWeek,Holidays)-1,1-NETWORKDAYS.INTL(Tasks[[#This Row],[Finish]],Tasks[[#This Row],[Planned Finish]],WorkWeek,Holidays)))</f>
        <v/>
      </c>
      <c r="AO117" s="21" t="str">
        <f aca="false">IF(Tasks[[#This Row],[Task Name]]="","",IF(Tasks[[#This Row],[Progress]]&gt;=1,"Complete",IF(OR(N(Tasks[[#This Row],[Actual Start]])&gt;0,Tasks[[#This Row],[Progress]]&gt;0),IF(Tasks[[#This Row],[Finish Var]]&gt;0,"Behind","In Progress"),IF(Tasks[[#This Row],[Planned Start]]&lt;StatusDate,"Late Start","Not Started"))))</f>
        <v/>
      </c>
      <c r="AP117" s="21" t="str">
        <f aca="false">IF(Tasks[[#This Row],[Task Name]]="","",IF(IF(Tasks[[#This Row],[_IsSummary]],COUNTIF(INDEX(Tasks[_LeafCritical],Tasks[[#This Row],[_Row]]+1):INDEX(Tasks[_LeafCritical],Tasks[[#This Row],[_Row]]+Tasks[[#This Row],[_Descendants]]),TRUE())&gt;0,Tasks[[#This Row],[_LeafCritical]]),"Yes",""))</f>
        <v/>
      </c>
      <c r="AQ117" s="63" t="str">
        <f aca="false">IF(Tasks[[#This Row],[Task Name]]="","",IF(N(Tasks[[#This Row],[Baseline Start]])&gt;0,Tasks[[#This Row],[Baseline Start]],Tasks[[#This Row],[_CalcStart]]))</f>
        <v/>
      </c>
      <c r="AR117" s="63" t="str">
        <f aca="false">IF(Tasks[[#This Row],[Task Name]]="","",IF(N(Tasks[[#This Row],[Baseline Finish]])&gt;0,Tasks[[#This Row],[Baseline Finish]],Tasks[[#This Row],[_CalcFinish]]))</f>
        <v/>
      </c>
      <c r="AS117" s="47" t="str">
        <f aca="false">IF(Tasks[[#This Row],[Task Name]]="","",IF(Tasks[[#This Row],[Start]]&gt;=Tasks[[#This Row],[Planned Start]],NETWORKDAYS.INTL(Tasks[[#This Row],[Planned Start]],Tasks[[#This Row],[Start]],WorkWeek,Holidays)-1,1-NETWORKDAYS.INTL(Tasks[[#This Row],[Start]],Tasks[[#This Row],[Planned Start]],WorkWeek,Holidays)))</f>
        <v/>
      </c>
      <c r="AT117" s="63" t="str">
        <f aca="false">IF(Tasks[[#This Row],[Task Name]]="","",IF(Tasks[[#This Row],[_IsSummary]],MIN(INDEX(Tasks[_LeafLateStart],Tasks[[#This Row],[_Row]]+1):INDEX(Tasks[_LeafLateStart],Tasks[[#This Row],[_Row]]+Tasks[[#This Row],[_Descendants]])),Tasks[[#This Row],[_LeafLateStart]]))</f>
        <v/>
      </c>
      <c r="AU117" s="63" t="str">
        <f aca="false">IF(Tasks[[#This Row],[Task Name]]="","",IF(Tasks[[#This Row],[_IsSummary]],MAX(INDEX(Tasks[_LeafLateFinish],Tasks[[#This Row],[_Row]]+1):INDEX(Tasks[_LeafLateFinish],Tasks[[#This Row],[_Row]]+Tasks[[#This Row],[_Descendants]])),Tasks[[#This Row],[_LeafLateFinish]]))</f>
        <v/>
      </c>
      <c r="AV117" s="47" t="str">
        <f aca="false">IF(Tasks[[#This Row],[Task Name]]="","",IF(Tasks[[#This Row],[_IsSummary]],MIN(INDEX(Tasks[_LeafTotalSlack],Tasks[[#This Row],[_Row]]+1):INDEX(Tasks[_LeafTotalSlack],Tasks[[#This Row],[_Row]]+Tasks[[#This Row],[_Descendants]])),Tasks[[#This Row],[_LeafTotalSlack]]))</f>
        <v/>
      </c>
      <c r="AW11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5"/>
      <c r="BA11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1" t="str">
        <f aca="false">IF(Tasks[[#This Row],[Task Name]]="","",IF(Tasks[[#This Row],[_Level]]&lt;=OutlineShowLevel,"Yes","No"))</f>
        <v/>
      </c>
      <c r="BE117" s="86" t="str">
        <f aca="false">IF(Tasks[[#This Row],[Task Name]]="","",IF(Tasks[[#This Row],[_IsSummary]],SUM(INDEX(Tasks[_LeafTotalWork],Tasks[[#This Row],[_Row]]+1):INDEX(Tasks[_LeafTotalWork],Tasks[[#This Row],[_Row]]+Tasks[[#This Row],[_Descendants]])),Tasks[[#This Row],[_LeafTotalWork]]))</f>
        <v/>
      </c>
      <c r="BF117" s="23"/>
      <c r="BG1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7" s="21" t="str">
        <f aca="false">""</f>
        <v/>
      </c>
      <c r="BI117" s="87"/>
      <c r="BJ117" s="22"/>
      <c r="BK117" s="47" t="str">
        <f aca="false">IF(OR(Tasks[[#This Row],[Task Name]]="",Tasks[[#This Row],[Baseline Duration]]=""),"",Tasks[[#This Row],[_SpanDays]]-N(Tasks[[#This Row],[Baseline Duration]]))</f>
        <v/>
      </c>
      <c r="BL117" s="86" t="str">
        <f aca="false">IF(OR(Tasks[[#This Row],[Task Name]]="",Tasks[[#This Row],[Baseline Work]]=""),"",Tasks[[#This Row],[Work]]-N(Tasks[[#This Row],[Baseline Work]]))</f>
        <v/>
      </c>
      <c r="BM117" s="63" t="str">
        <f aca="false">IF(Tasks[[#This Row],[Task Name]]="","",IF(OR(TakeBaseline="Yes",N(Tasks[[#This Row],[Baseline Start]])=0),Tasks[[#This Row],[Start]],Tasks[[#This Row],[Baseline Start]]))</f>
        <v/>
      </c>
      <c r="BN117" s="63" t="str">
        <f aca="false">IF(Tasks[[#This Row],[Task Name]]="","",IF(OR(TakeBaseline="Yes",N(Tasks[[#This Row],[Baseline Finish]])=0),Tasks[[#This Row],[Finish]],Tasks[[#This Row],[Baseline Finish]]))</f>
        <v/>
      </c>
      <c r="BO117" s="21" t="str">
        <f aca="false">IF(Tasks[[#This Row],[Task Name]]="","",IF(OR(TakeBaseline="Yes",N(Tasks[[#This Row],[Baseline Duration]])=0),Tasks[[#This Row],[_SpanDays]],Tasks[[#This Row],[Baseline Duration]]))</f>
        <v/>
      </c>
      <c r="BP117" s="86" t="str">
        <f aca="false">IF(Tasks[[#This Row],[Task Name]]="","",IF(OR(TakeBaseline="Yes",N(Tasks[[#This Row],[Baseline Work]])=0),Tasks[[#This Row],[Work]],Tasks[[#This Row],[Baseline Work]]))</f>
        <v/>
      </c>
      <c r="BQ117" s="7"/>
      <c r="BR117" s="7"/>
      <c r="BS117" s="22"/>
      <c r="BT117" s="88"/>
      <c r="BU117" s="23"/>
      <c r="BV117" s="23"/>
      <c r="BW117" s="23"/>
      <c r="BX117" s="89" t="str">
        <f aca="false">IF(AND(Tasks[[#This Row],[_IsLeaf]]=1,ISNUMBER(Tasks[[#This Row],[Optimistic]]),ISNUMBER(Tasks[[#This Row],[Pessimistic]])),ROUND((Tasks[[#This Row],[Optimistic]]+4*N(Tasks[[#This Row],[_Days]])+Tasks[[#This Row],[Pessimistic]])/6,1),"")</f>
        <v/>
      </c>
      <c r="BY117" s="87"/>
      <c r="BZ117" s="87"/>
      <c r="CA117" s="22"/>
      <c r="CB117" s="43" t="str">
        <f aca="false">IF(Tasks[[#This Row],[Task Name]]="","",MAX(1,N(Tasks[[#This Row],[Level]])))</f>
        <v/>
      </c>
      <c r="CC117" s="43" t="n">
        <f aca="false">ROW()-ROW(Tasks[[#Headers],[ID]])</f>
        <v>112</v>
      </c>
      <c r="CD117" s="43" t="n">
        <f aca="false">IF(OR(Tasks[[#This Row],[Task Name]]="",Tasks[[#This Row],[_Level]]&lt;=1),0,IFERROR(LOOKUP(2,1/(Tasks[[#Headers],[_Level]]:Tasks[[#This Row],[_Level]]=Tasks[[#This Row],[_Level]]-1),ROW(Tasks[[#Headers],[_Level]]:Tasks[[#This Row],[_Level]])),0))</f>
        <v>0</v>
      </c>
      <c r="CE117" s="43" t="n">
        <f aca="false">IFERROR(N(INDEX(Tasks[_Level],Tasks[[#This Row],[_Row]]+1)),0)</f>
        <v>0</v>
      </c>
      <c r="CF117" s="90" t="b">
        <f aca="false">AND(Tasks[[#This Row],[Task Name]]&lt;&gt;"",Tasks[[#This Row],[_NextLevel]]&gt;Tasks[[#This Row],[_Level]])</f>
        <v>0</v>
      </c>
      <c r="CG117" s="43" t="n">
        <f aca="false">IF(Tasks[[#This Row],[_IsSummary]],COUNTIF(Tasks[WBS],Tasks[[#This Row],[WBS]]&amp;".*"),0)</f>
        <v>0</v>
      </c>
      <c r="CH117" s="43" t="n">
        <f aca="false">IF(AND(Tasks[[#This Row],[Task Name]]&lt;&gt;"",NOT(Tasks[[#This Row],[_IsSummary]])),1,0)</f>
        <v>0</v>
      </c>
      <c r="CI117" s="43" t="n">
        <f aca="false">IF(N(Tasks[[#This Row],[_Pred1UID]])=0,0,IFERROR(MATCH(Tasks[[#This Row],[_Pred1UID]],Tasks[UID],0),-1))</f>
        <v>0</v>
      </c>
      <c r="CJ117" s="43" t="n">
        <f aca="false">IF(N(Tasks[[#This Row],[_Pred2UID]])=0,0,IFERROR(MATCH(Tasks[[#This Row],[_Pred2UID]],Tasks[UID],0),-1))</f>
        <v>0</v>
      </c>
      <c r="CK117" s="43" t="n">
        <f aca="false">IF(N(Tasks[[#This Row],[_Pred3UID]])=0,0,IFERROR(MATCH(Tasks[[#This Row],[_Pred3UID]],Tasks[UID],0),-1))</f>
        <v>0</v>
      </c>
      <c r="CL117" s="43" t="n">
        <f aca="false">IF(N(Tasks[[#This Row],[_Pred4UID]])=0,0,IFERROR(MATCH(Tasks[[#This Row],[_Pred4UID]],Tasks[UID],0),-1))</f>
        <v>0</v>
      </c>
      <c r="CM11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7" s="91" t="n">
        <f aca="false">IF(OR(Tasks[[#This Row],[_ConstraintCode]]=2,Tasks[[#This Row],[_ConstraintCode]]=3,Tasks[[#This Row],[_ConstraintCode]]=4,Tasks[[#This Row],[_ConstraintCode]]=6),Tasks[[#This Row],[_ConstraintStart]],0)</f>
        <v>0</v>
      </c>
      <c r="CP117" s="91" t="n">
        <f aca="false">IF(OR(Tasks[[#This Row],[_ConstraintCode]]=2,Tasks[[#This Row],[_ConstraintCode]]=3,Tasks[[#This Row],[_ConstraintCode]]=5,Tasks[[#This Row],[_ConstraintCode]]=7),Tasks[[#This Row],[_ConstraintStart]],2958465)</f>
        <v>2958465</v>
      </c>
      <c r="CQ11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7" s="91" t="str">
        <f aca="false">IF(NOT(Tasks[[#This Row],[_IsLeaf]]=1),"",IF(N(Tasks[[#This Row],[_Days]])&lt;=0,Tasks[[#This Row],[_LeafCalcStart]],WORKDAY.INTL(Tasks[[#This Row],[_LeafCalcStart]],Tasks[[#This Row],[_Days]]-1,WorkWeek,Holidays)))</f>
        <v/>
      </c>
      <c r="CS11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7" s="43" t="str">
        <f aca="false">IF(Tasks[[#This Row],[_Predecessors]]="","",TRIM(MID(SUBSTITUTE(SUBSTITUTE(SUBSTITUTE(UPPER(Tasks[[#This Row],[_Predecessors]]),";",",")," ",""),",",REPT(" ",99)),1,99)))</f>
        <v/>
      </c>
      <c r="CV117" s="43" t="str">
        <f aca="false">IF(Tasks[[#This Row],[_Pred1Text]]="","",IFERROR(VALUE(LEFT(Tasks[[#This Row],[_Pred1Text]],MIN(FIND("F",Tasks[[#This Row],[_Pred1Text]]&amp;"F"),FIND("S",Tasks[[#This Row],[_Pred1Text]]&amp;"S"),FIND("+",Tasks[[#This Row],[_Pred1Text]]&amp;"+"),FIND("-",Tasks[[#This Row],[_Pred1Text]]&amp;"-"))-1)),""))</f>
        <v/>
      </c>
      <c r="CW11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7" s="43" t="str">
        <f aca="false">IF(Tasks[[#This Row],[_Pred1Text]]="","",TRIM(MID(SUBSTITUTE(SUBSTITUTE(SUBSTITUTE(UPPER(Tasks[[#This Row],[_Predecessors]]),";",",")," ",""),",",REPT(" ",99)),100,99)))</f>
        <v/>
      </c>
      <c r="CZ117" s="43" t="str">
        <f aca="false">IF(Tasks[[#This Row],[_Pred2Text]]="","",IFERROR(VALUE(LEFT(Tasks[[#This Row],[_Pred2Text]],MIN(FIND("F",Tasks[[#This Row],[_Pred2Text]]&amp;"F"),FIND("S",Tasks[[#This Row],[_Pred2Text]]&amp;"S"),FIND("+",Tasks[[#This Row],[_Pred2Text]]&amp;"+"),FIND("-",Tasks[[#This Row],[_Pred2Text]]&amp;"-"))-1)),""))</f>
        <v/>
      </c>
      <c r="DA11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7" s="43" t="str">
        <f aca="false">IF(Tasks[[#This Row],[_Pred2Text]]="","",TRIM(MID(SUBSTITUTE(SUBSTITUTE(SUBSTITUTE(UPPER(Tasks[[#This Row],[_Predecessors]]),";",",")," ",""),",",REPT(" ",99)),199,99)))</f>
        <v/>
      </c>
      <c r="DD117" s="43" t="str">
        <f aca="false">IF(Tasks[[#This Row],[_Pred3Text]]="","",IFERROR(VALUE(LEFT(Tasks[[#This Row],[_Pred3Text]],MIN(FIND("F",Tasks[[#This Row],[_Pred3Text]]&amp;"F"),FIND("S",Tasks[[#This Row],[_Pred3Text]]&amp;"S"),FIND("+",Tasks[[#This Row],[_Pred3Text]]&amp;"+"),FIND("-",Tasks[[#This Row],[_Pred3Text]]&amp;"-"))-1)),""))</f>
        <v/>
      </c>
      <c r="DE11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7" s="43" t="str">
        <f aca="false">IF(Tasks[[#This Row],[_Pred3Text]]="","",TRIM(MID(SUBSTITUTE(SUBSTITUTE(SUBSTITUTE(UPPER(Tasks[[#This Row],[_Predecessors]]),";",",")," ",""),",",REPT(" ",99)),298,99)))</f>
        <v/>
      </c>
      <c r="DH117" s="43" t="str">
        <f aca="false">IF(Tasks[[#This Row],[_Pred4Text]]="","",IFERROR(VALUE(LEFT(Tasks[[#This Row],[_Pred4Text]],MIN(FIND("F",Tasks[[#This Row],[_Pred4Text]]&amp;"F"),FIND("S",Tasks[[#This Row],[_Pred4Text]]&amp;"S"),FIND("+",Tasks[[#This Row],[_Pred4Text]]&amp;"+"),FIND("-",Tasks[[#This Row],[_Pred4Text]]&amp;"-"))-1)),""))</f>
        <v/>
      </c>
      <c r="DI11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7" s="43" t="str">
        <f aca="false">IF(OR(Tasks[[#This Row],[Task Name]]="",Tasks[[#This Row],[_Resources]]=""),"",TRIM(MID(SUBSTITUTE(Tasks[[#This Row],[_Resources]],",",REPT(" ",99)),1,99)))</f>
        <v/>
      </c>
      <c r="DL117" s="43" t="str">
        <f aca="false">IF(Tasks[[#This Row],[_Res1Text]]="","",TRIM(MID(SUBSTITUTE(Tasks[[#This Row],[_Resources]],",",REPT(" ",99)),100,99)))</f>
        <v/>
      </c>
      <c r="DM117" s="43" t="str">
        <f aca="false">IF(Tasks[[#This Row],[_Res2Text]]="","",TRIM(MID(SUBSTITUTE(Tasks[[#This Row],[_Resources]],",",REPT(" ",99)),199,99)))</f>
        <v/>
      </c>
      <c r="DN117" s="43" t="str">
        <f aca="false">IF(Tasks[[#This Row],[_Res3Text]]="","",TRIM(MID(SUBSTITUTE(Tasks[[#This Row],[_Resources]],",",REPT(" ",99)),298,99)))</f>
        <v/>
      </c>
      <c r="DO117" s="43" t="n">
        <f aca="false">IF(Tasks[[#This Row],[_Res1Text]]="",0,IFERROR(MATCH(TRIM(LEFT(Tasks[[#This Row],[_Res1Text]],FIND("[",Tasks[[#This Row],[_Res1Text]]&amp;"[")-1)),res_Name,0),IFERROR(MATCH(TRIM(LEFT(Tasks[[#This Row],[_Res1Text]],FIND("[",Tasks[[#This Row],[_Res1Text]]&amp;"[")-1)),res_Initials,0),0)))</f>
        <v>0</v>
      </c>
      <c r="DP117" s="43" t="n">
        <f aca="false">IF(Tasks[[#This Row],[_Res2Text]]="",0,IFERROR(MATCH(TRIM(LEFT(Tasks[[#This Row],[_Res2Text]],FIND("[",Tasks[[#This Row],[_Res2Text]]&amp;"[")-1)),res_Name,0),IFERROR(MATCH(TRIM(LEFT(Tasks[[#This Row],[_Res2Text]],FIND("[",Tasks[[#This Row],[_Res2Text]]&amp;"[")-1)),res_Initials,0),0)))</f>
        <v>0</v>
      </c>
      <c r="DQ117" s="43" t="n">
        <f aca="false">IF(Tasks[[#This Row],[_Res3Text]]="",0,IFERROR(MATCH(TRIM(LEFT(Tasks[[#This Row],[_Res3Text]],FIND("[",Tasks[[#This Row],[_Res3Text]]&amp;"[")-1)),res_Name,0),IFERROR(MATCH(TRIM(LEFT(Tasks[[#This Row],[_Res3Text]],FIND("[",Tasks[[#This Row],[_Res3Text]]&amp;"[")-1)),res_Initials,0),0)))</f>
        <v>0</v>
      </c>
      <c r="DR117" s="43" t="n">
        <f aca="false">IF(Tasks[[#This Row],[_Res4Text]]="",0,IFERROR(MATCH(TRIM(LEFT(Tasks[[#This Row],[_Res4Text]],FIND("[",Tasks[[#This Row],[_Res4Text]]&amp;"[")-1)),res_Name,0),IFERROR(MATCH(TRIM(LEFT(Tasks[[#This Row],[_Res4Text]],FIND("[",Tasks[[#This Row],[_Res4Text]]&amp;"[")-1)),res_Initials,0),0)))</f>
        <v>0</v>
      </c>
      <c r="DS117" s="43" t="str">
        <f aca="false">IF(Tasks[[#This Row],[_Res1Text]]="","",IF(Tasks[[#This Row],[_Res1Row]]&gt;0,INDEX(res_Name,Tasks[[#This Row],[_Res1Row]]),TRIM(LEFT(Tasks[[#This Row],[_Res1Text]],FIND("[",Tasks[[#This Row],[_Res1Text]]&amp;"[")-1))))</f>
        <v/>
      </c>
      <c r="DT11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7" s="43" t="n">
        <f aca="false">IF(NOT(Tasks[[#This Row],[_IsLeaf]]=1),0,(Tasks[[#This Row],[_Resource1]]&lt;&gt;"")+(Tasks[[#This Row],[_Res2]]&lt;&gt;"")+(Tasks[[#This Row],[_Res3]]&lt;&gt;"")+(Tasks[[#This Row],[_Res4]]&lt;&gt;""))</f>
        <v>0</v>
      </c>
      <c r="DV117" s="43" t="str">
        <f aca="false">IF(Tasks[[#This Row],[_Res2Text]]="","",IF(Tasks[[#This Row],[_Res2Row]]&gt;0,INDEX(res_Name,Tasks[[#This Row],[_Res2Row]]),TRIM(LEFT(Tasks[[#This Row],[_Res2Text]],FIND("[",Tasks[[#This Row],[_Res2Text]]&amp;"[")-1))))</f>
        <v/>
      </c>
      <c r="DW11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7" s="43" t="n">
        <f aca="false">IF(OR(NOT(Tasks[[#This Row],[_IsLeaf]]=1),Tasks[[#This Row],[_Res2Row]]=0),0,N(Tasks[[#This Row],[_Days]])*HoursPerDay*IF(Tasks[[#This Row],[_Res2Units]]="",DefaultUnits,Tasks[[#This Row],[_Res2Units]]))</f>
        <v>0</v>
      </c>
      <c r="DY117" s="43" t="n">
        <f aca="false">IF(AND(AND(Tasks[[#This Row],[_IsLeaf]]=1,Tasks[[#This Row],[_LeafTotalWork]]&gt;0),Tasks[[#This Row],[_Res2Work]]&gt;0),Tasks[[#This Row],[_Res2Work]]/(Tasks[[#This Row],[_FinishWorkday]]-Tasks[[#This Row],[_StartWorkday]]+1),0)</f>
        <v>0</v>
      </c>
      <c r="DZ117" s="43" t="n">
        <f aca="false">Tasks[[#This Row],[_Res2WorkPerWD]]*MAX(0,Tasks[[#This Row],[_StartWorkday]]-1)</f>
        <v>0</v>
      </c>
      <c r="EA117" s="43" t="n">
        <f aca="false">Tasks[[#This Row],[_Res2Work]]*Tasks[[#This Row],[_LeafProgress]]</f>
        <v>0</v>
      </c>
      <c r="EB117" s="43" t="str">
        <f aca="false">IF(Tasks[[#This Row],[_Res3Text]]="","",IF(Tasks[[#This Row],[_Res3Row]]&gt;0,INDEX(res_Name,Tasks[[#This Row],[_Res3Row]]),TRIM(LEFT(Tasks[[#This Row],[_Res3Text]],FIND("[",Tasks[[#This Row],[_Res3Text]]&amp;"[")-1))))</f>
        <v/>
      </c>
      <c r="EC11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7" s="43" t="n">
        <f aca="false">IF(OR(NOT(Tasks[[#This Row],[_IsLeaf]]=1),Tasks[[#This Row],[_Res3Row]]=0),0,N(Tasks[[#This Row],[_Days]])*HoursPerDay*IF(Tasks[[#This Row],[_Res3Units]]="",DefaultUnits,Tasks[[#This Row],[_Res3Units]]))</f>
        <v>0</v>
      </c>
      <c r="EE117" s="43" t="n">
        <f aca="false">IF(AND(AND(Tasks[[#This Row],[_IsLeaf]]=1,Tasks[[#This Row],[_LeafTotalWork]]&gt;0),Tasks[[#This Row],[_Res3Work]]&gt;0),Tasks[[#This Row],[_Res3Work]]/(Tasks[[#This Row],[_FinishWorkday]]-Tasks[[#This Row],[_StartWorkday]]+1),0)</f>
        <v>0</v>
      </c>
      <c r="EF117" s="43" t="n">
        <f aca="false">Tasks[[#This Row],[_Res3WorkPerWD]]*MAX(0,Tasks[[#This Row],[_StartWorkday]]-1)</f>
        <v>0</v>
      </c>
      <c r="EG117" s="43" t="n">
        <f aca="false">Tasks[[#This Row],[_Res3Work]]*Tasks[[#This Row],[_LeafProgress]]</f>
        <v>0</v>
      </c>
      <c r="EH117" s="43" t="str">
        <f aca="false">IF(Tasks[[#This Row],[_Res4Text]]="","",IF(Tasks[[#This Row],[_Res4Row]]&gt;0,INDEX(res_Name,Tasks[[#This Row],[_Res4Row]]),TRIM(LEFT(Tasks[[#This Row],[_Res4Text]],FIND("[",Tasks[[#This Row],[_Res4Text]]&amp;"[")-1))))</f>
        <v/>
      </c>
      <c r="EI11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7" s="43" t="n">
        <f aca="false">IF(OR(NOT(Tasks[[#This Row],[_IsLeaf]]=1),Tasks[[#This Row],[_Res4Row]]=0),0,N(Tasks[[#This Row],[_Days]])*HoursPerDay*IF(Tasks[[#This Row],[_Res4Units]]="",DefaultUnits,Tasks[[#This Row],[_Res4Units]]))</f>
        <v>0</v>
      </c>
      <c r="EK117" s="43" t="n">
        <f aca="false">IF(AND(AND(Tasks[[#This Row],[_IsLeaf]]=1,Tasks[[#This Row],[_LeafTotalWork]]&gt;0),Tasks[[#This Row],[_Res4Work]]&gt;0),Tasks[[#This Row],[_Res4Work]]/(Tasks[[#This Row],[_FinishWorkday]]-Tasks[[#This Row],[_StartWorkday]]+1),0)</f>
        <v>0</v>
      </c>
      <c r="EL117" s="43" t="n">
        <f aca="false">Tasks[[#This Row],[_Res4WorkPerWD]]*MAX(0,Tasks[[#This Row],[_StartWorkday]]-1)</f>
        <v>0</v>
      </c>
      <c r="EM117" s="43" t="n">
        <f aca="false">Tasks[[#This Row],[_Res4Work]]*Tasks[[#This Row],[_LeafProgress]]</f>
        <v>0</v>
      </c>
      <c r="EN117" s="43" t="n">
        <f aca="false">IF(ISNUMBER(Tasks[[#This Row],[% Complete]]),Tasks[[#This Row],[% Complete]],IF(Tasks[[#This Row],[Stage]]="",0,IFERROR(INDEX(stg_Pct,MATCH(Tasks[[#This Row],[Stage]],stg_Name,0)),0)))</f>
        <v>0</v>
      </c>
      <c r="EO117" s="43" t="n">
        <f aca="false">IF(NOT(Tasks[[#This Row],[_IsLeaf]]=1),0,IF(N(Tasks[[#This Row],[Actual Finish]])&gt;0,1,MIN(1,Tasks[[#This Row],[_Pct]])))</f>
        <v>0</v>
      </c>
      <c r="EP117" s="43" t="n">
        <f aca="false">IF(OR(NOT(Tasks[[#This Row],[_IsLeaf]]=1),Tasks[[#This Row],[_Res1Row]]=0),0,N(Tasks[[#This Row],[_Days]])*HoursPerDay*IF(Tasks[[#This Row],[_Units1]]="",DefaultUnits,Tasks[[#This Row],[_Units1]]))</f>
        <v>0</v>
      </c>
      <c r="EQ117" s="43" t="n">
        <f aca="false">Tasks[[#This Row],[_LeafWork]]+Tasks[[#This Row],[_Res2Work]]+Tasks[[#This Row],[_Res3Work]]+Tasks[[#This Row],[_Res4Work]]</f>
        <v>0</v>
      </c>
      <c r="ER11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7" s="43" t="n">
        <f aca="false">IF(NOT(Tasks[[#This Row],[_IsLeaf]]=1),0,MAX(_xlfn.MAXIFS(Tasks[_Row],Tasks[_Pred1UID],Tasks[[#This Row],[UID]]),_xlfn.MAXIFS(Tasks[_Row],Tasks[_Pred2UID],Tasks[[#This Row],[UID]]),_xlfn.MAXIFS(Tasks[_Row],Tasks[_Pred3UID],Tasks[[#This Row],[UID]]),_xlfn.MAXIFS(Tasks[_Row],Tasks[_Pred4UID],Tasks[[#This Row],[UID]])))</f>
        <v>0</v>
      </c>
      <c r="FA11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7" s="91" t="str">
        <f aca="false">IF(NOT(Tasks[[#This Row],[_IsLeaf]]=1),"",IF(N(Tasks[[#This Row],[_Days]])&lt;=0,Tasks[[#This Row],[_LeafLateFinish]],WORKDAY.INTL(Tasks[[#This Row],[_LeafLateFinish]],-(Tasks[[#This Row],[_Days]]-1),WorkWeek,Holidays)))</f>
        <v/>
      </c>
      <c r="FD11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7" s="90" t="b">
        <f aca="false">AND(Tasks[[#This Row],[_IsLeaf]]=1,Tasks[[#This Row],[_LeafProgress]]&lt;1,N(Tasks[[#This Row],[_LeafTotalSlack]])&lt;=CriticalSlackDays)</f>
        <v>0</v>
      </c>
      <c r="FF117" s="43" t="n">
        <f aca="false">IF(AND(Tasks[[#This Row],[_IsLeaf]]=1,Tasks[[#This Row],[_ConstraintCode]]=1,Tasks[[#This Row],[Mode]]&lt;&gt;"Manual",N(Tasks[[#This Row],[Actual Start]])=0),MAX(0,N(Tasks[[#This Row],[Free Slack]])),0)</f>
        <v>0</v>
      </c>
      <c r="FG117" s="91" t="str">
        <f aca="false">IF(NOT(Tasks[[#This Row],[_IsLeaf]]=1),"",IF(Tasks[[#This Row],[_AlapShift]]=0,Tasks[[#This Row],[_LeafCalcStart]],WORKDAY.INTL(Tasks[[#This Row],[_LeafCalcStart]],Tasks[[#This Row],[_AlapShift]],WorkWeek,Holidays)))</f>
        <v/>
      </c>
      <c r="FH117" s="91" t="str">
        <f aca="false">IF(NOT(Tasks[[#This Row],[_IsLeaf]]=1),"",IF(Tasks[[#This Row],[_AlapShift]]=0,Tasks[[#This Row],[_LeafCalcFinish]],WORKDAY.INTL(Tasks[[#This Row],[_LeafCalcFinish]],Tasks[[#This Row],[_AlapShift]],WorkWeek,Holidays)))</f>
        <v/>
      </c>
      <c r="FI117" s="91" t="str">
        <f aca="false">IF(NOT(Tasks[[#This Row],[_IsLeaf]]=1),"",IF(Tasks[[#This Row],[_AlapShift]]=0,Tasks[[#This Row],[_LeafFcstStart]],WORKDAY.INTL(Tasks[[#This Row],[_LeafFcstStart]],Tasks[[#This Row],[_AlapShift]],WorkWeek,Holidays)))</f>
        <v/>
      </c>
      <c r="FJ117" s="91" t="str">
        <f aca="false">IF(NOT(Tasks[[#This Row],[_IsLeaf]]=1),"",IF(Tasks[[#This Row],[_AlapShift]]=0,Tasks[[#This Row],[_LeafFcstFinish]],WORKDAY.INTL(Tasks[[#This Row],[_LeafFcstFinish]],Tasks[[#This Row],[_AlapShift]],WorkWeek,Holidays)))</f>
        <v/>
      </c>
      <c r="FK117" s="91" t="str">
        <f aca="false">IF(Tasks[[#This Row],[Task Name]]="","",IF(Tasks[[#This Row],[_IsSummary]],MIN(INDEX(Tasks[_ShownCalcStart],Tasks[[#This Row],[_Row]]+1):INDEX(Tasks[_ShownCalcStart],Tasks[[#This Row],[_Row]]+Tasks[[#This Row],[_Descendants]])),Tasks[[#This Row],[_ShownCalcStart]]))</f>
        <v/>
      </c>
      <c r="FL117" s="91" t="str">
        <f aca="false">IF(Tasks[[#This Row],[Task Name]]="","",IF(Tasks[[#This Row],[_IsSummary]],MAX(INDEX(Tasks[_ShownCalcFinish],Tasks[[#This Row],[_Row]]+1):INDEX(Tasks[_ShownCalcFinish],Tasks[[#This Row],[_Row]]+Tasks[[#This Row],[_Descendants]])),Tasks[[#This Row],[_ShownCalcFinish]]))</f>
        <v/>
      </c>
      <c r="FM11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7" s="43" t="n">
        <f aca="false">IF(AND(Tasks[[#This Row],[_IsLeaf]]=1,Tasks[[#This Row],[_LeafTotalWork]]&gt;0),NETWORKDAYS.INTL(ProjectStart,Tasks[[#This Row],[_ShownFcstStart]],WorkWeek,Holidays),0)</f>
        <v>0</v>
      </c>
      <c r="FZ117" s="43" t="n">
        <f aca="false">IF(AND(Tasks[[#This Row],[_IsLeaf]]=1,Tasks[[#This Row],[_LeafTotalWork]]&gt;0),MAX(Tasks[[#This Row],[_StartWorkday]],NETWORKDAYS.INTL(ProjectStart,Tasks[[#This Row],[_ShownFcstFinish]],WorkWeek,Holidays)),0)</f>
        <v>0</v>
      </c>
      <c r="GA117" s="43" t="n">
        <f aca="false">IF(AND(Tasks[[#This Row],[_IsLeaf]]=1,Tasks[[#This Row],[_LeafTotalWork]]&gt;0),Tasks[[#This Row],[_LeafWork]]/(Tasks[[#This Row],[_FinishWorkday]]-Tasks[[#This Row],[_StartWorkday]]+1),0)</f>
        <v>0</v>
      </c>
      <c r="GB117" s="43" t="n">
        <f aca="false">Tasks[[#This Row],[_WorkPerWorkday]]*(Tasks[[#This Row],[_StartWorkday]]-1)</f>
        <v>-0</v>
      </c>
      <c r="GC117" s="43" t="n">
        <f aca="false">IF(Tasks[[#This Row],[_IsLeaf]]=1,MAX(N(Tasks[[#This Row],[_Days]]),0.1),0)</f>
        <v>0</v>
      </c>
      <c r="GD117" s="43" t="n">
        <f aca="false">Tasks[[#This Row],[_WeightDur]]*Tasks[[#This Row],[_LeafProgress]]</f>
        <v>0</v>
      </c>
      <c r="GE117" s="43" t="n">
        <f aca="false">Tasks[[#This Row],[_WeightDur]]*Tasks[[#This Row],[_PlannedPct]]</f>
        <v>0</v>
      </c>
      <c r="GF11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7" s="43" t="str">
        <f aca="false">IF(AND(Tasks[[#This Row],[_IsLeaf]]=1,N(Tasks[[#This Row],[_Days]])=0,Tasks[[#This Row],[_LeafProgress]]&lt;1),Tasks[[#This Row],[_ShownFcstFinish]]+Tasks[[#This Row],[_Row]]/100000,"")</f>
        <v/>
      </c>
      <c r="GH11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7" s="43" t="str">
        <f aca="false">IF(Tasks[[#This Row],[Task Name]]="","",LEFT(Tasks[[#This Row],[WBS]],FIND(".",Tasks[[#This Row],[WBS]]&amp;".")-1))</f>
        <v/>
      </c>
      <c r="GJ117" s="43" t="str">
        <f aca="false">IF(AND(Tasks[[#This Row],[Task Name]]&lt;&gt;"",Tasks[[#This Row],[_Level]]=1),Tasks[[#This Row],[_Row]],"")</f>
        <v/>
      </c>
      <c r="GK117" s="43" t="str">
        <f aca="false">IF(AND(Tasks[[#This Row],[_IsLeaf]]=1,N(Tasks[[#This Row],[_Days]])=0),Tasks[[#This Row],[Planned Finish]]+Tasks[[#This Row],[_Row]]/100000,"")</f>
        <v/>
      </c>
      <c r="GL117" s="43" t="str">
        <f aca="false">IF(AND(Tasks[[#This Row],[_IsLeaf]]=1,Tasks[[#This Row],[_LeafProgress]]&lt;1,OR(N(Tasks[[#This Row],[Finish Var]])&gt;0,Tasks[[#This Row],[Status]]="Late Start")),MAX(0,Tasks[[#This Row],[Finish Var]])+1-Tasks[[#This Row],[_Row]]/1000000,"")</f>
        <v/>
      </c>
      <c r="GM117" s="43" t="str">
        <f aca="false">IF(AND(Tasks[[#This Row],[_IsLeaf]]=1,N(Tasks[[#This Row],[Actual Start]])=0,Tasks[[#This Row],[_ShownFcstStart]]&gt;=StatusDate,Tasks[[#This Row],[_ShownFcstStart]]&lt;=LookaheadEnd),Tasks[[#This Row],[_ShownFcstStart]]+Tasks[[#This Row],[_Row]]/100000,"")</f>
        <v/>
      </c>
      <c r="GN117" s="43" t="str">
        <f aca="false">IF(AND(Tasks[[#This Row],[_IsLeaf]]=1,Tasks[[#This Row],[_LeafProgress]]&lt;1,Tasks[[#This Row],[_ShownFcstFinish]]&gt;=StatusDate,Tasks[[#This Row],[_ShownFcstFinish]]&lt;=LookaheadEnd),Tasks[[#This Row],[_ShownFcstFinish]]+Tasks[[#This Row],[_Row]]/100000,"")</f>
        <v/>
      </c>
      <c r="GO117" s="43" t="str">
        <f aca="false">IF(Tasks[[#This Row],[_LeafCritical]],Tasks[[#This Row],[_ShownFcstStart]]+Tasks[[#This Row],[_Row]]/100000,"")</f>
        <v/>
      </c>
      <c r="GP117" s="43" t="n">
        <f aca="false">Tasks[[#This Row],[_LeafWork]]*Tasks[[#This Row],[_LeafProgress]]</f>
        <v>0</v>
      </c>
      <c r="GQ117" s="91" t="str">
        <f aca="false">IF(AND(Tasks[[#This Row],[_IsLeaf]]=1,Tasks[[#This Row],[_LeafProgress]]&gt;=1),IF(N(Tasks[[#This Row],[Actual Finish]])&gt;0,Tasks[[#This Row],[Actual Finish]],Tasks[[#This Row],[_ShownFcstFinish]]),"")</f>
        <v/>
      </c>
      <c r="GR117" s="43" t="n">
        <f aca="false">IF(Tasks[[#This Row],[_IsLeaf]]=1,N(Tasks[[#This Row],[Story Points]]),0)</f>
        <v>0</v>
      </c>
      <c r="GS117" s="43" t="str">
        <f aca="false">""</f>
        <v/>
      </c>
      <c r="GT117" s="90" t="b">
        <f aca="false">IF(Tasks[[#This Row],[Task Name]]="",FALSE(),AND(Tasks[[#This Row],[_IsLeaf]]=1,N(Tasks[[#This Row],[_Days]])=0))</f>
        <v>0</v>
      </c>
      <c r="GU117" s="91" t="n">
        <f aca="false">IF(Tasks[[#This Row],[Task Name]]="",0,IF(AND(Tasks[[#This Row],[_IsLeaf]]=1,NOT(Tasks[[#This Row],[_IsMilestone]]),N(Tasks[[#This Row],[Progress]])&gt;0),Tasks[[#This Row],[Start]],0))</f>
        <v>0</v>
      </c>
      <c r="GV117" s="91" t="n">
        <f aca="false">IF(Tasks[[#This Row],[_DoneFrom]]=0,0,IF(Tasks[[#This Row],[Progress]]&gt;=1,Tasks[[#This Row],[Finish]],MAX(Tasks[[#This Row],[_DoneFrom]],Tasks[[#This Row],[Start]]+ROUND((Tasks[[#This Row],[Finish]]-Tasks[[#This Row],[Start]]+1)*Tasks[[#This Row],[Progress]],0)-1)))</f>
        <v>0</v>
      </c>
      <c r="GW117" s="91" t="n">
        <f aca="false">IF(Tasks[[#This Row],[Task Name]]="",0,IF(OR(NOT(Tasks[[#This Row],[_IsLeaf]]=1),Tasks[[#This Row],[_IsMilestone]],N(Tasks[[#This Row],[Progress]])&gt;=1),0,IF(Tasks[[#This Row],[_DoneTo]]&gt;0,Tasks[[#This Row],[_DoneTo]]+1,Tasks[[#This Row],[Start]])))</f>
        <v>0</v>
      </c>
      <c r="GX117" s="91" t="n">
        <f aca="false">IF(Tasks[[#This Row],[_RemFrom]]=0,0,Tasks[[#This Row],[Finish]])</f>
        <v>0</v>
      </c>
      <c r="GY117" s="90" t="b">
        <f aca="false">IF(Tasks[[#This Row],[Task Name]]="",FALSE(),OR(NOT(BaselineSet),N(Tasks[[#This Row],[Baseline Start]])&gt;0))</f>
        <v>0</v>
      </c>
      <c r="GZ11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7" s="92" t="str">
        <f aca="false">IF(Tasks[[#This Row],[_IsLeaf]]=1,Tasks[[#This Row],[_Row]],"")</f>
        <v/>
      </c>
      <c r="HD117" s="92" t="str">
        <f aca="false">IFERROR(INDEX(Tasks[UID],SMALL(Tasks[_PickKey],Tasks[[#This Row],[_Row]]))&amp;" "&amp;INDEX(Tasks[Task Name],SMALL(Tasks[_PickKey],Tasks[[#This Row],[_Row]])),"")</f>
        <v/>
      </c>
      <c r="HE117" s="43" t="str">
        <f aca="false">IF(Tasks[[#This Row],[Task Name]]="","",IF(Tasks[[#This Row],[_IsSummary]],NETWORKDAYS.INTL(Tasks[[#This Row],[Start]],Tasks[[#This Row],[Finish]],WorkWeek,Holidays),N(Tasks[[#This Row],[_Days]])))</f>
        <v/>
      </c>
      <c r="HF117" s="43" t="n">
        <f aca="false">IF(Tasks[[#This Row],[Expected]]="",0,((Tasks[[#This Row],[Pessimistic]]-Tasks[[#This Row],[Optimistic]])/6)^2)</f>
        <v>0</v>
      </c>
      <c r="HG117" s="43" t="n">
        <f aca="false">IF(Tasks[[#This Row],[Expected]]="",0,Tasks[[#This Row],[Expected]]-N(Tasks[[#This Row],[_Days]]))</f>
        <v>0</v>
      </c>
    </row>
    <row r="118" customFormat="false" ht="15" hidden="false" customHeight="false" outlineLevel="0" collapsed="false">
      <c r="A118" s="21" t="str">
        <f aca="false">IF(Tasks[[#This Row],[Task Name]]="","",COUNTA(Tasks[[#Headers],[Task Name]]:Tasks[[#This Row],[Task Name]])-1)</f>
        <v/>
      </c>
      <c r="B118" s="22" t="n">
        <v>126</v>
      </c>
      <c r="C118" s="22"/>
      <c r="D118" s="23"/>
      <c r="E118" s="22"/>
      <c r="F118" s="23"/>
      <c r="G118" s="22"/>
      <c r="H118" s="22"/>
      <c r="I118" s="23"/>
      <c r="J118" s="22"/>
      <c r="K118" s="22"/>
      <c r="L118" s="23"/>
      <c r="M118" s="22"/>
      <c r="N118" s="22"/>
      <c r="O118" s="23"/>
      <c r="P118" s="22"/>
      <c r="Q118" s="22"/>
      <c r="R118" s="23"/>
      <c r="S118" s="23"/>
      <c r="T118" s="84"/>
      <c r="U118" s="23"/>
      <c r="V118" s="84"/>
      <c r="W118" s="23"/>
      <c r="X118" s="84"/>
      <c r="Y118" s="23"/>
      <c r="Z118" s="84"/>
      <c r="AA118" s="23"/>
      <c r="AB118" s="23"/>
      <c r="AC118" s="7"/>
      <c r="AD118" s="7"/>
      <c r="AE118" s="63" t="str">
        <f aca="false">IF(Tasks[[#This Row],[Task Name]]="","",IF(Tasks[[#This Row],[_IsSummary]],MIN(INDEX(Tasks[_ShownFcstStart],Tasks[[#This Row],[_Row]]+1):INDEX(Tasks[_ShownFcstStart],Tasks[[#This Row],[_Row]]+Tasks[[#This Row],[_Descendants]])),Tasks[[#This Row],[_ShownFcstStart]]))</f>
        <v/>
      </c>
      <c r="AF118" s="63" t="str">
        <f aca="false">IF(Tasks[[#This Row],[Task Name]]="","",IF(Tasks[[#This Row],[_IsSummary]],MAX(INDEX(Tasks[_ShownFcstFinish],Tasks[[#This Row],[_Row]]+1):INDEX(Tasks[_ShownFcstFinish],Tasks[[#This Row],[_Row]]+Tasks[[#This Row],[_Descendants]])),Tasks[[#This Row],[_ShownFcstFinish]]))</f>
        <v/>
      </c>
      <c r="AG118" s="21" t="str">
        <f aca="false">""</f>
        <v/>
      </c>
      <c r="AH118" s="23"/>
      <c r="AI1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8" s="7"/>
      <c r="AK118" s="22"/>
      <c r="AL118" s="23"/>
      <c r="AM118" s="7"/>
      <c r="AN118" s="47" t="str">
        <f aca="false">IF(Tasks[[#This Row],[Task Name]]="","",IF(Tasks[[#This Row],[Finish]]&gt;=Tasks[[#This Row],[Planned Finish]],NETWORKDAYS.INTL(Tasks[[#This Row],[Planned Finish]],Tasks[[#This Row],[Finish]],WorkWeek,Holidays)-1,1-NETWORKDAYS.INTL(Tasks[[#This Row],[Finish]],Tasks[[#This Row],[Planned Finish]],WorkWeek,Holidays)))</f>
        <v/>
      </c>
      <c r="AO118" s="21" t="str">
        <f aca="false">IF(Tasks[[#This Row],[Task Name]]="","",IF(Tasks[[#This Row],[Progress]]&gt;=1,"Complete",IF(OR(N(Tasks[[#This Row],[Actual Start]])&gt;0,Tasks[[#This Row],[Progress]]&gt;0),IF(Tasks[[#This Row],[Finish Var]]&gt;0,"Behind","In Progress"),IF(Tasks[[#This Row],[Planned Start]]&lt;StatusDate,"Late Start","Not Started"))))</f>
        <v/>
      </c>
      <c r="AP118" s="21" t="str">
        <f aca="false">IF(Tasks[[#This Row],[Task Name]]="","",IF(IF(Tasks[[#This Row],[_IsSummary]],COUNTIF(INDEX(Tasks[_LeafCritical],Tasks[[#This Row],[_Row]]+1):INDEX(Tasks[_LeafCritical],Tasks[[#This Row],[_Row]]+Tasks[[#This Row],[_Descendants]]),TRUE())&gt;0,Tasks[[#This Row],[_LeafCritical]]),"Yes",""))</f>
        <v/>
      </c>
      <c r="AQ118" s="63" t="str">
        <f aca="false">IF(Tasks[[#This Row],[Task Name]]="","",IF(N(Tasks[[#This Row],[Baseline Start]])&gt;0,Tasks[[#This Row],[Baseline Start]],Tasks[[#This Row],[_CalcStart]]))</f>
        <v/>
      </c>
      <c r="AR118" s="63" t="str">
        <f aca="false">IF(Tasks[[#This Row],[Task Name]]="","",IF(N(Tasks[[#This Row],[Baseline Finish]])&gt;0,Tasks[[#This Row],[Baseline Finish]],Tasks[[#This Row],[_CalcFinish]]))</f>
        <v/>
      </c>
      <c r="AS118" s="47" t="str">
        <f aca="false">IF(Tasks[[#This Row],[Task Name]]="","",IF(Tasks[[#This Row],[Start]]&gt;=Tasks[[#This Row],[Planned Start]],NETWORKDAYS.INTL(Tasks[[#This Row],[Planned Start]],Tasks[[#This Row],[Start]],WorkWeek,Holidays)-1,1-NETWORKDAYS.INTL(Tasks[[#This Row],[Start]],Tasks[[#This Row],[Planned Start]],WorkWeek,Holidays)))</f>
        <v/>
      </c>
      <c r="AT118" s="63" t="str">
        <f aca="false">IF(Tasks[[#This Row],[Task Name]]="","",IF(Tasks[[#This Row],[_IsSummary]],MIN(INDEX(Tasks[_LeafLateStart],Tasks[[#This Row],[_Row]]+1):INDEX(Tasks[_LeafLateStart],Tasks[[#This Row],[_Row]]+Tasks[[#This Row],[_Descendants]])),Tasks[[#This Row],[_LeafLateStart]]))</f>
        <v/>
      </c>
      <c r="AU118" s="63" t="str">
        <f aca="false">IF(Tasks[[#This Row],[Task Name]]="","",IF(Tasks[[#This Row],[_IsSummary]],MAX(INDEX(Tasks[_LeafLateFinish],Tasks[[#This Row],[_Row]]+1):INDEX(Tasks[_LeafLateFinish],Tasks[[#This Row],[_Row]]+Tasks[[#This Row],[_Descendants]])),Tasks[[#This Row],[_LeafLateFinish]]))</f>
        <v/>
      </c>
      <c r="AV118" s="47" t="str">
        <f aca="false">IF(Tasks[[#This Row],[Task Name]]="","",IF(Tasks[[#This Row],[_IsSummary]],MIN(INDEX(Tasks[_LeafTotalSlack],Tasks[[#This Row],[_Row]]+1):INDEX(Tasks[_LeafTotalSlack],Tasks[[#This Row],[_Row]]+Tasks[[#This Row],[_Descendants]])),Tasks[[#This Row],[_LeafTotalSlack]]))</f>
        <v/>
      </c>
      <c r="AW1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5"/>
      <c r="BA11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1" t="str">
        <f aca="false">IF(Tasks[[#This Row],[Task Name]]="","",IF(Tasks[[#This Row],[_Level]]&lt;=OutlineShowLevel,"Yes","No"))</f>
        <v/>
      </c>
      <c r="BE118" s="86" t="str">
        <f aca="false">IF(Tasks[[#This Row],[Task Name]]="","",IF(Tasks[[#This Row],[_IsSummary]],SUM(INDEX(Tasks[_LeafTotalWork],Tasks[[#This Row],[_Row]]+1):INDEX(Tasks[_LeafTotalWork],Tasks[[#This Row],[_Row]]+Tasks[[#This Row],[_Descendants]])),Tasks[[#This Row],[_LeafTotalWork]]))</f>
        <v/>
      </c>
      <c r="BF118" s="23"/>
      <c r="BG1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8" s="21" t="str">
        <f aca="false">""</f>
        <v/>
      </c>
      <c r="BI118" s="87"/>
      <c r="BJ118" s="22"/>
      <c r="BK118" s="47" t="str">
        <f aca="false">IF(OR(Tasks[[#This Row],[Task Name]]="",Tasks[[#This Row],[Baseline Duration]]=""),"",Tasks[[#This Row],[_SpanDays]]-N(Tasks[[#This Row],[Baseline Duration]]))</f>
        <v/>
      </c>
      <c r="BL118" s="86" t="str">
        <f aca="false">IF(OR(Tasks[[#This Row],[Task Name]]="",Tasks[[#This Row],[Baseline Work]]=""),"",Tasks[[#This Row],[Work]]-N(Tasks[[#This Row],[Baseline Work]]))</f>
        <v/>
      </c>
      <c r="BM118" s="63" t="str">
        <f aca="false">IF(Tasks[[#This Row],[Task Name]]="","",IF(OR(TakeBaseline="Yes",N(Tasks[[#This Row],[Baseline Start]])=0),Tasks[[#This Row],[Start]],Tasks[[#This Row],[Baseline Start]]))</f>
        <v/>
      </c>
      <c r="BN118" s="63" t="str">
        <f aca="false">IF(Tasks[[#This Row],[Task Name]]="","",IF(OR(TakeBaseline="Yes",N(Tasks[[#This Row],[Baseline Finish]])=0),Tasks[[#This Row],[Finish]],Tasks[[#This Row],[Baseline Finish]]))</f>
        <v/>
      </c>
      <c r="BO118" s="21" t="str">
        <f aca="false">IF(Tasks[[#This Row],[Task Name]]="","",IF(OR(TakeBaseline="Yes",N(Tasks[[#This Row],[Baseline Duration]])=0),Tasks[[#This Row],[_SpanDays]],Tasks[[#This Row],[Baseline Duration]]))</f>
        <v/>
      </c>
      <c r="BP118" s="86" t="str">
        <f aca="false">IF(Tasks[[#This Row],[Task Name]]="","",IF(OR(TakeBaseline="Yes",N(Tasks[[#This Row],[Baseline Work]])=0),Tasks[[#This Row],[Work]],Tasks[[#This Row],[Baseline Work]]))</f>
        <v/>
      </c>
      <c r="BQ118" s="7"/>
      <c r="BR118" s="7"/>
      <c r="BS118" s="22"/>
      <c r="BT118" s="88"/>
      <c r="BU118" s="23"/>
      <c r="BV118" s="23"/>
      <c r="BW118" s="23"/>
      <c r="BX118" s="89" t="str">
        <f aca="false">IF(AND(Tasks[[#This Row],[_IsLeaf]]=1,ISNUMBER(Tasks[[#This Row],[Optimistic]]),ISNUMBER(Tasks[[#This Row],[Pessimistic]])),ROUND((Tasks[[#This Row],[Optimistic]]+4*N(Tasks[[#This Row],[_Days]])+Tasks[[#This Row],[Pessimistic]])/6,1),"")</f>
        <v/>
      </c>
      <c r="BY118" s="87"/>
      <c r="BZ118" s="87"/>
      <c r="CA118" s="22"/>
      <c r="CB118" s="43" t="str">
        <f aca="false">IF(Tasks[[#This Row],[Task Name]]="","",MAX(1,N(Tasks[[#This Row],[Level]])))</f>
        <v/>
      </c>
      <c r="CC118" s="43" t="n">
        <f aca="false">ROW()-ROW(Tasks[[#Headers],[ID]])</f>
        <v>113</v>
      </c>
      <c r="CD118" s="43" t="n">
        <f aca="false">IF(OR(Tasks[[#This Row],[Task Name]]="",Tasks[[#This Row],[_Level]]&lt;=1),0,IFERROR(LOOKUP(2,1/(Tasks[[#Headers],[_Level]]:Tasks[[#This Row],[_Level]]=Tasks[[#This Row],[_Level]]-1),ROW(Tasks[[#Headers],[_Level]]:Tasks[[#This Row],[_Level]])),0))</f>
        <v>0</v>
      </c>
      <c r="CE118" s="43" t="n">
        <f aca="false">IFERROR(N(INDEX(Tasks[_Level],Tasks[[#This Row],[_Row]]+1)),0)</f>
        <v>0</v>
      </c>
      <c r="CF118" s="90" t="b">
        <f aca="false">AND(Tasks[[#This Row],[Task Name]]&lt;&gt;"",Tasks[[#This Row],[_NextLevel]]&gt;Tasks[[#This Row],[_Level]])</f>
        <v>0</v>
      </c>
      <c r="CG118" s="43" t="n">
        <f aca="false">IF(Tasks[[#This Row],[_IsSummary]],COUNTIF(Tasks[WBS],Tasks[[#This Row],[WBS]]&amp;".*"),0)</f>
        <v>0</v>
      </c>
      <c r="CH118" s="43" t="n">
        <f aca="false">IF(AND(Tasks[[#This Row],[Task Name]]&lt;&gt;"",NOT(Tasks[[#This Row],[_IsSummary]])),1,0)</f>
        <v>0</v>
      </c>
      <c r="CI118" s="43" t="n">
        <f aca="false">IF(N(Tasks[[#This Row],[_Pred1UID]])=0,0,IFERROR(MATCH(Tasks[[#This Row],[_Pred1UID]],Tasks[UID],0),-1))</f>
        <v>0</v>
      </c>
      <c r="CJ118" s="43" t="n">
        <f aca="false">IF(N(Tasks[[#This Row],[_Pred2UID]])=0,0,IFERROR(MATCH(Tasks[[#This Row],[_Pred2UID]],Tasks[UID],0),-1))</f>
        <v>0</v>
      </c>
      <c r="CK118" s="43" t="n">
        <f aca="false">IF(N(Tasks[[#This Row],[_Pred3UID]])=0,0,IFERROR(MATCH(Tasks[[#This Row],[_Pred3UID]],Tasks[UID],0),-1))</f>
        <v>0</v>
      </c>
      <c r="CL118" s="43" t="n">
        <f aca="false">IF(N(Tasks[[#This Row],[_Pred4UID]])=0,0,IFERROR(MATCH(Tasks[[#This Row],[_Pred4UID]],Tasks[UID],0),-1))</f>
        <v>0</v>
      </c>
      <c r="CM11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8" s="91" t="n">
        <f aca="false">IF(OR(Tasks[[#This Row],[_ConstraintCode]]=2,Tasks[[#This Row],[_ConstraintCode]]=3,Tasks[[#This Row],[_ConstraintCode]]=4,Tasks[[#This Row],[_ConstraintCode]]=6),Tasks[[#This Row],[_ConstraintStart]],0)</f>
        <v>0</v>
      </c>
      <c r="CP118" s="91" t="n">
        <f aca="false">IF(OR(Tasks[[#This Row],[_ConstraintCode]]=2,Tasks[[#This Row],[_ConstraintCode]]=3,Tasks[[#This Row],[_ConstraintCode]]=5,Tasks[[#This Row],[_ConstraintCode]]=7),Tasks[[#This Row],[_ConstraintStart]],2958465)</f>
        <v>2958465</v>
      </c>
      <c r="CQ11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8" s="91" t="str">
        <f aca="false">IF(NOT(Tasks[[#This Row],[_IsLeaf]]=1),"",IF(N(Tasks[[#This Row],[_Days]])&lt;=0,Tasks[[#This Row],[_LeafCalcStart]],WORKDAY.INTL(Tasks[[#This Row],[_LeafCalcStart]],Tasks[[#This Row],[_Days]]-1,WorkWeek,Holidays)))</f>
        <v/>
      </c>
      <c r="CS11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8" s="43" t="str">
        <f aca="false">IF(Tasks[[#This Row],[_Predecessors]]="","",TRIM(MID(SUBSTITUTE(SUBSTITUTE(SUBSTITUTE(UPPER(Tasks[[#This Row],[_Predecessors]]),";",",")," ",""),",",REPT(" ",99)),1,99)))</f>
        <v/>
      </c>
      <c r="CV118" s="43" t="str">
        <f aca="false">IF(Tasks[[#This Row],[_Pred1Text]]="","",IFERROR(VALUE(LEFT(Tasks[[#This Row],[_Pred1Text]],MIN(FIND("F",Tasks[[#This Row],[_Pred1Text]]&amp;"F"),FIND("S",Tasks[[#This Row],[_Pred1Text]]&amp;"S"),FIND("+",Tasks[[#This Row],[_Pred1Text]]&amp;"+"),FIND("-",Tasks[[#This Row],[_Pred1Text]]&amp;"-"))-1)),""))</f>
        <v/>
      </c>
      <c r="CW11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8" s="43" t="str">
        <f aca="false">IF(Tasks[[#This Row],[_Pred1Text]]="","",TRIM(MID(SUBSTITUTE(SUBSTITUTE(SUBSTITUTE(UPPER(Tasks[[#This Row],[_Predecessors]]),";",",")," ",""),",",REPT(" ",99)),100,99)))</f>
        <v/>
      </c>
      <c r="CZ118" s="43" t="str">
        <f aca="false">IF(Tasks[[#This Row],[_Pred2Text]]="","",IFERROR(VALUE(LEFT(Tasks[[#This Row],[_Pred2Text]],MIN(FIND("F",Tasks[[#This Row],[_Pred2Text]]&amp;"F"),FIND("S",Tasks[[#This Row],[_Pred2Text]]&amp;"S"),FIND("+",Tasks[[#This Row],[_Pred2Text]]&amp;"+"),FIND("-",Tasks[[#This Row],[_Pred2Text]]&amp;"-"))-1)),""))</f>
        <v/>
      </c>
      <c r="DA11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8" s="43" t="str">
        <f aca="false">IF(Tasks[[#This Row],[_Pred2Text]]="","",TRIM(MID(SUBSTITUTE(SUBSTITUTE(SUBSTITUTE(UPPER(Tasks[[#This Row],[_Predecessors]]),";",",")," ",""),",",REPT(" ",99)),199,99)))</f>
        <v/>
      </c>
      <c r="DD118" s="43" t="str">
        <f aca="false">IF(Tasks[[#This Row],[_Pred3Text]]="","",IFERROR(VALUE(LEFT(Tasks[[#This Row],[_Pred3Text]],MIN(FIND("F",Tasks[[#This Row],[_Pred3Text]]&amp;"F"),FIND("S",Tasks[[#This Row],[_Pred3Text]]&amp;"S"),FIND("+",Tasks[[#This Row],[_Pred3Text]]&amp;"+"),FIND("-",Tasks[[#This Row],[_Pred3Text]]&amp;"-"))-1)),""))</f>
        <v/>
      </c>
      <c r="DE11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8" s="43" t="str">
        <f aca="false">IF(Tasks[[#This Row],[_Pred3Text]]="","",TRIM(MID(SUBSTITUTE(SUBSTITUTE(SUBSTITUTE(UPPER(Tasks[[#This Row],[_Predecessors]]),";",",")," ",""),",",REPT(" ",99)),298,99)))</f>
        <v/>
      </c>
      <c r="DH118" s="43" t="str">
        <f aca="false">IF(Tasks[[#This Row],[_Pred4Text]]="","",IFERROR(VALUE(LEFT(Tasks[[#This Row],[_Pred4Text]],MIN(FIND("F",Tasks[[#This Row],[_Pred4Text]]&amp;"F"),FIND("S",Tasks[[#This Row],[_Pred4Text]]&amp;"S"),FIND("+",Tasks[[#This Row],[_Pred4Text]]&amp;"+"),FIND("-",Tasks[[#This Row],[_Pred4Text]]&amp;"-"))-1)),""))</f>
        <v/>
      </c>
      <c r="DI11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8" s="43" t="str">
        <f aca="false">IF(OR(Tasks[[#This Row],[Task Name]]="",Tasks[[#This Row],[_Resources]]=""),"",TRIM(MID(SUBSTITUTE(Tasks[[#This Row],[_Resources]],",",REPT(" ",99)),1,99)))</f>
        <v/>
      </c>
      <c r="DL118" s="43" t="str">
        <f aca="false">IF(Tasks[[#This Row],[_Res1Text]]="","",TRIM(MID(SUBSTITUTE(Tasks[[#This Row],[_Resources]],",",REPT(" ",99)),100,99)))</f>
        <v/>
      </c>
      <c r="DM118" s="43" t="str">
        <f aca="false">IF(Tasks[[#This Row],[_Res2Text]]="","",TRIM(MID(SUBSTITUTE(Tasks[[#This Row],[_Resources]],",",REPT(" ",99)),199,99)))</f>
        <v/>
      </c>
      <c r="DN118" s="43" t="str">
        <f aca="false">IF(Tasks[[#This Row],[_Res3Text]]="","",TRIM(MID(SUBSTITUTE(Tasks[[#This Row],[_Resources]],",",REPT(" ",99)),298,99)))</f>
        <v/>
      </c>
      <c r="DO118" s="43" t="n">
        <f aca="false">IF(Tasks[[#This Row],[_Res1Text]]="",0,IFERROR(MATCH(TRIM(LEFT(Tasks[[#This Row],[_Res1Text]],FIND("[",Tasks[[#This Row],[_Res1Text]]&amp;"[")-1)),res_Name,0),IFERROR(MATCH(TRIM(LEFT(Tasks[[#This Row],[_Res1Text]],FIND("[",Tasks[[#This Row],[_Res1Text]]&amp;"[")-1)),res_Initials,0),0)))</f>
        <v>0</v>
      </c>
      <c r="DP118" s="43" t="n">
        <f aca="false">IF(Tasks[[#This Row],[_Res2Text]]="",0,IFERROR(MATCH(TRIM(LEFT(Tasks[[#This Row],[_Res2Text]],FIND("[",Tasks[[#This Row],[_Res2Text]]&amp;"[")-1)),res_Name,0),IFERROR(MATCH(TRIM(LEFT(Tasks[[#This Row],[_Res2Text]],FIND("[",Tasks[[#This Row],[_Res2Text]]&amp;"[")-1)),res_Initials,0),0)))</f>
        <v>0</v>
      </c>
      <c r="DQ118" s="43" t="n">
        <f aca="false">IF(Tasks[[#This Row],[_Res3Text]]="",0,IFERROR(MATCH(TRIM(LEFT(Tasks[[#This Row],[_Res3Text]],FIND("[",Tasks[[#This Row],[_Res3Text]]&amp;"[")-1)),res_Name,0),IFERROR(MATCH(TRIM(LEFT(Tasks[[#This Row],[_Res3Text]],FIND("[",Tasks[[#This Row],[_Res3Text]]&amp;"[")-1)),res_Initials,0),0)))</f>
        <v>0</v>
      </c>
      <c r="DR118" s="43" t="n">
        <f aca="false">IF(Tasks[[#This Row],[_Res4Text]]="",0,IFERROR(MATCH(TRIM(LEFT(Tasks[[#This Row],[_Res4Text]],FIND("[",Tasks[[#This Row],[_Res4Text]]&amp;"[")-1)),res_Name,0),IFERROR(MATCH(TRIM(LEFT(Tasks[[#This Row],[_Res4Text]],FIND("[",Tasks[[#This Row],[_Res4Text]]&amp;"[")-1)),res_Initials,0),0)))</f>
        <v>0</v>
      </c>
      <c r="DS118" s="43" t="str">
        <f aca="false">IF(Tasks[[#This Row],[_Res1Text]]="","",IF(Tasks[[#This Row],[_Res1Row]]&gt;0,INDEX(res_Name,Tasks[[#This Row],[_Res1Row]]),TRIM(LEFT(Tasks[[#This Row],[_Res1Text]],FIND("[",Tasks[[#This Row],[_Res1Text]]&amp;"[")-1))))</f>
        <v/>
      </c>
      <c r="DT11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8" s="43" t="n">
        <f aca="false">IF(NOT(Tasks[[#This Row],[_IsLeaf]]=1),0,(Tasks[[#This Row],[_Resource1]]&lt;&gt;"")+(Tasks[[#This Row],[_Res2]]&lt;&gt;"")+(Tasks[[#This Row],[_Res3]]&lt;&gt;"")+(Tasks[[#This Row],[_Res4]]&lt;&gt;""))</f>
        <v>0</v>
      </c>
      <c r="DV118" s="43" t="str">
        <f aca="false">IF(Tasks[[#This Row],[_Res2Text]]="","",IF(Tasks[[#This Row],[_Res2Row]]&gt;0,INDEX(res_Name,Tasks[[#This Row],[_Res2Row]]),TRIM(LEFT(Tasks[[#This Row],[_Res2Text]],FIND("[",Tasks[[#This Row],[_Res2Text]]&amp;"[")-1))))</f>
        <v/>
      </c>
      <c r="DW11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8" s="43" t="n">
        <f aca="false">IF(OR(NOT(Tasks[[#This Row],[_IsLeaf]]=1),Tasks[[#This Row],[_Res2Row]]=0),0,N(Tasks[[#This Row],[_Days]])*HoursPerDay*IF(Tasks[[#This Row],[_Res2Units]]="",DefaultUnits,Tasks[[#This Row],[_Res2Units]]))</f>
        <v>0</v>
      </c>
      <c r="DY118" s="43" t="n">
        <f aca="false">IF(AND(AND(Tasks[[#This Row],[_IsLeaf]]=1,Tasks[[#This Row],[_LeafTotalWork]]&gt;0),Tasks[[#This Row],[_Res2Work]]&gt;0),Tasks[[#This Row],[_Res2Work]]/(Tasks[[#This Row],[_FinishWorkday]]-Tasks[[#This Row],[_StartWorkday]]+1),0)</f>
        <v>0</v>
      </c>
      <c r="DZ118" s="43" t="n">
        <f aca="false">Tasks[[#This Row],[_Res2WorkPerWD]]*MAX(0,Tasks[[#This Row],[_StartWorkday]]-1)</f>
        <v>0</v>
      </c>
      <c r="EA118" s="43" t="n">
        <f aca="false">Tasks[[#This Row],[_Res2Work]]*Tasks[[#This Row],[_LeafProgress]]</f>
        <v>0</v>
      </c>
      <c r="EB118" s="43" t="str">
        <f aca="false">IF(Tasks[[#This Row],[_Res3Text]]="","",IF(Tasks[[#This Row],[_Res3Row]]&gt;0,INDEX(res_Name,Tasks[[#This Row],[_Res3Row]]),TRIM(LEFT(Tasks[[#This Row],[_Res3Text]],FIND("[",Tasks[[#This Row],[_Res3Text]]&amp;"[")-1))))</f>
        <v/>
      </c>
      <c r="EC11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8" s="43" t="n">
        <f aca="false">IF(OR(NOT(Tasks[[#This Row],[_IsLeaf]]=1),Tasks[[#This Row],[_Res3Row]]=0),0,N(Tasks[[#This Row],[_Days]])*HoursPerDay*IF(Tasks[[#This Row],[_Res3Units]]="",DefaultUnits,Tasks[[#This Row],[_Res3Units]]))</f>
        <v>0</v>
      </c>
      <c r="EE118" s="43" t="n">
        <f aca="false">IF(AND(AND(Tasks[[#This Row],[_IsLeaf]]=1,Tasks[[#This Row],[_LeafTotalWork]]&gt;0),Tasks[[#This Row],[_Res3Work]]&gt;0),Tasks[[#This Row],[_Res3Work]]/(Tasks[[#This Row],[_FinishWorkday]]-Tasks[[#This Row],[_StartWorkday]]+1),0)</f>
        <v>0</v>
      </c>
      <c r="EF118" s="43" t="n">
        <f aca="false">Tasks[[#This Row],[_Res3WorkPerWD]]*MAX(0,Tasks[[#This Row],[_StartWorkday]]-1)</f>
        <v>0</v>
      </c>
      <c r="EG118" s="43" t="n">
        <f aca="false">Tasks[[#This Row],[_Res3Work]]*Tasks[[#This Row],[_LeafProgress]]</f>
        <v>0</v>
      </c>
      <c r="EH118" s="43" t="str">
        <f aca="false">IF(Tasks[[#This Row],[_Res4Text]]="","",IF(Tasks[[#This Row],[_Res4Row]]&gt;0,INDEX(res_Name,Tasks[[#This Row],[_Res4Row]]),TRIM(LEFT(Tasks[[#This Row],[_Res4Text]],FIND("[",Tasks[[#This Row],[_Res4Text]]&amp;"[")-1))))</f>
        <v/>
      </c>
      <c r="EI11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8" s="43" t="n">
        <f aca="false">IF(OR(NOT(Tasks[[#This Row],[_IsLeaf]]=1),Tasks[[#This Row],[_Res4Row]]=0),0,N(Tasks[[#This Row],[_Days]])*HoursPerDay*IF(Tasks[[#This Row],[_Res4Units]]="",DefaultUnits,Tasks[[#This Row],[_Res4Units]]))</f>
        <v>0</v>
      </c>
      <c r="EK118" s="43" t="n">
        <f aca="false">IF(AND(AND(Tasks[[#This Row],[_IsLeaf]]=1,Tasks[[#This Row],[_LeafTotalWork]]&gt;0),Tasks[[#This Row],[_Res4Work]]&gt;0),Tasks[[#This Row],[_Res4Work]]/(Tasks[[#This Row],[_FinishWorkday]]-Tasks[[#This Row],[_StartWorkday]]+1),0)</f>
        <v>0</v>
      </c>
      <c r="EL118" s="43" t="n">
        <f aca="false">Tasks[[#This Row],[_Res4WorkPerWD]]*MAX(0,Tasks[[#This Row],[_StartWorkday]]-1)</f>
        <v>0</v>
      </c>
      <c r="EM118" s="43" t="n">
        <f aca="false">Tasks[[#This Row],[_Res4Work]]*Tasks[[#This Row],[_LeafProgress]]</f>
        <v>0</v>
      </c>
      <c r="EN118" s="43" t="n">
        <f aca="false">IF(ISNUMBER(Tasks[[#This Row],[% Complete]]),Tasks[[#This Row],[% Complete]],IF(Tasks[[#This Row],[Stage]]="",0,IFERROR(INDEX(stg_Pct,MATCH(Tasks[[#This Row],[Stage]],stg_Name,0)),0)))</f>
        <v>0</v>
      </c>
      <c r="EO118" s="43" t="n">
        <f aca="false">IF(NOT(Tasks[[#This Row],[_IsLeaf]]=1),0,IF(N(Tasks[[#This Row],[Actual Finish]])&gt;0,1,MIN(1,Tasks[[#This Row],[_Pct]])))</f>
        <v>0</v>
      </c>
      <c r="EP118" s="43" t="n">
        <f aca="false">IF(OR(NOT(Tasks[[#This Row],[_IsLeaf]]=1),Tasks[[#This Row],[_Res1Row]]=0),0,N(Tasks[[#This Row],[_Days]])*HoursPerDay*IF(Tasks[[#This Row],[_Units1]]="",DefaultUnits,Tasks[[#This Row],[_Units1]]))</f>
        <v>0</v>
      </c>
      <c r="EQ118" s="43" t="n">
        <f aca="false">Tasks[[#This Row],[_LeafWork]]+Tasks[[#This Row],[_Res2Work]]+Tasks[[#This Row],[_Res3Work]]+Tasks[[#This Row],[_Res4Work]]</f>
        <v>0</v>
      </c>
      <c r="ER11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8" s="43" t="n">
        <f aca="false">IF(NOT(Tasks[[#This Row],[_IsLeaf]]=1),0,MAX(_xlfn.MAXIFS(Tasks[_Row],Tasks[_Pred1UID],Tasks[[#This Row],[UID]]),_xlfn.MAXIFS(Tasks[_Row],Tasks[_Pred2UID],Tasks[[#This Row],[UID]]),_xlfn.MAXIFS(Tasks[_Row],Tasks[_Pred3UID],Tasks[[#This Row],[UID]]),_xlfn.MAXIFS(Tasks[_Row],Tasks[_Pred4UID],Tasks[[#This Row],[UID]])))</f>
        <v>0</v>
      </c>
      <c r="FA11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8" s="91" t="str">
        <f aca="false">IF(NOT(Tasks[[#This Row],[_IsLeaf]]=1),"",IF(N(Tasks[[#This Row],[_Days]])&lt;=0,Tasks[[#This Row],[_LeafLateFinish]],WORKDAY.INTL(Tasks[[#This Row],[_LeafLateFinish]],-(Tasks[[#This Row],[_Days]]-1),WorkWeek,Holidays)))</f>
        <v/>
      </c>
      <c r="FD11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8" s="90" t="b">
        <f aca="false">AND(Tasks[[#This Row],[_IsLeaf]]=1,Tasks[[#This Row],[_LeafProgress]]&lt;1,N(Tasks[[#This Row],[_LeafTotalSlack]])&lt;=CriticalSlackDays)</f>
        <v>0</v>
      </c>
      <c r="FF118" s="43" t="n">
        <f aca="false">IF(AND(Tasks[[#This Row],[_IsLeaf]]=1,Tasks[[#This Row],[_ConstraintCode]]=1,Tasks[[#This Row],[Mode]]&lt;&gt;"Manual",N(Tasks[[#This Row],[Actual Start]])=0),MAX(0,N(Tasks[[#This Row],[Free Slack]])),0)</f>
        <v>0</v>
      </c>
      <c r="FG118" s="91" t="str">
        <f aca="false">IF(NOT(Tasks[[#This Row],[_IsLeaf]]=1),"",IF(Tasks[[#This Row],[_AlapShift]]=0,Tasks[[#This Row],[_LeafCalcStart]],WORKDAY.INTL(Tasks[[#This Row],[_LeafCalcStart]],Tasks[[#This Row],[_AlapShift]],WorkWeek,Holidays)))</f>
        <v/>
      </c>
      <c r="FH118" s="91" t="str">
        <f aca="false">IF(NOT(Tasks[[#This Row],[_IsLeaf]]=1),"",IF(Tasks[[#This Row],[_AlapShift]]=0,Tasks[[#This Row],[_LeafCalcFinish]],WORKDAY.INTL(Tasks[[#This Row],[_LeafCalcFinish]],Tasks[[#This Row],[_AlapShift]],WorkWeek,Holidays)))</f>
        <v/>
      </c>
      <c r="FI118" s="91" t="str">
        <f aca="false">IF(NOT(Tasks[[#This Row],[_IsLeaf]]=1),"",IF(Tasks[[#This Row],[_AlapShift]]=0,Tasks[[#This Row],[_LeafFcstStart]],WORKDAY.INTL(Tasks[[#This Row],[_LeafFcstStart]],Tasks[[#This Row],[_AlapShift]],WorkWeek,Holidays)))</f>
        <v/>
      </c>
      <c r="FJ118" s="91" t="str">
        <f aca="false">IF(NOT(Tasks[[#This Row],[_IsLeaf]]=1),"",IF(Tasks[[#This Row],[_AlapShift]]=0,Tasks[[#This Row],[_LeafFcstFinish]],WORKDAY.INTL(Tasks[[#This Row],[_LeafFcstFinish]],Tasks[[#This Row],[_AlapShift]],WorkWeek,Holidays)))</f>
        <v/>
      </c>
      <c r="FK118" s="91" t="str">
        <f aca="false">IF(Tasks[[#This Row],[Task Name]]="","",IF(Tasks[[#This Row],[_IsSummary]],MIN(INDEX(Tasks[_ShownCalcStart],Tasks[[#This Row],[_Row]]+1):INDEX(Tasks[_ShownCalcStart],Tasks[[#This Row],[_Row]]+Tasks[[#This Row],[_Descendants]])),Tasks[[#This Row],[_ShownCalcStart]]))</f>
        <v/>
      </c>
      <c r="FL118" s="91" t="str">
        <f aca="false">IF(Tasks[[#This Row],[Task Name]]="","",IF(Tasks[[#This Row],[_IsSummary]],MAX(INDEX(Tasks[_ShownCalcFinish],Tasks[[#This Row],[_Row]]+1):INDEX(Tasks[_ShownCalcFinish],Tasks[[#This Row],[_Row]]+Tasks[[#This Row],[_Descendants]])),Tasks[[#This Row],[_ShownCalcFinish]]))</f>
        <v/>
      </c>
      <c r="FM11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8" s="43" t="n">
        <f aca="false">IF(AND(Tasks[[#This Row],[_IsLeaf]]=1,Tasks[[#This Row],[_LeafTotalWork]]&gt;0),NETWORKDAYS.INTL(ProjectStart,Tasks[[#This Row],[_ShownFcstStart]],WorkWeek,Holidays),0)</f>
        <v>0</v>
      </c>
      <c r="FZ118" s="43" t="n">
        <f aca="false">IF(AND(Tasks[[#This Row],[_IsLeaf]]=1,Tasks[[#This Row],[_LeafTotalWork]]&gt;0),MAX(Tasks[[#This Row],[_StartWorkday]],NETWORKDAYS.INTL(ProjectStart,Tasks[[#This Row],[_ShownFcstFinish]],WorkWeek,Holidays)),0)</f>
        <v>0</v>
      </c>
      <c r="GA118" s="43" t="n">
        <f aca="false">IF(AND(Tasks[[#This Row],[_IsLeaf]]=1,Tasks[[#This Row],[_LeafTotalWork]]&gt;0),Tasks[[#This Row],[_LeafWork]]/(Tasks[[#This Row],[_FinishWorkday]]-Tasks[[#This Row],[_StartWorkday]]+1),0)</f>
        <v>0</v>
      </c>
      <c r="GB118" s="43" t="n">
        <f aca="false">Tasks[[#This Row],[_WorkPerWorkday]]*(Tasks[[#This Row],[_StartWorkday]]-1)</f>
        <v>-0</v>
      </c>
      <c r="GC118" s="43" t="n">
        <f aca="false">IF(Tasks[[#This Row],[_IsLeaf]]=1,MAX(N(Tasks[[#This Row],[_Days]]),0.1),0)</f>
        <v>0</v>
      </c>
      <c r="GD118" s="43" t="n">
        <f aca="false">Tasks[[#This Row],[_WeightDur]]*Tasks[[#This Row],[_LeafProgress]]</f>
        <v>0</v>
      </c>
      <c r="GE118" s="43" t="n">
        <f aca="false">Tasks[[#This Row],[_WeightDur]]*Tasks[[#This Row],[_PlannedPct]]</f>
        <v>0</v>
      </c>
      <c r="GF11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8" s="43" t="str">
        <f aca="false">IF(AND(Tasks[[#This Row],[_IsLeaf]]=1,N(Tasks[[#This Row],[_Days]])=0,Tasks[[#This Row],[_LeafProgress]]&lt;1),Tasks[[#This Row],[_ShownFcstFinish]]+Tasks[[#This Row],[_Row]]/100000,"")</f>
        <v/>
      </c>
      <c r="GH11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8" s="43" t="str">
        <f aca="false">IF(Tasks[[#This Row],[Task Name]]="","",LEFT(Tasks[[#This Row],[WBS]],FIND(".",Tasks[[#This Row],[WBS]]&amp;".")-1))</f>
        <v/>
      </c>
      <c r="GJ118" s="43" t="str">
        <f aca="false">IF(AND(Tasks[[#This Row],[Task Name]]&lt;&gt;"",Tasks[[#This Row],[_Level]]=1),Tasks[[#This Row],[_Row]],"")</f>
        <v/>
      </c>
      <c r="GK118" s="43" t="str">
        <f aca="false">IF(AND(Tasks[[#This Row],[_IsLeaf]]=1,N(Tasks[[#This Row],[_Days]])=0),Tasks[[#This Row],[Planned Finish]]+Tasks[[#This Row],[_Row]]/100000,"")</f>
        <v/>
      </c>
      <c r="GL118" s="43" t="str">
        <f aca="false">IF(AND(Tasks[[#This Row],[_IsLeaf]]=1,Tasks[[#This Row],[_LeafProgress]]&lt;1,OR(N(Tasks[[#This Row],[Finish Var]])&gt;0,Tasks[[#This Row],[Status]]="Late Start")),MAX(0,Tasks[[#This Row],[Finish Var]])+1-Tasks[[#This Row],[_Row]]/1000000,"")</f>
        <v/>
      </c>
      <c r="GM118" s="43" t="str">
        <f aca="false">IF(AND(Tasks[[#This Row],[_IsLeaf]]=1,N(Tasks[[#This Row],[Actual Start]])=0,Tasks[[#This Row],[_ShownFcstStart]]&gt;=StatusDate,Tasks[[#This Row],[_ShownFcstStart]]&lt;=LookaheadEnd),Tasks[[#This Row],[_ShownFcstStart]]+Tasks[[#This Row],[_Row]]/100000,"")</f>
        <v/>
      </c>
      <c r="GN118" s="43" t="str">
        <f aca="false">IF(AND(Tasks[[#This Row],[_IsLeaf]]=1,Tasks[[#This Row],[_LeafProgress]]&lt;1,Tasks[[#This Row],[_ShownFcstFinish]]&gt;=StatusDate,Tasks[[#This Row],[_ShownFcstFinish]]&lt;=LookaheadEnd),Tasks[[#This Row],[_ShownFcstFinish]]+Tasks[[#This Row],[_Row]]/100000,"")</f>
        <v/>
      </c>
      <c r="GO118" s="43" t="str">
        <f aca="false">IF(Tasks[[#This Row],[_LeafCritical]],Tasks[[#This Row],[_ShownFcstStart]]+Tasks[[#This Row],[_Row]]/100000,"")</f>
        <v/>
      </c>
      <c r="GP118" s="43" t="n">
        <f aca="false">Tasks[[#This Row],[_LeafWork]]*Tasks[[#This Row],[_LeafProgress]]</f>
        <v>0</v>
      </c>
      <c r="GQ118" s="91" t="str">
        <f aca="false">IF(AND(Tasks[[#This Row],[_IsLeaf]]=1,Tasks[[#This Row],[_LeafProgress]]&gt;=1),IF(N(Tasks[[#This Row],[Actual Finish]])&gt;0,Tasks[[#This Row],[Actual Finish]],Tasks[[#This Row],[_ShownFcstFinish]]),"")</f>
        <v/>
      </c>
      <c r="GR118" s="43" t="n">
        <f aca="false">IF(Tasks[[#This Row],[_IsLeaf]]=1,N(Tasks[[#This Row],[Story Points]]),0)</f>
        <v>0</v>
      </c>
      <c r="GS118" s="43" t="str">
        <f aca="false">""</f>
        <v/>
      </c>
      <c r="GT118" s="90" t="b">
        <f aca="false">IF(Tasks[[#This Row],[Task Name]]="",FALSE(),AND(Tasks[[#This Row],[_IsLeaf]]=1,N(Tasks[[#This Row],[_Days]])=0))</f>
        <v>0</v>
      </c>
      <c r="GU118" s="91" t="n">
        <f aca="false">IF(Tasks[[#This Row],[Task Name]]="",0,IF(AND(Tasks[[#This Row],[_IsLeaf]]=1,NOT(Tasks[[#This Row],[_IsMilestone]]),N(Tasks[[#This Row],[Progress]])&gt;0),Tasks[[#This Row],[Start]],0))</f>
        <v>0</v>
      </c>
      <c r="GV118" s="91" t="n">
        <f aca="false">IF(Tasks[[#This Row],[_DoneFrom]]=0,0,IF(Tasks[[#This Row],[Progress]]&gt;=1,Tasks[[#This Row],[Finish]],MAX(Tasks[[#This Row],[_DoneFrom]],Tasks[[#This Row],[Start]]+ROUND((Tasks[[#This Row],[Finish]]-Tasks[[#This Row],[Start]]+1)*Tasks[[#This Row],[Progress]],0)-1)))</f>
        <v>0</v>
      </c>
      <c r="GW118" s="91" t="n">
        <f aca="false">IF(Tasks[[#This Row],[Task Name]]="",0,IF(OR(NOT(Tasks[[#This Row],[_IsLeaf]]=1),Tasks[[#This Row],[_IsMilestone]],N(Tasks[[#This Row],[Progress]])&gt;=1),0,IF(Tasks[[#This Row],[_DoneTo]]&gt;0,Tasks[[#This Row],[_DoneTo]]+1,Tasks[[#This Row],[Start]])))</f>
        <v>0</v>
      </c>
      <c r="GX118" s="91" t="n">
        <f aca="false">IF(Tasks[[#This Row],[_RemFrom]]=0,0,Tasks[[#This Row],[Finish]])</f>
        <v>0</v>
      </c>
      <c r="GY118" s="90" t="b">
        <f aca="false">IF(Tasks[[#This Row],[Task Name]]="",FALSE(),OR(NOT(BaselineSet),N(Tasks[[#This Row],[Baseline Start]])&gt;0))</f>
        <v>0</v>
      </c>
      <c r="GZ11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8" s="92" t="str">
        <f aca="false">IF(Tasks[[#This Row],[_IsLeaf]]=1,Tasks[[#This Row],[_Row]],"")</f>
        <v/>
      </c>
      <c r="HD118" s="92" t="str">
        <f aca="false">IFERROR(INDEX(Tasks[UID],SMALL(Tasks[_PickKey],Tasks[[#This Row],[_Row]]))&amp;" "&amp;INDEX(Tasks[Task Name],SMALL(Tasks[_PickKey],Tasks[[#This Row],[_Row]])),"")</f>
        <v/>
      </c>
      <c r="HE118" s="43" t="str">
        <f aca="false">IF(Tasks[[#This Row],[Task Name]]="","",IF(Tasks[[#This Row],[_IsSummary]],NETWORKDAYS.INTL(Tasks[[#This Row],[Start]],Tasks[[#This Row],[Finish]],WorkWeek,Holidays),N(Tasks[[#This Row],[_Days]])))</f>
        <v/>
      </c>
      <c r="HF118" s="43" t="n">
        <f aca="false">IF(Tasks[[#This Row],[Expected]]="",0,((Tasks[[#This Row],[Pessimistic]]-Tasks[[#This Row],[Optimistic]])/6)^2)</f>
        <v>0</v>
      </c>
      <c r="HG118" s="43" t="n">
        <f aca="false">IF(Tasks[[#This Row],[Expected]]="",0,Tasks[[#This Row],[Expected]]-N(Tasks[[#This Row],[_Days]]))</f>
        <v>0</v>
      </c>
    </row>
    <row r="119" customFormat="false" ht="15" hidden="false" customHeight="false" outlineLevel="0" collapsed="false">
      <c r="A119" s="21" t="str">
        <f aca="false">IF(Tasks[[#This Row],[Task Name]]="","",COUNTA(Tasks[[#Headers],[Task Name]]:Tasks[[#This Row],[Task Name]])-1)</f>
        <v/>
      </c>
      <c r="B119" s="22" t="n">
        <v>127</v>
      </c>
      <c r="C119" s="22"/>
      <c r="D119" s="23"/>
      <c r="E119" s="22"/>
      <c r="F119" s="23"/>
      <c r="G119" s="22"/>
      <c r="H119" s="22"/>
      <c r="I119" s="23"/>
      <c r="J119" s="22"/>
      <c r="K119" s="22"/>
      <c r="L119" s="23"/>
      <c r="M119" s="22"/>
      <c r="N119" s="22"/>
      <c r="O119" s="23"/>
      <c r="P119" s="22"/>
      <c r="Q119" s="22"/>
      <c r="R119" s="23"/>
      <c r="S119" s="23"/>
      <c r="T119" s="84"/>
      <c r="U119" s="23"/>
      <c r="V119" s="84"/>
      <c r="W119" s="23"/>
      <c r="X119" s="84"/>
      <c r="Y119" s="23"/>
      <c r="Z119" s="84"/>
      <c r="AA119" s="23"/>
      <c r="AB119" s="23"/>
      <c r="AC119" s="7"/>
      <c r="AD119" s="7"/>
      <c r="AE119" s="63" t="str">
        <f aca="false">IF(Tasks[[#This Row],[Task Name]]="","",IF(Tasks[[#This Row],[_IsSummary]],MIN(INDEX(Tasks[_ShownFcstStart],Tasks[[#This Row],[_Row]]+1):INDEX(Tasks[_ShownFcstStart],Tasks[[#This Row],[_Row]]+Tasks[[#This Row],[_Descendants]])),Tasks[[#This Row],[_ShownFcstStart]]))</f>
        <v/>
      </c>
      <c r="AF119" s="63" t="str">
        <f aca="false">IF(Tasks[[#This Row],[Task Name]]="","",IF(Tasks[[#This Row],[_IsSummary]],MAX(INDEX(Tasks[_ShownFcstFinish],Tasks[[#This Row],[_Row]]+1):INDEX(Tasks[_ShownFcstFinish],Tasks[[#This Row],[_Row]]+Tasks[[#This Row],[_Descendants]])),Tasks[[#This Row],[_ShownFcstFinish]]))</f>
        <v/>
      </c>
      <c r="AG119" s="21" t="str">
        <f aca="false">""</f>
        <v/>
      </c>
      <c r="AH119" s="23"/>
      <c r="AI1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9" s="7"/>
      <c r="AK119" s="22"/>
      <c r="AL119" s="23"/>
      <c r="AM119" s="7"/>
      <c r="AN119" s="47" t="str">
        <f aca="false">IF(Tasks[[#This Row],[Task Name]]="","",IF(Tasks[[#This Row],[Finish]]&gt;=Tasks[[#This Row],[Planned Finish]],NETWORKDAYS.INTL(Tasks[[#This Row],[Planned Finish]],Tasks[[#This Row],[Finish]],WorkWeek,Holidays)-1,1-NETWORKDAYS.INTL(Tasks[[#This Row],[Finish]],Tasks[[#This Row],[Planned Finish]],WorkWeek,Holidays)))</f>
        <v/>
      </c>
      <c r="AO119" s="21" t="str">
        <f aca="false">IF(Tasks[[#This Row],[Task Name]]="","",IF(Tasks[[#This Row],[Progress]]&gt;=1,"Complete",IF(OR(N(Tasks[[#This Row],[Actual Start]])&gt;0,Tasks[[#This Row],[Progress]]&gt;0),IF(Tasks[[#This Row],[Finish Var]]&gt;0,"Behind","In Progress"),IF(Tasks[[#This Row],[Planned Start]]&lt;StatusDate,"Late Start","Not Started"))))</f>
        <v/>
      </c>
      <c r="AP119" s="21" t="str">
        <f aca="false">IF(Tasks[[#This Row],[Task Name]]="","",IF(IF(Tasks[[#This Row],[_IsSummary]],COUNTIF(INDEX(Tasks[_LeafCritical],Tasks[[#This Row],[_Row]]+1):INDEX(Tasks[_LeafCritical],Tasks[[#This Row],[_Row]]+Tasks[[#This Row],[_Descendants]]),TRUE())&gt;0,Tasks[[#This Row],[_LeafCritical]]),"Yes",""))</f>
        <v/>
      </c>
      <c r="AQ119" s="63" t="str">
        <f aca="false">IF(Tasks[[#This Row],[Task Name]]="","",IF(N(Tasks[[#This Row],[Baseline Start]])&gt;0,Tasks[[#This Row],[Baseline Start]],Tasks[[#This Row],[_CalcStart]]))</f>
        <v/>
      </c>
      <c r="AR119" s="63" t="str">
        <f aca="false">IF(Tasks[[#This Row],[Task Name]]="","",IF(N(Tasks[[#This Row],[Baseline Finish]])&gt;0,Tasks[[#This Row],[Baseline Finish]],Tasks[[#This Row],[_CalcFinish]]))</f>
        <v/>
      </c>
      <c r="AS119" s="47" t="str">
        <f aca="false">IF(Tasks[[#This Row],[Task Name]]="","",IF(Tasks[[#This Row],[Start]]&gt;=Tasks[[#This Row],[Planned Start]],NETWORKDAYS.INTL(Tasks[[#This Row],[Planned Start]],Tasks[[#This Row],[Start]],WorkWeek,Holidays)-1,1-NETWORKDAYS.INTL(Tasks[[#This Row],[Start]],Tasks[[#This Row],[Planned Start]],WorkWeek,Holidays)))</f>
        <v/>
      </c>
      <c r="AT119" s="63" t="str">
        <f aca="false">IF(Tasks[[#This Row],[Task Name]]="","",IF(Tasks[[#This Row],[_IsSummary]],MIN(INDEX(Tasks[_LeafLateStart],Tasks[[#This Row],[_Row]]+1):INDEX(Tasks[_LeafLateStart],Tasks[[#This Row],[_Row]]+Tasks[[#This Row],[_Descendants]])),Tasks[[#This Row],[_LeafLateStart]]))</f>
        <v/>
      </c>
      <c r="AU119" s="63" t="str">
        <f aca="false">IF(Tasks[[#This Row],[Task Name]]="","",IF(Tasks[[#This Row],[_IsSummary]],MAX(INDEX(Tasks[_LeafLateFinish],Tasks[[#This Row],[_Row]]+1):INDEX(Tasks[_LeafLateFinish],Tasks[[#This Row],[_Row]]+Tasks[[#This Row],[_Descendants]])),Tasks[[#This Row],[_LeafLateFinish]]))</f>
        <v/>
      </c>
      <c r="AV119" s="47" t="str">
        <f aca="false">IF(Tasks[[#This Row],[Task Name]]="","",IF(Tasks[[#This Row],[_IsSummary]],MIN(INDEX(Tasks[_LeafTotalSlack],Tasks[[#This Row],[_Row]]+1):INDEX(Tasks[_LeafTotalSlack],Tasks[[#This Row],[_Row]]+Tasks[[#This Row],[_Descendants]])),Tasks[[#This Row],[_LeafTotalSlack]]))</f>
        <v/>
      </c>
      <c r="AW1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5"/>
      <c r="BA11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1" t="str">
        <f aca="false">IF(Tasks[[#This Row],[Task Name]]="","",IF(Tasks[[#This Row],[_Level]]&lt;=OutlineShowLevel,"Yes","No"))</f>
        <v/>
      </c>
      <c r="BE119" s="86" t="str">
        <f aca="false">IF(Tasks[[#This Row],[Task Name]]="","",IF(Tasks[[#This Row],[_IsSummary]],SUM(INDEX(Tasks[_LeafTotalWork],Tasks[[#This Row],[_Row]]+1):INDEX(Tasks[_LeafTotalWork],Tasks[[#This Row],[_Row]]+Tasks[[#This Row],[_Descendants]])),Tasks[[#This Row],[_LeafTotalWork]]))</f>
        <v/>
      </c>
      <c r="BF119" s="23"/>
      <c r="BG1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9" s="21" t="str">
        <f aca="false">""</f>
        <v/>
      </c>
      <c r="BI119" s="87"/>
      <c r="BJ119" s="22"/>
      <c r="BK119" s="47" t="str">
        <f aca="false">IF(OR(Tasks[[#This Row],[Task Name]]="",Tasks[[#This Row],[Baseline Duration]]=""),"",Tasks[[#This Row],[_SpanDays]]-N(Tasks[[#This Row],[Baseline Duration]]))</f>
        <v/>
      </c>
      <c r="BL119" s="86" t="str">
        <f aca="false">IF(OR(Tasks[[#This Row],[Task Name]]="",Tasks[[#This Row],[Baseline Work]]=""),"",Tasks[[#This Row],[Work]]-N(Tasks[[#This Row],[Baseline Work]]))</f>
        <v/>
      </c>
      <c r="BM119" s="63" t="str">
        <f aca="false">IF(Tasks[[#This Row],[Task Name]]="","",IF(OR(TakeBaseline="Yes",N(Tasks[[#This Row],[Baseline Start]])=0),Tasks[[#This Row],[Start]],Tasks[[#This Row],[Baseline Start]]))</f>
        <v/>
      </c>
      <c r="BN119" s="63" t="str">
        <f aca="false">IF(Tasks[[#This Row],[Task Name]]="","",IF(OR(TakeBaseline="Yes",N(Tasks[[#This Row],[Baseline Finish]])=0),Tasks[[#This Row],[Finish]],Tasks[[#This Row],[Baseline Finish]]))</f>
        <v/>
      </c>
      <c r="BO119" s="21" t="str">
        <f aca="false">IF(Tasks[[#This Row],[Task Name]]="","",IF(OR(TakeBaseline="Yes",N(Tasks[[#This Row],[Baseline Duration]])=0),Tasks[[#This Row],[_SpanDays]],Tasks[[#This Row],[Baseline Duration]]))</f>
        <v/>
      </c>
      <c r="BP119" s="86" t="str">
        <f aca="false">IF(Tasks[[#This Row],[Task Name]]="","",IF(OR(TakeBaseline="Yes",N(Tasks[[#This Row],[Baseline Work]])=0),Tasks[[#This Row],[Work]],Tasks[[#This Row],[Baseline Work]]))</f>
        <v/>
      </c>
      <c r="BQ119" s="7"/>
      <c r="BR119" s="7"/>
      <c r="BS119" s="22"/>
      <c r="BT119" s="88"/>
      <c r="BU119" s="23"/>
      <c r="BV119" s="23"/>
      <c r="BW119" s="23"/>
      <c r="BX119" s="89" t="str">
        <f aca="false">IF(AND(Tasks[[#This Row],[_IsLeaf]]=1,ISNUMBER(Tasks[[#This Row],[Optimistic]]),ISNUMBER(Tasks[[#This Row],[Pessimistic]])),ROUND((Tasks[[#This Row],[Optimistic]]+4*N(Tasks[[#This Row],[_Days]])+Tasks[[#This Row],[Pessimistic]])/6,1),"")</f>
        <v/>
      </c>
      <c r="BY119" s="87"/>
      <c r="BZ119" s="87"/>
      <c r="CA119" s="22"/>
      <c r="CB119" s="43" t="str">
        <f aca="false">IF(Tasks[[#This Row],[Task Name]]="","",MAX(1,N(Tasks[[#This Row],[Level]])))</f>
        <v/>
      </c>
      <c r="CC119" s="43" t="n">
        <f aca="false">ROW()-ROW(Tasks[[#Headers],[ID]])</f>
        <v>114</v>
      </c>
      <c r="CD119" s="43" t="n">
        <f aca="false">IF(OR(Tasks[[#This Row],[Task Name]]="",Tasks[[#This Row],[_Level]]&lt;=1),0,IFERROR(LOOKUP(2,1/(Tasks[[#Headers],[_Level]]:Tasks[[#This Row],[_Level]]=Tasks[[#This Row],[_Level]]-1),ROW(Tasks[[#Headers],[_Level]]:Tasks[[#This Row],[_Level]])),0))</f>
        <v>0</v>
      </c>
      <c r="CE119" s="43" t="n">
        <f aca="false">IFERROR(N(INDEX(Tasks[_Level],Tasks[[#This Row],[_Row]]+1)),0)</f>
        <v>0</v>
      </c>
      <c r="CF119" s="90" t="b">
        <f aca="false">AND(Tasks[[#This Row],[Task Name]]&lt;&gt;"",Tasks[[#This Row],[_NextLevel]]&gt;Tasks[[#This Row],[_Level]])</f>
        <v>0</v>
      </c>
      <c r="CG119" s="43" t="n">
        <f aca="false">IF(Tasks[[#This Row],[_IsSummary]],COUNTIF(Tasks[WBS],Tasks[[#This Row],[WBS]]&amp;".*"),0)</f>
        <v>0</v>
      </c>
      <c r="CH119" s="43" t="n">
        <f aca="false">IF(AND(Tasks[[#This Row],[Task Name]]&lt;&gt;"",NOT(Tasks[[#This Row],[_IsSummary]])),1,0)</f>
        <v>0</v>
      </c>
      <c r="CI119" s="43" t="n">
        <f aca="false">IF(N(Tasks[[#This Row],[_Pred1UID]])=0,0,IFERROR(MATCH(Tasks[[#This Row],[_Pred1UID]],Tasks[UID],0),-1))</f>
        <v>0</v>
      </c>
      <c r="CJ119" s="43" t="n">
        <f aca="false">IF(N(Tasks[[#This Row],[_Pred2UID]])=0,0,IFERROR(MATCH(Tasks[[#This Row],[_Pred2UID]],Tasks[UID],0),-1))</f>
        <v>0</v>
      </c>
      <c r="CK119" s="43" t="n">
        <f aca="false">IF(N(Tasks[[#This Row],[_Pred3UID]])=0,0,IFERROR(MATCH(Tasks[[#This Row],[_Pred3UID]],Tasks[UID],0),-1))</f>
        <v>0</v>
      </c>
      <c r="CL119" s="43" t="n">
        <f aca="false">IF(N(Tasks[[#This Row],[_Pred4UID]])=0,0,IFERROR(MATCH(Tasks[[#This Row],[_Pred4UID]],Tasks[UID],0),-1))</f>
        <v>0</v>
      </c>
      <c r="CM11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9" s="91" t="n">
        <f aca="false">IF(OR(Tasks[[#This Row],[_ConstraintCode]]=2,Tasks[[#This Row],[_ConstraintCode]]=3,Tasks[[#This Row],[_ConstraintCode]]=4,Tasks[[#This Row],[_ConstraintCode]]=6),Tasks[[#This Row],[_ConstraintStart]],0)</f>
        <v>0</v>
      </c>
      <c r="CP119" s="91" t="n">
        <f aca="false">IF(OR(Tasks[[#This Row],[_ConstraintCode]]=2,Tasks[[#This Row],[_ConstraintCode]]=3,Tasks[[#This Row],[_ConstraintCode]]=5,Tasks[[#This Row],[_ConstraintCode]]=7),Tasks[[#This Row],[_ConstraintStart]],2958465)</f>
        <v>2958465</v>
      </c>
      <c r="CQ11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9" s="91" t="str">
        <f aca="false">IF(NOT(Tasks[[#This Row],[_IsLeaf]]=1),"",IF(N(Tasks[[#This Row],[_Days]])&lt;=0,Tasks[[#This Row],[_LeafCalcStart]],WORKDAY.INTL(Tasks[[#This Row],[_LeafCalcStart]],Tasks[[#This Row],[_Days]]-1,WorkWeek,Holidays)))</f>
        <v/>
      </c>
      <c r="CS11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9" s="43" t="str">
        <f aca="false">IF(Tasks[[#This Row],[_Predecessors]]="","",TRIM(MID(SUBSTITUTE(SUBSTITUTE(SUBSTITUTE(UPPER(Tasks[[#This Row],[_Predecessors]]),";",",")," ",""),",",REPT(" ",99)),1,99)))</f>
        <v/>
      </c>
      <c r="CV119" s="43" t="str">
        <f aca="false">IF(Tasks[[#This Row],[_Pred1Text]]="","",IFERROR(VALUE(LEFT(Tasks[[#This Row],[_Pred1Text]],MIN(FIND("F",Tasks[[#This Row],[_Pred1Text]]&amp;"F"),FIND("S",Tasks[[#This Row],[_Pred1Text]]&amp;"S"),FIND("+",Tasks[[#This Row],[_Pred1Text]]&amp;"+"),FIND("-",Tasks[[#This Row],[_Pred1Text]]&amp;"-"))-1)),""))</f>
        <v/>
      </c>
      <c r="CW11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9" s="43" t="str">
        <f aca="false">IF(Tasks[[#This Row],[_Pred1Text]]="","",TRIM(MID(SUBSTITUTE(SUBSTITUTE(SUBSTITUTE(UPPER(Tasks[[#This Row],[_Predecessors]]),";",",")," ",""),",",REPT(" ",99)),100,99)))</f>
        <v/>
      </c>
      <c r="CZ119" s="43" t="str">
        <f aca="false">IF(Tasks[[#This Row],[_Pred2Text]]="","",IFERROR(VALUE(LEFT(Tasks[[#This Row],[_Pred2Text]],MIN(FIND("F",Tasks[[#This Row],[_Pred2Text]]&amp;"F"),FIND("S",Tasks[[#This Row],[_Pred2Text]]&amp;"S"),FIND("+",Tasks[[#This Row],[_Pred2Text]]&amp;"+"),FIND("-",Tasks[[#This Row],[_Pred2Text]]&amp;"-"))-1)),""))</f>
        <v/>
      </c>
      <c r="DA11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9" s="43" t="str">
        <f aca="false">IF(Tasks[[#This Row],[_Pred2Text]]="","",TRIM(MID(SUBSTITUTE(SUBSTITUTE(SUBSTITUTE(UPPER(Tasks[[#This Row],[_Predecessors]]),";",",")," ",""),",",REPT(" ",99)),199,99)))</f>
        <v/>
      </c>
      <c r="DD119" s="43" t="str">
        <f aca="false">IF(Tasks[[#This Row],[_Pred3Text]]="","",IFERROR(VALUE(LEFT(Tasks[[#This Row],[_Pred3Text]],MIN(FIND("F",Tasks[[#This Row],[_Pred3Text]]&amp;"F"),FIND("S",Tasks[[#This Row],[_Pred3Text]]&amp;"S"),FIND("+",Tasks[[#This Row],[_Pred3Text]]&amp;"+"),FIND("-",Tasks[[#This Row],[_Pred3Text]]&amp;"-"))-1)),""))</f>
        <v/>
      </c>
      <c r="DE11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9" s="43" t="str">
        <f aca="false">IF(Tasks[[#This Row],[_Pred3Text]]="","",TRIM(MID(SUBSTITUTE(SUBSTITUTE(SUBSTITUTE(UPPER(Tasks[[#This Row],[_Predecessors]]),";",",")," ",""),",",REPT(" ",99)),298,99)))</f>
        <v/>
      </c>
      <c r="DH119" s="43" t="str">
        <f aca="false">IF(Tasks[[#This Row],[_Pred4Text]]="","",IFERROR(VALUE(LEFT(Tasks[[#This Row],[_Pred4Text]],MIN(FIND("F",Tasks[[#This Row],[_Pred4Text]]&amp;"F"),FIND("S",Tasks[[#This Row],[_Pred4Text]]&amp;"S"),FIND("+",Tasks[[#This Row],[_Pred4Text]]&amp;"+"),FIND("-",Tasks[[#This Row],[_Pred4Text]]&amp;"-"))-1)),""))</f>
        <v/>
      </c>
      <c r="DI11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9" s="43" t="str">
        <f aca="false">IF(OR(Tasks[[#This Row],[Task Name]]="",Tasks[[#This Row],[_Resources]]=""),"",TRIM(MID(SUBSTITUTE(Tasks[[#This Row],[_Resources]],",",REPT(" ",99)),1,99)))</f>
        <v/>
      </c>
      <c r="DL119" s="43" t="str">
        <f aca="false">IF(Tasks[[#This Row],[_Res1Text]]="","",TRIM(MID(SUBSTITUTE(Tasks[[#This Row],[_Resources]],",",REPT(" ",99)),100,99)))</f>
        <v/>
      </c>
      <c r="DM119" s="43" t="str">
        <f aca="false">IF(Tasks[[#This Row],[_Res2Text]]="","",TRIM(MID(SUBSTITUTE(Tasks[[#This Row],[_Resources]],",",REPT(" ",99)),199,99)))</f>
        <v/>
      </c>
      <c r="DN119" s="43" t="str">
        <f aca="false">IF(Tasks[[#This Row],[_Res3Text]]="","",TRIM(MID(SUBSTITUTE(Tasks[[#This Row],[_Resources]],",",REPT(" ",99)),298,99)))</f>
        <v/>
      </c>
      <c r="DO119" s="43" t="n">
        <f aca="false">IF(Tasks[[#This Row],[_Res1Text]]="",0,IFERROR(MATCH(TRIM(LEFT(Tasks[[#This Row],[_Res1Text]],FIND("[",Tasks[[#This Row],[_Res1Text]]&amp;"[")-1)),res_Name,0),IFERROR(MATCH(TRIM(LEFT(Tasks[[#This Row],[_Res1Text]],FIND("[",Tasks[[#This Row],[_Res1Text]]&amp;"[")-1)),res_Initials,0),0)))</f>
        <v>0</v>
      </c>
      <c r="DP119" s="43" t="n">
        <f aca="false">IF(Tasks[[#This Row],[_Res2Text]]="",0,IFERROR(MATCH(TRIM(LEFT(Tasks[[#This Row],[_Res2Text]],FIND("[",Tasks[[#This Row],[_Res2Text]]&amp;"[")-1)),res_Name,0),IFERROR(MATCH(TRIM(LEFT(Tasks[[#This Row],[_Res2Text]],FIND("[",Tasks[[#This Row],[_Res2Text]]&amp;"[")-1)),res_Initials,0),0)))</f>
        <v>0</v>
      </c>
      <c r="DQ119" s="43" t="n">
        <f aca="false">IF(Tasks[[#This Row],[_Res3Text]]="",0,IFERROR(MATCH(TRIM(LEFT(Tasks[[#This Row],[_Res3Text]],FIND("[",Tasks[[#This Row],[_Res3Text]]&amp;"[")-1)),res_Name,0),IFERROR(MATCH(TRIM(LEFT(Tasks[[#This Row],[_Res3Text]],FIND("[",Tasks[[#This Row],[_Res3Text]]&amp;"[")-1)),res_Initials,0),0)))</f>
        <v>0</v>
      </c>
      <c r="DR119" s="43" t="n">
        <f aca="false">IF(Tasks[[#This Row],[_Res4Text]]="",0,IFERROR(MATCH(TRIM(LEFT(Tasks[[#This Row],[_Res4Text]],FIND("[",Tasks[[#This Row],[_Res4Text]]&amp;"[")-1)),res_Name,0),IFERROR(MATCH(TRIM(LEFT(Tasks[[#This Row],[_Res4Text]],FIND("[",Tasks[[#This Row],[_Res4Text]]&amp;"[")-1)),res_Initials,0),0)))</f>
        <v>0</v>
      </c>
      <c r="DS119" s="43" t="str">
        <f aca="false">IF(Tasks[[#This Row],[_Res1Text]]="","",IF(Tasks[[#This Row],[_Res1Row]]&gt;0,INDEX(res_Name,Tasks[[#This Row],[_Res1Row]]),TRIM(LEFT(Tasks[[#This Row],[_Res1Text]],FIND("[",Tasks[[#This Row],[_Res1Text]]&amp;"[")-1))))</f>
        <v/>
      </c>
      <c r="DT11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9" s="43" t="n">
        <f aca="false">IF(NOT(Tasks[[#This Row],[_IsLeaf]]=1),0,(Tasks[[#This Row],[_Resource1]]&lt;&gt;"")+(Tasks[[#This Row],[_Res2]]&lt;&gt;"")+(Tasks[[#This Row],[_Res3]]&lt;&gt;"")+(Tasks[[#This Row],[_Res4]]&lt;&gt;""))</f>
        <v>0</v>
      </c>
      <c r="DV119" s="43" t="str">
        <f aca="false">IF(Tasks[[#This Row],[_Res2Text]]="","",IF(Tasks[[#This Row],[_Res2Row]]&gt;0,INDEX(res_Name,Tasks[[#This Row],[_Res2Row]]),TRIM(LEFT(Tasks[[#This Row],[_Res2Text]],FIND("[",Tasks[[#This Row],[_Res2Text]]&amp;"[")-1))))</f>
        <v/>
      </c>
      <c r="DW11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9" s="43" t="n">
        <f aca="false">IF(OR(NOT(Tasks[[#This Row],[_IsLeaf]]=1),Tasks[[#This Row],[_Res2Row]]=0),0,N(Tasks[[#This Row],[_Days]])*HoursPerDay*IF(Tasks[[#This Row],[_Res2Units]]="",DefaultUnits,Tasks[[#This Row],[_Res2Units]]))</f>
        <v>0</v>
      </c>
      <c r="DY119" s="43" t="n">
        <f aca="false">IF(AND(AND(Tasks[[#This Row],[_IsLeaf]]=1,Tasks[[#This Row],[_LeafTotalWork]]&gt;0),Tasks[[#This Row],[_Res2Work]]&gt;0),Tasks[[#This Row],[_Res2Work]]/(Tasks[[#This Row],[_FinishWorkday]]-Tasks[[#This Row],[_StartWorkday]]+1),0)</f>
        <v>0</v>
      </c>
      <c r="DZ119" s="43" t="n">
        <f aca="false">Tasks[[#This Row],[_Res2WorkPerWD]]*MAX(0,Tasks[[#This Row],[_StartWorkday]]-1)</f>
        <v>0</v>
      </c>
      <c r="EA119" s="43" t="n">
        <f aca="false">Tasks[[#This Row],[_Res2Work]]*Tasks[[#This Row],[_LeafProgress]]</f>
        <v>0</v>
      </c>
      <c r="EB119" s="43" t="str">
        <f aca="false">IF(Tasks[[#This Row],[_Res3Text]]="","",IF(Tasks[[#This Row],[_Res3Row]]&gt;0,INDEX(res_Name,Tasks[[#This Row],[_Res3Row]]),TRIM(LEFT(Tasks[[#This Row],[_Res3Text]],FIND("[",Tasks[[#This Row],[_Res3Text]]&amp;"[")-1))))</f>
        <v/>
      </c>
      <c r="EC11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9" s="43" t="n">
        <f aca="false">IF(OR(NOT(Tasks[[#This Row],[_IsLeaf]]=1),Tasks[[#This Row],[_Res3Row]]=0),0,N(Tasks[[#This Row],[_Days]])*HoursPerDay*IF(Tasks[[#This Row],[_Res3Units]]="",DefaultUnits,Tasks[[#This Row],[_Res3Units]]))</f>
        <v>0</v>
      </c>
      <c r="EE119" s="43" t="n">
        <f aca="false">IF(AND(AND(Tasks[[#This Row],[_IsLeaf]]=1,Tasks[[#This Row],[_LeafTotalWork]]&gt;0),Tasks[[#This Row],[_Res3Work]]&gt;0),Tasks[[#This Row],[_Res3Work]]/(Tasks[[#This Row],[_FinishWorkday]]-Tasks[[#This Row],[_StartWorkday]]+1),0)</f>
        <v>0</v>
      </c>
      <c r="EF119" s="43" t="n">
        <f aca="false">Tasks[[#This Row],[_Res3WorkPerWD]]*MAX(0,Tasks[[#This Row],[_StartWorkday]]-1)</f>
        <v>0</v>
      </c>
      <c r="EG119" s="43" t="n">
        <f aca="false">Tasks[[#This Row],[_Res3Work]]*Tasks[[#This Row],[_LeafProgress]]</f>
        <v>0</v>
      </c>
      <c r="EH119" s="43" t="str">
        <f aca="false">IF(Tasks[[#This Row],[_Res4Text]]="","",IF(Tasks[[#This Row],[_Res4Row]]&gt;0,INDEX(res_Name,Tasks[[#This Row],[_Res4Row]]),TRIM(LEFT(Tasks[[#This Row],[_Res4Text]],FIND("[",Tasks[[#This Row],[_Res4Text]]&amp;"[")-1))))</f>
        <v/>
      </c>
      <c r="EI11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9" s="43" t="n">
        <f aca="false">IF(OR(NOT(Tasks[[#This Row],[_IsLeaf]]=1),Tasks[[#This Row],[_Res4Row]]=0),0,N(Tasks[[#This Row],[_Days]])*HoursPerDay*IF(Tasks[[#This Row],[_Res4Units]]="",DefaultUnits,Tasks[[#This Row],[_Res4Units]]))</f>
        <v>0</v>
      </c>
      <c r="EK119" s="43" t="n">
        <f aca="false">IF(AND(AND(Tasks[[#This Row],[_IsLeaf]]=1,Tasks[[#This Row],[_LeafTotalWork]]&gt;0),Tasks[[#This Row],[_Res4Work]]&gt;0),Tasks[[#This Row],[_Res4Work]]/(Tasks[[#This Row],[_FinishWorkday]]-Tasks[[#This Row],[_StartWorkday]]+1),0)</f>
        <v>0</v>
      </c>
      <c r="EL119" s="43" t="n">
        <f aca="false">Tasks[[#This Row],[_Res4WorkPerWD]]*MAX(0,Tasks[[#This Row],[_StartWorkday]]-1)</f>
        <v>0</v>
      </c>
      <c r="EM119" s="43" t="n">
        <f aca="false">Tasks[[#This Row],[_Res4Work]]*Tasks[[#This Row],[_LeafProgress]]</f>
        <v>0</v>
      </c>
      <c r="EN119" s="43" t="n">
        <f aca="false">IF(ISNUMBER(Tasks[[#This Row],[% Complete]]),Tasks[[#This Row],[% Complete]],IF(Tasks[[#This Row],[Stage]]="",0,IFERROR(INDEX(stg_Pct,MATCH(Tasks[[#This Row],[Stage]],stg_Name,0)),0)))</f>
        <v>0</v>
      </c>
      <c r="EO119" s="43" t="n">
        <f aca="false">IF(NOT(Tasks[[#This Row],[_IsLeaf]]=1),0,IF(N(Tasks[[#This Row],[Actual Finish]])&gt;0,1,MIN(1,Tasks[[#This Row],[_Pct]])))</f>
        <v>0</v>
      </c>
      <c r="EP119" s="43" t="n">
        <f aca="false">IF(OR(NOT(Tasks[[#This Row],[_IsLeaf]]=1),Tasks[[#This Row],[_Res1Row]]=0),0,N(Tasks[[#This Row],[_Days]])*HoursPerDay*IF(Tasks[[#This Row],[_Units1]]="",DefaultUnits,Tasks[[#This Row],[_Units1]]))</f>
        <v>0</v>
      </c>
      <c r="EQ119" s="43" t="n">
        <f aca="false">Tasks[[#This Row],[_LeafWork]]+Tasks[[#This Row],[_Res2Work]]+Tasks[[#This Row],[_Res3Work]]+Tasks[[#This Row],[_Res4Work]]</f>
        <v>0</v>
      </c>
      <c r="ER11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9" s="43" t="n">
        <f aca="false">IF(NOT(Tasks[[#This Row],[_IsLeaf]]=1),0,MAX(_xlfn.MAXIFS(Tasks[_Row],Tasks[_Pred1UID],Tasks[[#This Row],[UID]]),_xlfn.MAXIFS(Tasks[_Row],Tasks[_Pred2UID],Tasks[[#This Row],[UID]]),_xlfn.MAXIFS(Tasks[_Row],Tasks[_Pred3UID],Tasks[[#This Row],[UID]]),_xlfn.MAXIFS(Tasks[_Row],Tasks[_Pred4UID],Tasks[[#This Row],[UID]])))</f>
        <v>0</v>
      </c>
      <c r="FA11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9" s="91" t="str">
        <f aca="false">IF(NOT(Tasks[[#This Row],[_IsLeaf]]=1),"",IF(N(Tasks[[#This Row],[_Days]])&lt;=0,Tasks[[#This Row],[_LeafLateFinish]],WORKDAY.INTL(Tasks[[#This Row],[_LeafLateFinish]],-(Tasks[[#This Row],[_Days]]-1),WorkWeek,Holidays)))</f>
        <v/>
      </c>
      <c r="FD11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9" s="90" t="b">
        <f aca="false">AND(Tasks[[#This Row],[_IsLeaf]]=1,Tasks[[#This Row],[_LeafProgress]]&lt;1,N(Tasks[[#This Row],[_LeafTotalSlack]])&lt;=CriticalSlackDays)</f>
        <v>0</v>
      </c>
      <c r="FF119" s="43" t="n">
        <f aca="false">IF(AND(Tasks[[#This Row],[_IsLeaf]]=1,Tasks[[#This Row],[_ConstraintCode]]=1,Tasks[[#This Row],[Mode]]&lt;&gt;"Manual",N(Tasks[[#This Row],[Actual Start]])=0),MAX(0,N(Tasks[[#This Row],[Free Slack]])),0)</f>
        <v>0</v>
      </c>
      <c r="FG119" s="91" t="str">
        <f aca="false">IF(NOT(Tasks[[#This Row],[_IsLeaf]]=1),"",IF(Tasks[[#This Row],[_AlapShift]]=0,Tasks[[#This Row],[_LeafCalcStart]],WORKDAY.INTL(Tasks[[#This Row],[_LeafCalcStart]],Tasks[[#This Row],[_AlapShift]],WorkWeek,Holidays)))</f>
        <v/>
      </c>
      <c r="FH119" s="91" t="str">
        <f aca="false">IF(NOT(Tasks[[#This Row],[_IsLeaf]]=1),"",IF(Tasks[[#This Row],[_AlapShift]]=0,Tasks[[#This Row],[_LeafCalcFinish]],WORKDAY.INTL(Tasks[[#This Row],[_LeafCalcFinish]],Tasks[[#This Row],[_AlapShift]],WorkWeek,Holidays)))</f>
        <v/>
      </c>
      <c r="FI119" s="91" t="str">
        <f aca="false">IF(NOT(Tasks[[#This Row],[_IsLeaf]]=1),"",IF(Tasks[[#This Row],[_AlapShift]]=0,Tasks[[#This Row],[_LeafFcstStart]],WORKDAY.INTL(Tasks[[#This Row],[_LeafFcstStart]],Tasks[[#This Row],[_AlapShift]],WorkWeek,Holidays)))</f>
        <v/>
      </c>
      <c r="FJ119" s="91" t="str">
        <f aca="false">IF(NOT(Tasks[[#This Row],[_IsLeaf]]=1),"",IF(Tasks[[#This Row],[_AlapShift]]=0,Tasks[[#This Row],[_LeafFcstFinish]],WORKDAY.INTL(Tasks[[#This Row],[_LeafFcstFinish]],Tasks[[#This Row],[_AlapShift]],WorkWeek,Holidays)))</f>
        <v/>
      </c>
      <c r="FK119" s="91" t="str">
        <f aca="false">IF(Tasks[[#This Row],[Task Name]]="","",IF(Tasks[[#This Row],[_IsSummary]],MIN(INDEX(Tasks[_ShownCalcStart],Tasks[[#This Row],[_Row]]+1):INDEX(Tasks[_ShownCalcStart],Tasks[[#This Row],[_Row]]+Tasks[[#This Row],[_Descendants]])),Tasks[[#This Row],[_ShownCalcStart]]))</f>
        <v/>
      </c>
      <c r="FL119" s="91" t="str">
        <f aca="false">IF(Tasks[[#This Row],[Task Name]]="","",IF(Tasks[[#This Row],[_IsSummary]],MAX(INDEX(Tasks[_ShownCalcFinish],Tasks[[#This Row],[_Row]]+1):INDEX(Tasks[_ShownCalcFinish],Tasks[[#This Row],[_Row]]+Tasks[[#This Row],[_Descendants]])),Tasks[[#This Row],[_ShownCalcFinish]]))</f>
        <v/>
      </c>
      <c r="FM11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9" s="43" t="n">
        <f aca="false">IF(AND(Tasks[[#This Row],[_IsLeaf]]=1,Tasks[[#This Row],[_LeafTotalWork]]&gt;0),NETWORKDAYS.INTL(ProjectStart,Tasks[[#This Row],[_ShownFcstStart]],WorkWeek,Holidays),0)</f>
        <v>0</v>
      </c>
      <c r="FZ119" s="43" t="n">
        <f aca="false">IF(AND(Tasks[[#This Row],[_IsLeaf]]=1,Tasks[[#This Row],[_LeafTotalWork]]&gt;0),MAX(Tasks[[#This Row],[_StartWorkday]],NETWORKDAYS.INTL(ProjectStart,Tasks[[#This Row],[_ShownFcstFinish]],WorkWeek,Holidays)),0)</f>
        <v>0</v>
      </c>
      <c r="GA119" s="43" t="n">
        <f aca="false">IF(AND(Tasks[[#This Row],[_IsLeaf]]=1,Tasks[[#This Row],[_LeafTotalWork]]&gt;0),Tasks[[#This Row],[_LeafWork]]/(Tasks[[#This Row],[_FinishWorkday]]-Tasks[[#This Row],[_StartWorkday]]+1),0)</f>
        <v>0</v>
      </c>
      <c r="GB119" s="43" t="n">
        <f aca="false">Tasks[[#This Row],[_WorkPerWorkday]]*(Tasks[[#This Row],[_StartWorkday]]-1)</f>
        <v>-0</v>
      </c>
      <c r="GC119" s="43" t="n">
        <f aca="false">IF(Tasks[[#This Row],[_IsLeaf]]=1,MAX(N(Tasks[[#This Row],[_Days]]),0.1),0)</f>
        <v>0</v>
      </c>
      <c r="GD119" s="43" t="n">
        <f aca="false">Tasks[[#This Row],[_WeightDur]]*Tasks[[#This Row],[_LeafProgress]]</f>
        <v>0</v>
      </c>
      <c r="GE119" s="43" t="n">
        <f aca="false">Tasks[[#This Row],[_WeightDur]]*Tasks[[#This Row],[_PlannedPct]]</f>
        <v>0</v>
      </c>
      <c r="GF11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9" s="43" t="str">
        <f aca="false">IF(AND(Tasks[[#This Row],[_IsLeaf]]=1,N(Tasks[[#This Row],[_Days]])=0,Tasks[[#This Row],[_LeafProgress]]&lt;1),Tasks[[#This Row],[_ShownFcstFinish]]+Tasks[[#This Row],[_Row]]/100000,"")</f>
        <v/>
      </c>
      <c r="GH11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9" s="43" t="str">
        <f aca="false">IF(Tasks[[#This Row],[Task Name]]="","",LEFT(Tasks[[#This Row],[WBS]],FIND(".",Tasks[[#This Row],[WBS]]&amp;".")-1))</f>
        <v/>
      </c>
      <c r="GJ119" s="43" t="str">
        <f aca="false">IF(AND(Tasks[[#This Row],[Task Name]]&lt;&gt;"",Tasks[[#This Row],[_Level]]=1),Tasks[[#This Row],[_Row]],"")</f>
        <v/>
      </c>
      <c r="GK119" s="43" t="str">
        <f aca="false">IF(AND(Tasks[[#This Row],[_IsLeaf]]=1,N(Tasks[[#This Row],[_Days]])=0),Tasks[[#This Row],[Planned Finish]]+Tasks[[#This Row],[_Row]]/100000,"")</f>
        <v/>
      </c>
      <c r="GL119" s="43" t="str">
        <f aca="false">IF(AND(Tasks[[#This Row],[_IsLeaf]]=1,Tasks[[#This Row],[_LeafProgress]]&lt;1,OR(N(Tasks[[#This Row],[Finish Var]])&gt;0,Tasks[[#This Row],[Status]]="Late Start")),MAX(0,Tasks[[#This Row],[Finish Var]])+1-Tasks[[#This Row],[_Row]]/1000000,"")</f>
        <v/>
      </c>
      <c r="GM119" s="43" t="str">
        <f aca="false">IF(AND(Tasks[[#This Row],[_IsLeaf]]=1,N(Tasks[[#This Row],[Actual Start]])=0,Tasks[[#This Row],[_ShownFcstStart]]&gt;=StatusDate,Tasks[[#This Row],[_ShownFcstStart]]&lt;=LookaheadEnd),Tasks[[#This Row],[_ShownFcstStart]]+Tasks[[#This Row],[_Row]]/100000,"")</f>
        <v/>
      </c>
      <c r="GN119" s="43" t="str">
        <f aca="false">IF(AND(Tasks[[#This Row],[_IsLeaf]]=1,Tasks[[#This Row],[_LeafProgress]]&lt;1,Tasks[[#This Row],[_ShownFcstFinish]]&gt;=StatusDate,Tasks[[#This Row],[_ShownFcstFinish]]&lt;=LookaheadEnd),Tasks[[#This Row],[_ShownFcstFinish]]+Tasks[[#This Row],[_Row]]/100000,"")</f>
        <v/>
      </c>
      <c r="GO119" s="43" t="str">
        <f aca="false">IF(Tasks[[#This Row],[_LeafCritical]],Tasks[[#This Row],[_ShownFcstStart]]+Tasks[[#This Row],[_Row]]/100000,"")</f>
        <v/>
      </c>
      <c r="GP119" s="43" t="n">
        <f aca="false">Tasks[[#This Row],[_LeafWork]]*Tasks[[#This Row],[_LeafProgress]]</f>
        <v>0</v>
      </c>
      <c r="GQ119" s="91" t="str">
        <f aca="false">IF(AND(Tasks[[#This Row],[_IsLeaf]]=1,Tasks[[#This Row],[_LeafProgress]]&gt;=1),IF(N(Tasks[[#This Row],[Actual Finish]])&gt;0,Tasks[[#This Row],[Actual Finish]],Tasks[[#This Row],[_ShownFcstFinish]]),"")</f>
        <v/>
      </c>
      <c r="GR119" s="43" t="n">
        <f aca="false">IF(Tasks[[#This Row],[_IsLeaf]]=1,N(Tasks[[#This Row],[Story Points]]),0)</f>
        <v>0</v>
      </c>
      <c r="GS119" s="43" t="str">
        <f aca="false">""</f>
        <v/>
      </c>
      <c r="GT119" s="90" t="b">
        <f aca="false">IF(Tasks[[#This Row],[Task Name]]="",FALSE(),AND(Tasks[[#This Row],[_IsLeaf]]=1,N(Tasks[[#This Row],[_Days]])=0))</f>
        <v>0</v>
      </c>
      <c r="GU119" s="91" t="n">
        <f aca="false">IF(Tasks[[#This Row],[Task Name]]="",0,IF(AND(Tasks[[#This Row],[_IsLeaf]]=1,NOT(Tasks[[#This Row],[_IsMilestone]]),N(Tasks[[#This Row],[Progress]])&gt;0),Tasks[[#This Row],[Start]],0))</f>
        <v>0</v>
      </c>
      <c r="GV119" s="91" t="n">
        <f aca="false">IF(Tasks[[#This Row],[_DoneFrom]]=0,0,IF(Tasks[[#This Row],[Progress]]&gt;=1,Tasks[[#This Row],[Finish]],MAX(Tasks[[#This Row],[_DoneFrom]],Tasks[[#This Row],[Start]]+ROUND((Tasks[[#This Row],[Finish]]-Tasks[[#This Row],[Start]]+1)*Tasks[[#This Row],[Progress]],0)-1)))</f>
        <v>0</v>
      </c>
      <c r="GW119" s="91" t="n">
        <f aca="false">IF(Tasks[[#This Row],[Task Name]]="",0,IF(OR(NOT(Tasks[[#This Row],[_IsLeaf]]=1),Tasks[[#This Row],[_IsMilestone]],N(Tasks[[#This Row],[Progress]])&gt;=1),0,IF(Tasks[[#This Row],[_DoneTo]]&gt;0,Tasks[[#This Row],[_DoneTo]]+1,Tasks[[#This Row],[Start]])))</f>
        <v>0</v>
      </c>
      <c r="GX119" s="91" t="n">
        <f aca="false">IF(Tasks[[#This Row],[_RemFrom]]=0,0,Tasks[[#This Row],[Finish]])</f>
        <v>0</v>
      </c>
      <c r="GY119" s="90" t="b">
        <f aca="false">IF(Tasks[[#This Row],[Task Name]]="",FALSE(),OR(NOT(BaselineSet),N(Tasks[[#This Row],[Baseline Start]])&gt;0))</f>
        <v>0</v>
      </c>
      <c r="GZ11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9" s="92" t="str">
        <f aca="false">IF(Tasks[[#This Row],[_IsLeaf]]=1,Tasks[[#This Row],[_Row]],"")</f>
        <v/>
      </c>
      <c r="HD119" s="92" t="str">
        <f aca="false">IFERROR(INDEX(Tasks[UID],SMALL(Tasks[_PickKey],Tasks[[#This Row],[_Row]]))&amp;" "&amp;INDEX(Tasks[Task Name],SMALL(Tasks[_PickKey],Tasks[[#This Row],[_Row]])),"")</f>
        <v/>
      </c>
      <c r="HE119" s="43" t="str">
        <f aca="false">IF(Tasks[[#This Row],[Task Name]]="","",IF(Tasks[[#This Row],[_IsSummary]],NETWORKDAYS.INTL(Tasks[[#This Row],[Start]],Tasks[[#This Row],[Finish]],WorkWeek,Holidays),N(Tasks[[#This Row],[_Days]])))</f>
        <v/>
      </c>
      <c r="HF119" s="43" t="n">
        <f aca="false">IF(Tasks[[#This Row],[Expected]]="",0,((Tasks[[#This Row],[Pessimistic]]-Tasks[[#This Row],[Optimistic]])/6)^2)</f>
        <v>0</v>
      </c>
      <c r="HG119" s="43" t="n">
        <f aca="false">IF(Tasks[[#This Row],[Expected]]="",0,Tasks[[#This Row],[Expected]]-N(Tasks[[#This Row],[_Days]]))</f>
        <v>0</v>
      </c>
    </row>
    <row r="120" customFormat="false" ht="15" hidden="false" customHeight="false" outlineLevel="0" collapsed="false">
      <c r="A120" s="21" t="str">
        <f aca="false">IF(Tasks[[#This Row],[Task Name]]="","",COUNTA(Tasks[[#Headers],[Task Name]]:Tasks[[#This Row],[Task Name]])-1)</f>
        <v/>
      </c>
      <c r="B120" s="22" t="n">
        <v>128</v>
      </c>
      <c r="C120" s="22"/>
      <c r="D120" s="23"/>
      <c r="E120" s="22"/>
      <c r="F120" s="23"/>
      <c r="G120" s="22"/>
      <c r="H120" s="22"/>
      <c r="I120" s="23"/>
      <c r="J120" s="22"/>
      <c r="K120" s="22"/>
      <c r="L120" s="23"/>
      <c r="M120" s="22"/>
      <c r="N120" s="22"/>
      <c r="O120" s="23"/>
      <c r="P120" s="22"/>
      <c r="Q120" s="22"/>
      <c r="R120" s="23"/>
      <c r="S120" s="23"/>
      <c r="T120" s="84"/>
      <c r="U120" s="23"/>
      <c r="V120" s="84"/>
      <c r="W120" s="23"/>
      <c r="X120" s="84"/>
      <c r="Y120" s="23"/>
      <c r="Z120" s="84"/>
      <c r="AA120" s="23"/>
      <c r="AB120" s="23"/>
      <c r="AC120" s="7"/>
      <c r="AD120" s="7"/>
      <c r="AE120" s="63" t="str">
        <f aca="false">IF(Tasks[[#This Row],[Task Name]]="","",IF(Tasks[[#This Row],[_IsSummary]],MIN(INDEX(Tasks[_ShownFcstStart],Tasks[[#This Row],[_Row]]+1):INDEX(Tasks[_ShownFcstStart],Tasks[[#This Row],[_Row]]+Tasks[[#This Row],[_Descendants]])),Tasks[[#This Row],[_ShownFcstStart]]))</f>
        <v/>
      </c>
      <c r="AF120" s="63" t="str">
        <f aca="false">IF(Tasks[[#This Row],[Task Name]]="","",IF(Tasks[[#This Row],[_IsSummary]],MAX(INDEX(Tasks[_ShownFcstFinish],Tasks[[#This Row],[_Row]]+1):INDEX(Tasks[_ShownFcstFinish],Tasks[[#This Row],[_Row]]+Tasks[[#This Row],[_Descendants]])),Tasks[[#This Row],[_ShownFcstFinish]]))</f>
        <v/>
      </c>
      <c r="AG120" s="21" t="str">
        <f aca="false">""</f>
        <v/>
      </c>
      <c r="AH120" s="23"/>
      <c r="AI1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0" s="7"/>
      <c r="AK120" s="22"/>
      <c r="AL120" s="23"/>
      <c r="AM120" s="7"/>
      <c r="AN120" s="47" t="str">
        <f aca="false">IF(Tasks[[#This Row],[Task Name]]="","",IF(Tasks[[#This Row],[Finish]]&gt;=Tasks[[#This Row],[Planned Finish]],NETWORKDAYS.INTL(Tasks[[#This Row],[Planned Finish]],Tasks[[#This Row],[Finish]],WorkWeek,Holidays)-1,1-NETWORKDAYS.INTL(Tasks[[#This Row],[Finish]],Tasks[[#This Row],[Planned Finish]],WorkWeek,Holidays)))</f>
        <v/>
      </c>
      <c r="AO120" s="21" t="str">
        <f aca="false">IF(Tasks[[#This Row],[Task Name]]="","",IF(Tasks[[#This Row],[Progress]]&gt;=1,"Complete",IF(OR(N(Tasks[[#This Row],[Actual Start]])&gt;0,Tasks[[#This Row],[Progress]]&gt;0),IF(Tasks[[#This Row],[Finish Var]]&gt;0,"Behind","In Progress"),IF(Tasks[[#This Row],[Planned Start]]&lt;StatusDate,"Late Start","Not Started"))))</f>
        <v/>
      </c>
      <c r="AP120" s="21" t="str">
        <f aca="false">IF(Tasks[[#This Row],[Task Name]]="","",IF(IF(Tasks[[#This Row],[_IsSummary]],COUNTIF(INDEX(Tasks[_LeafCritical],Tasks[[#This Row],[_Row]]+1):INDEX(Tasks[_LeafCritical],Tasks[[#This Row],[_Row]]+Tasks[[#This Row],[_Descendants]]),TRUE())&gt;0,Tasks[[#This Row],[_LeafCritical]]),"Yes",""))</f>
        <v/>
      </c>
      <c r="AQ120" s="63" t="str">
        <f aca="false">IF(Tasks[[#This Row],[Task Name]]="","",IF(N(Tasks[[#This Row],[Baseline Start]])&gt;0,Tasks[[#This Row],[Baseline Start]],Tasks[[#This Row],[_CalcStart]]))</f>
        <v/>
      </c>
      <c r="AR120" s="63" t="str">
        <f aca="false">IF(Tasks[[#This Row],[Task Name]]="","",IF(N(Tasks[[#This Row],[Baseline Finish]])&gt;0,Tasks[[#This Row],[Baseline Finish]],Tasks[[#This Row],[_CalcFinish]]))</f>
        <v/>
      </c>
      <c r="AS120" s="47" t="str">
        <f aca="false">IF(Tasks[[#This Row],[Task Name]]="","",IF(Tasks[[#This Row],[Start]]&gt;=Tasks[[#This Row],[Planned Start]],NETWORKDAYS.INTL(Tasks[[#This Row],[Planned Start]],Tasks[[#This Row],[Start]],WorkWeek,Holidays)-1,1-NETWORKDAYS.INTL(Tasks[[#This Row],[Start]],Tasks[[#This Row],[Planned Start]],WorkWeek,Holidays)))</f>
        <v/>
      </c>
      <c r="AT120" s="63" t="str">
        <f aca="false">IF(Tasks[[#This Row],[Task Name]]="","",IF(Tasks[[#This Row],[_IsSummary]],MIN(INDEX(Tasks[_LeafLateStart],Tasks[[#This Row],[_Row]]+1):INDEX(Tasks[_LeafLateStart],Tasks[[#This Row],[_Row]]+Tasks[[#This Row],[_Descendants]])),Tasks[[#This Row],[_LeafLateStart]]))</f>
        <v/>
      </c>
      <c r="AU120" s="63" t="str">
        <f aca="false">IF(Tasks[[#This Row],[Task Name]]="","",IF(Tasks[[#This Row],[_IsSummary]],MAX(INDEX(Tasks[_LeafLateFinish],Tasks[[#This Row],[_Row]]+1):INDEX(Tasks[_LeafLateFinish],Tasks[[#This Row],[_Row]]+Tasks[[#This Row],[_Descendants]])),Tasks[[#This Row],[_LeafLateFinish]]))</f>
        <v/>
      </c>
      <c r="AV120" s="47" t="str">
        <f aca="false">IF(Tasks[[#This Row],[Task Name]]="","",IF(Tasks[[#This Row],[_IsSummary]],MIN(INDEX(Tasks[_LeafTotalSlack],Tasks[[#This Row],[_Row]]+1):INDEX(Tasks[_LeafTotalSlack],Tasks[[#This Row],[_Row]]+Tasks[[#This Row],[_Descendants]])),Tasks[[#This Row],[_LeafTotalSlack]]))</f>
        <v/>
      </c>
      <c r="AW1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5"/>
      <c r="BA12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1" t="str">
        <f aca="false">IF(Tasks[[#This Row],[Task Name]]="","",IF(Tasks[[#This Row],[_Level]]&lt;=OutlineShowLevel,"Yes","No"))</f>
        <v/>
      </c>
      <c r="BE120" s="86" t="str">
        <f aca="false">IF(Tasks[[#This Row],[Task Name]]="","",IF(Tasks[[#This Row],[_IsSummary]],SUM(INDEX(Tasks[_LeafTotalWork],Tasks[[#This Row],[_Row]]+1):INDEX(Tasks[_LeafTotalWork],Tasks[[#This Row],[_Row]]+Tasks[[#This Row],[_Descendants]])),Tasks[[#This Row],[_LeafTotalWork]]))</f>
        <v/>
      </c>
      <c r="BF120" s="23"/>
      <c r="BG1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0" s="21" t="str">
        <f aca="false">""</f>
        <v/>
      </c>
      <c r="BI120" s="87"/>
      <c r="BJ120" s="22"/>
      <c r="BK120" s="47" t="str">
        <f aca="false">IF(OR(Tasks[[#This Row],[Task Name]]="",Tasks[[#This Row],[Baseline Duration]]=""),"",Tasks[[#This Row],[_SpanDays]]-N(Tasks[[#This Row],[Baseline Duration]]))</f>
        <v/>
      </c>
      <c r="BL120" s="86" t="str">
        <f aca="false">IF(OR(Tasks[[#This Row],[Task Name]]="",Tasks[[#This Row],[Baseline Work]]=""),"",Tasks[[#This Row],[Work]]-N(Tasks[[#This Row],[Baseline Work]]))</f>
        <v/>
      </c>
      <c r="BM120" s="63" t="str">
        <f aca="false">IF(Tasks[[#This Row],[Task Name]]="","",IF(OR(TakeBaseline="Yes",N(Tasks[[#This Row],[Baseline Start]])=0),Tasks[[#This Row],[Start]],Tasks[[#This Row],[Baseline Start]]))</f>
        <v/>
      </c>
      <c r="BN120" s="63" t="str">
        <f aca="false">IF(Tasks[[#This Row],[Task Name]]="","",IF(OR(TakeBaseline="Yes",N(Tasks[[#This Row],[Baseline Finish]])=0),Tasks[[#This Row],[Finish]],Tasks[[#This Row],[Baseline Finish]]))</f>
        <v/>
      </c>
      <c r="BO120" s="21" t="str">
        <f aca="false">IF(Tasks[[#This Row],[Task Name]]="","",IF(OR(TakeBaseline="Yes",N(Tasks[[#This Row],[Baseline Duration]])=0),Tasks[[#This Row],[_SpanDays]],Tasks[[#This Row],[Baseline Duration]]))</f>
        <v/>
      </c>
      <c r="BP120" s="86" t="str">
        <f aca="false">IF(Tasks[[#This Row],[Task Name]]="","",IF(OR(TakeBaseline="Yes",N(Tasks[[#This Row],[Baseline Work]])=0),Tasks[[#This Row],[Work]],Tasks[[#This Row],[Baseline Work]]))</f>
        <v/>
      </c>
      <c r="BQ120" s="7"/>
      <c r="BR120" s="7"/>
      <c r="BS120" s="22"/>
      <c r="BT120" s="88"/>
      <c r="BU120" s="23"/>
      <c r="BV120" s="23"/>
      <c r="BW120" s="23"/>
      <c r="BX120" s="89" t="str">
        <f aca="false">IF(AND(Tasks[[#This Row],[_IsLeaf]]=1,ISNUMBER(Tasks[[#This Row],[Optimistic]]),ISNUMBER(Tasks[[#This Row],[Pessimistic]])),ROUND((Tasks[[#This Row],[Optimistic]]+4*N(Tasks[[#This Row],[_Days]])+Tasks[[#This Row],[Pessimistic]])/6,1),"")</f>
        <v/>
      </c>
      <c r="BY120" s="87"/>
      <c r="BZ120" s="87"/>
      <c r="CA120" s="22"/>
      <c r="CB120" s="43" t="str">
        <f aca="false">IF(Tasks[[#This Row],[Task Name]]="","",MAX(1,N(Tasks[[#This Row],[Level]])))</f>
        <v/>
      </c>
      <c r="CC120" s="43" t="n">
        <f aca="false">ROW()-ROW(Tasks[[#Headers],[ID]])</f>
        <v>115</v>
      </c>
      <c r="CD120" s="43" t="n">
        <f aca="false">IF(OR(Tasks[[#This Row],[Task Name]]="",Tasks[[#This Row],[_Level]]&lt;=1),0,IFERROR(LOOKUP(2,1/(Tasks[[#Headers],[_Level]]:Tasks[[#This Row],[_Level]]=Tasks[[#This Row],[_Level]]-1),ROW(Tasks[[#Headers],[_Level]]:Tasks[[#This Row],[_Level]])),0))</f>
        <v>0</v>
      </c>
      <c r="CE120" s="43" t="n">
        <f aca="false">IFERROR(N(INDEX(Tasks[_Level],Tasks[[#This Row],[_Row]]+1)),0)</f>
        <v>0</v>
      </c>
      <c r="CF120" s="90" t="b">
        <f aca="false">AND(Tasks[[#This Row],[Task Name]]&lt;&gt;"",Tasks[[#This Row],[_NextLevel]]&gt;Tasks[[#This Row],[_Level]])</f>
        <v>0</v>
      </c>
      <c r="CG120" s="43" t="n">
        <f aca="false">IF(Tasks[[#This Row],[_IsSummary]],COUNTIF(Tasks[WBS],Tasks[[#This Row],[WBS]]&amp;".*"),0)</f>
        <v>0</v>
      </c>
      <c r="CH120" s="43" t="n">
        <f aca="false">IF(AND(Tasks[[#This Row],[Task Name]]&lt;&gt;"",NOT(Tasks[[#This Row],[_IsSummary]])),1,0)</f>
        <v>0</v>
      </c>
      <c r="CI120" s="43" t="n">
        <f aca="false">IF(N(Tasks[[#This Row],[_Pred1UID]])=0,0,IFERROR(MATCH(Tasks[[#This Row],[_Pred1UID]],Tasks[UID],0),-1))</f>
        <v>0</v>
      </c>
      <c r="CJ120" s="43" t="n">
        <f aca="false">IF(N(Tasks[[#This Row],[_Pred2UID]])=0,0,IFERROR(MATCH(Tasks[[#This Row],[_Pred2UID]],Tasks[UID],0),-1))</f>
        <v>0</v>
      </c>
      <c r="CK120" s="43" t="n">
        <f aca="false">IF(N(Tasks[[#This Row],[_Pred3UID]])=0,0,IFERROR(MATCH(Tasks[[#This Row],[_Pred3UID]],Tasks[UID],0),-1))</f>
        <v>0</v>
      </c>
      <c r="CL120" s="43" t="n">
        <f aca="false">IF(N(Tasks[[#This Row],[_Pred4UID]])=0,0,IFERROR(MATCH(Tasks[[#This Row],[_Pred4UID]],Tasks[UID],0),-1))</f>
        <v>0</v>
      </c>
      <c r="CM12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0" s="91" t="n">
        <f aca="false">IF(OR(Tasks[[#This Row],[_ConstraintCode]]=2,Tasks[[#This Row],[_ConstraintCode]]=3,Tasks[[#This Row],[_ConstraintCode]]=4,Tasks[[#This Row],[_ConstraintCode]]=6),Tasks[[#This Row],[_ConstraintStart]],0)</f>
        <v>0</v>
      </c>
      <c r="CP120" s="91" t="n">
        <f aca="false">IF(OR(Tasks[[#This Row],[_ConstraintCode]]=2,Tasks[[#This Row],[_ConstraintCode]]=3,Tasks[[#This Row],[_ConstraintCode]]=5,Tasks[[#This Row],[_ConstraintCode]]=7),Tasks[[#This Row],[_ConstraintStart]],2958465)</f>
        <v>2958465</v>
      </c>
      <c r="CQ12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0" s="91" t="str">
        <f aca="false">IF(NOT(Tasks[[#This Row],[_IsLeaf]]=1),"",IF(N(Tasks[[#This Row],[_Days]])&lt;=0,Tasks[[#This Row],[_LeafCalcStart]],WORKDAY.INTL(Tasks[[#This Row],[_LeafCalcStart]],Tasks[[#This Row],[_Days]]-1,WorkWeek,Holidays)))</f>
        <v/>
      </c>
      <c r="CS12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0" s="43" t="str">
        <f aca="false">IF(Tasks[[#This Row],[_Predecessors]]="","",TRIM(MID(SUBSTITUTE(SUBSTITUTE(SUBSTITUTE(UPPER(Tasks[[#This Row],[_Predecessors]]),";",",")," ",""),",",REPT(" ",99)),1,99)))</f>
        <v/>
      </c>
      <c r="CV120" s="43" t="str">
        <f aca="false">IF(Tasks[[#This Row],[_Pred1Text]]="","",IFERROR(VALUE(LEFT(Tasks[[#This Row],[_Pred1Text]],MIN(FIND("F",Tasks[[#This Row],[_Pred1Text]]&amp;"F"),FIND("S",Tasks[[#This Row],[_Pred1Text]]&amp;"S"),FIND("+",Tasks[[#This Row],[_Pred1Text]]&amp;"+"),FIND("-",Tasks[[#This Row],[_Pred1Text]]&amp;"-"))-1)),""))</f>
        <v/>
      </c>
      <c r="CW12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0" s="43" t="str">
        <f aca="false">IF(Tasks[[#This Row],[_Pred1Text]]="","",TRIM(MID(SUBSTITUTE(SUBSTITUTE(SUBSTITUTE(UPPER(Tasks[[#This Row],[_Predecessors]]),";",",")," ",""),",",REPT(" ",99)),100,99)))</f>
        <v/>
      </c>
      <c r="CZ120" s="43" t="str">
        <f aca="false">IF(Tasks[[#This Row],[_Pred2Text]]="","",IFERROR(VALUE(LEFT(Tasks[[#This Row],[_Pred2Text]],MIN(FIND("F",Tasks[[#This Row],[_Pred2Text]]&amp;"F"),FIND("S",Tasks[[#This Row],[_Pred2Text]]&amp;"S"),FIND("+",Tasks[[#This Row],[_Pred2Text]]&amp;"+"),FIND("-",Tasks[[#This Row],[_Pred2Text]]&amp;"-"))-1)),""))</f>
        <v/>
      </c>
      <c r="DA12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0" s="43" t="str">
        <f aca="false">IF(Tasks[[#This Row],[_Pred2Text]]="","",TRIM(MID(SUBSTITUTE(SUBSTITUTE(SUBSTITUTE(UPPER(Tasks[[#This Row],[_Predecessors]]),";",",")," ",""),",",REPT(" ",99)),199,99)))</f>
        <v/>
      </c>
      <c r="DD120" s="43" t="str">
        <f aca="false">IF(Tasks[[#This Row],[_Pred3Text]]="","",IFERROR(VALUE(LEFT(Tasks[[#This Row],[_Pred3Text]],MIN(FIND("F",Tasks[[#This Row],[_Pred3Text]]&amp;"F"),FIND("S",Tasks[[#This Row],[_Pred3Text]]&amp;"S"),FIND("+",Tasks[[#This Row],[_Pred3Text]]&amp;"+"),FIND("-",Tasks[[#This Row],[_Pred3Text]]&amp;"-"))-1)),""))</f>
        <v/>
      </c>
      <c r="DE12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0" s="43" t="str">
        <f aca="false">IF(Tasks[[#This Row],[_Pred3Text]]="","",TRIM(MID(SUBSTITUTE(SUBSTITUTE(SUBSTITUTE(UPPER(Tasks[[#This Row],[_Predecessors]]),";",",")," ",""),",",REPT(" ",99)),298,99)))</f>
        <v/>
      </c>
      <c r="DH120" s="43" t="str">
        <f aca="false">IF(Tasks[[#This Row],[_Pred4Text]]="","",IFERROR(VALUE(LEFT(Tasks[[#This Row],[_Pred4Text]],MIN(FIND("F",Tasks[[#This Row],[_Pred4Text]]&amp;"F"),FIND("S",Tasks[[#This Row],[_Pred4Text]]&amp;"S"),FIND("+",Tasks[[#This Row],[_Pred4Text]]&amp;"+"),FIND("-",Tasks[[#This Row],[_Pred4Text]]&amp;"-"))-1)),""))</f>
        <v/>
      </c>
      <c r="DI12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0" s="43" t="str">
        <f aca="false">IF(OR(Tasks[[#This Row],[Task Name]]="",Tasks[[#This Row],[_Resources]]=""),"",TRIM(MID(SUBSTITUTE(Tasks[[#This Row],[_Resources]],",",REPT(" ",99)),1,99)))</f>
        <v/>
      </c>
      <c r="DL120" s="43" t="str">
        <f aca="false">IF(Tasks[[#This Row],[_Res1Text]]="","",TRIM(MID(SUBSTITUTE(Tasks[[#This Row],[_Resources]],",",REPT(" ",99)),100,99)))</f>
        <v/>
      </c>
      <c r="DM120" s="43" t="str">
        <f aca="false">IF(Tasks[[#This Row],[_Res2Text]]="","",TRIM(MID(SUBSTITUTE(Tasks[[#This Row],[_Resources]],",",REPT(" ",99)),199,99)))</f>
        <v/>
      </c>
      <c r="DN120" s="43" t="str">
        <f aca="false">IF(Tasks[[#This Row],[_Res3Text]]="","",TRIM(MID(SUBSTITUTE(Tasks[[#This Row],[_Resources]],",",REPT(" ",99)),298,99)))</f>
        <v/>
      </c>
      <c r="DO120" s="43" t="n">
        <f aca="false">IF(Tasks[[#This Row],[_Res1Text]]="",0,IFERROR(MATCH(TRIM(LEFT(Tasks[[#This Row],[_Res1Text]],FIND("[",Tasks[[#This Row],[_Res1Text]]&amp;"[")-1)),res_Name,0),IFERROR(MATCH(TRIM(LEFT(Tasks[[#This Row],[_Res1Text]],FIND("[",Tasks[[#This Row],[_Res1Text]]&amp;"[")-1)),res_Initials,0),0)))</f>
        <v>0</v>
      </c>
      <c r="DP120" s="43" t="n">
        <f aca="false">IF(Tasks[[#This Row],[_Res2Text]]="",0,IFERROR(MATCH(TRIM(LEFT(Tasks[[#This Row],[_Res2Text]],FIND("[",Tasks[[#This Row],[_Res2Text]]&amp;"[")-1)),res_Name,0),IFERROR(MATCH(TRIM(LEFT(Tasks[[#This Row],[_Res2Text]],FIND("[",Tasks[[#This Row],[_Res2Text]]&amp;"[")-1)),res_Initials,0),0)))</f>
        <v>0</v>
      </c>
      <c r="DQ120" s="43" t="n">
        <f aca="false">IF(Tasks[[#This Row],[_Res3Text]]="",0,IFERROR(MATCH(TRIM(LEFT(Tasks[[#This Row],[_Res3Text]],FIND("[",Tasks[[#This Row],[_Res3Text]]&amp;"[")-1)),res_Name,0),IFERROR(MATCH(TRIM(LEFT(Tasks[[#This Row],[_Res3Text]],FIND("[",Tasks[[#This Row],[_Res3Text]]&amp;"[")-1)),res_Initials,0),0)))</f>
        <v>0</v>
      </c>
      <c r="DR120" s="43" t="n">
        <f aca="false">IF(Tasks[[#This Row],[_Res4Text]]="",0,IFERROR(MATCH(TRIM(LEFT(Tasks[[#This Row],[_Res4Text]],FIND("[",Tasks[[#This Row],[_Res4Text]]&amp;"[")-1)),res_Name,0),IFERROR(MATCH(TRIM(LEFT(Tasks[[#This Row],[_Res4Text]],FIND("[",Tasks[[#This Row],[_Res4Text]]&amp;"[")-1)),res_Initials,0),0)))</f>
        <v>0</v>
      </c>
      <c r="DS120" s="43" t="str">
        <f aca="false">IF(Tasks[[#This Row],[_Res1Text]]="","",IF(Tasks[[#This Row],[_Res1Row]]&gt;0,INDEX(res_Name,Tasks[[#This Row],[_Res1Row]]),TRIM(LEFT(Tasks[[#This Row],[_Res1Text]],FIND("[",Tasks[[#This Row],[_Res1Text]]&amp;"[")-1))))</f>
        <v/>
      </c>
      <c r="DT12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0" s="43" t="n">
        <f aca="false">IF(NOT(Tasks[[#This Row],[_IsLeaf]]=1),0,(Tasks[[#This Row],[_Resource1]]&lt;&gt;"")+(Tasks[[#This Row],[_Res2]]&lt;&gt;"")+(Tasks[[#This Row],[_Res3]]&lt;&gt;"")+(Tasks[[#This Row],[_Res4]]&lt;&gt;""))</f>
        <v>0</v>
      </c>
      <c r="DV120" s="43" t="str">
        <f aca="false">IF(Tasks[[#This Row],[_Res2Text]]="","",IF(Tasks[[#This Row],[_Res2Row]]&gt;0,INDEX(res_Name,Tasks[[#This Row],[_Res2Row]]),TRIM(LEFT(Tasks[[#This Row],[_Res2Text]],FIND("[",Tasks[[#This Row],[_Res2Text]]&amp;"[")-1))))</f>
        <v/>
      </c>
      <c r="DW12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0" s="43" t="n">
        <f aca="false">IF(OR(NOT(Tasks[[#This Row],[_IsLeaf]]=1),Tasks[[#This Row],[_Res2Row]]=0),0,N(Tasks[[#This Row],[_Days]])*HoursPerDay*IF(Tasks[[#This Row],[_Res2Units]]="",DefaultUnits,Tasks[[#This Row],[_Res2Units]]))</f>
        <v>0</v>
      </c>
      <c r="DY120" s="43" t="n">
        <f aca="false">IF(AND(AND(Tasks[[#This Row],[_IsLeaf]]=1,Tasks[[#This Row],[_LeafTotalWork]]&gt;0),Tasks[[#This Row],[_Res2Work]]&gt;0),Tasks[[#This Row],[_Res2Work]]/(Tasks[[#This Row],[_FinishWorkday]]-Tasks[[#This Row],[_StartWorkday]]+1),0)</f>
        <v>0</v>
      </c>
      <c r="DZ120" s="43" t="n">
        <f aca="false">Tasks[[#This Row],[_Res2WorkPerWD]]*MAX(0,Tasks[[#This Row],[_StartWorkday]]-1)</f>
        <v>0</v>
      </c>
      <c r="EA120" s="43" t="n">
        <f aca="false">Tasks[[#This Row],[_Res2Work]]*Tasks[[#This Row],[_LeafProgress]]</f>
        <v>0</v>
      </c>
      <c r="EB120" s="43" t="str">
        <f aca="false">IF(Tasks[[#This Row],[_Res3Text]]="","",IF(Tasks[[#This Row],[_Res3Row]]&gt;0,INDEX(res_Name,Tasks[[#This Row],[_Res3Row]]),TRIM(LEFT(Tasks[[#This Row],[_Res3Text]],FIND("[",Tasks[[#This Row],[_Res3Text]]&amp;"[")-1))))</f>
        <v/>
      </c>
      <c r="EC12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0" s="43" t="n">
        <f aca="false">IF(OR(NOT(Tasks[[#This Row],[_IsLeaf]]=1),Tasks[[#This Row],[_Res3Row]]=0),0,N(Tasks[[#This Row],[_Days]])*HoursPerDay*IF(Tasks[[#This Row],[_Res3Units]]="",DefaultUnits,Tasks[[#This Row],[_Res3Units]]))</f>
        <v>0</v>
      </c>
      <c r="EE120" s="43" t="n">
        <f aca="false">IF(AND(AND(Tasks[[#This Row],[_IsLeaf]]=1,Tasks[[#This Row],[_LeafTotalWork]]&gt;0),Tasks[[#This Row],[_Res3Work]]&gt;0),Tasks[[#This Row],[_Res3Work]]/(Tasks[[#This Row],[_FinishWorkday]]-Tasks[[#This Row],[_StartWorkday]]+1),0)</f>
        <v>0</v>
      </c>
      <c r="EF120" s="43" t="n">
        <f aca="false">Tasks[[#This Row],[_Res3WorkPerWD]]*MAX(0,Tasks[[#This Row],[_StartWorkday]]-1)</f>
        <v>0</v>
      </c>
      <c r="EG120" s="43" t="n">
        <f aca="false">Tasks[[#This Row],[_Res3Work]]*Tasks[[#This Row],[_LeafProgress]]</f>
        <v>0</v>
      </c>
      <c r="EH120" s="43" t="str">
        <f aca="false">IF(Tasks[[#This Row],[_Res4Text]]="","",IF(Tasks[[#This Row],[_Res4Row]]&gt;0,INDEX(res_Name,Tasks[[#This Row],[_Res4Row]]),TRIM(LEFT(Tasks[[#This Row],[_Res4Text]],FIND("[",Tasks[[#This Row],[_Res4Text]]&amp;"[")-1))))</f>
        <v/>
      </c>
      <c r="EI12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0" s="43" t="n">
        <f aca="false">IF(OR(NOT(Tasks[[#This Row],[_IsLeaf]]=1),Tasks[[#This Row],[_Res4Row]]=0),0,N(Tasks[[#This Row],[_Days]])*HoursPerDay*IF(Tasks[[#This Row],[_Res4Units]]="",DefaultUnits,Tasks[[#This Row],[_Res4Units]]))</f>
        <v>0</v>
      </c>
      <c r="EK120" s="43" t="n">
        <f aca="false">IF(AND(AND(Tasks[[#This Row],[_IsLeaf]]=1,Tasks[[#This Row],[_LeafTotalWork]]&gt;0),Tasks[[#This Row],[_Res4Work]]&gt;0),Tasks[[#This Row],[_Res4Work]]/(Tasks[[#This Row],[_FinishWorkday]]-Tasks[[#This Row],[_StartWorkday]]+1),0)</f>
        <v>0</v>
      </c>
      <c r="EL120" s="43" t="n">
        <f aca="false">Tasks[[#This Row],[_Res4WorkPerWD]]*MAX(0,Tasks[[#This Row],[_StartWorkday]]-1)</f>
        <v>0</v>
      </c>
      <c r="EM120" s="43" t="n">
        <f aca="false">Tasks[[#This Row],[_Res4Work]]*Tasks[[#This Row],[_LeafProgress]]</f>
        <v>0</v>
      </c>
      <c r="EN120" s="43" t="n">
        <f aca="false">IF(ISNUMBER(Tasks[[#This Row],[% Complete]]),Tasks[[#This Row],[% Complete]],IF(Tasks[[#This Row],[Stage]]="",0,IFERROR(INDEX(stg_Pct,MATCH(Tasks[[#This Row],[Stage]],stg_Name,0)),0)))</f>
        <v>0</v>
      </c>
      <c r="EO120" s="43" t="n">
        <f aca="false">IF(NOT(Tasks[[#This Row],[_IsLeaf]]=1),0,IF(N(Tasks[[#This Row],[Actual Finish]])&gt;0,1,MIN(1,Tasks[[#This Row],[_Pct]])))</f>
        <v>0</v>
      </c>
      <c r="EP120" s="43" t="n">
        <f aca="false">IF(OR(NOT(Tasks[[#This Row],[_IsLeaf]]=1),Tasks[[#This Row],[_Res1Row]]=0),0,N(Tasks[[#This Row],[_Days]])*HoursPerDay*IF(Tasks[[#This Row],[_Units1]]="",DefaultUnits,Tasks[[#This Row],[_Units1]]))</f>
        <v>0</v>
      </c>
      <c r="EQ120" s="43" t="n">
        <f aca="false">Tasks[[#This Row],[_LeafWork]]+Tasks[[#This Row],[_Res2Work]]+Tasks[[#This Row],[_Res3Work]]+Tasks[[#This Row],[_Res4Work]]</f>
        <v>0</v>
      </c>
      <c r="ER12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0" s="43" t="n">
        <f aca="false">IF(NOT(Tasks[[#This Row],[_IsLeaf]]=1),0,MAX(_xlfn.MAXIFS(Tasks[_Row],Tasks[_Pred1UID],Tasks[[#This Row],[UID]]),_xlfn.MAXIFS(Tasks[_Row],Tasks[_Pred2UID],Tasks[[#This Row],[UID]]),_xlfn.MAXIFS(Tasks[_Row],Tasks[_Pred3UID],Tasks[[#This Row],[UID]]),_xlfn.MAXIFS(Tasks[_Row],Tasks[_Pred4UID],Tasks[[#This Row],[UID]])))</f>
        <v>0</v>
      </c>
      <c r="FA12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0" s="91" t="str">
        <f aca="false">IF(NOT(Tasks[[#This Row],[_IsLeaf]]=1),"",IF(N(Tasks[[#This Row],[_Days]])&lt;=0,Tasks[[#This Row],[_LeafLateFinish]],WORKDAY.INTL(Tasks[[#This Row],[_LeafLateFinish]],-(Tasks[[#This Row],[_Days]]-1),WorkWeek,Holidays)))</f>
        <v/>
      </c>
      <c r="FD12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0" s="90" t="b">
        <f aca="false">AND(Tasks[[#This Row],[_IsLeaf]]=1,Tasks[[#This Row],[_LeafProgress]]&lt;1,N(Tasks[[#This Row],[_LeafTotalSlack]])&lt;=CriticalSlackDays)</f>
        <v>0</v>
      </c>
      <c r="FF120" s="43" t="n">
        <f aca="false">IF(AND(Tasks[[#This Row],[_IsLeaf]]=1,Tasks[[#This Row],[_ConstraintCode]]=1,Tasks[[#This Row],[Mode]]&lt;&gt;"Manual",N(Tasks[[#This Row],[Actual Start]])=0),MAX(0,N(Tasks[[#This Row],[Free Slack]])),0)</f>
        <v>0</v>
      </c>
      <c r="FG120" s="91" t="str">
        <f aca="false">IF(NOT(Tasks[[#This Row],[_IsLeaf]]=1),"",IF(Tasks[[#This Row],[_AlapShift]]=0,Tasks[[#This Row],[_LeafCalcStart]],WORKDAY.INTL(Tasks[[#This Row],[_LeafCalcStart]],Tasks[[#This Row],[_AlapShift]],WorkWeek,Holidays)))</f>
        <v/>
      </c>
      <c r="FH120" s="91" t="str">
        <f aca="false">IF(NOT(Tasks[[#This Row],[_IsLeaf]]=1),"",IF(Tasks[[#This Row],[_AlapShift]]=0,Tasks[[#This Row],[_LeafCalcFinish]],WORKDAY.INTL(Tasks[[#This Row],[_LeafCalcFinish]],Tasks[[#This Row],[_AlapShift]],WorkWeek,Holidays)))</f>
        <v/>
      </c>
      <c r="FI120" s="91" t="str">
        <f aca="false">IF(NOT(Tasks[[#This Row],[_IsLeaf]]=1),"",IF(Tasks[[#This Row],[_AlapShift]]=0,Tasks[[#This Row],[_LeafFcstStart]],WORKDAY.INTL(Tasks[[#This Row],[_LeafFcstStart]],Tasks[[#This Row],[_AlapShift]],WorkWeek,Holidays)))</f>
        <v/>
      </c>
      <c r="FJ120" s="91" t="str">
        <f aca="false">IF(NOT(Tasks[[#This Row],[_IsLeaf]]=1),"",IF(Tasks[[#This Row],[_AlapShift]]=0,Tasks[[#This Row],[_LeafFcstFinish]],WORKDAY.INTL(Tasks[[#This Row],[_LeafFcstFinish]],Tasks[[#This Row],[_AlapShift]],WorkWeek,Holidays)))</f>
        <v/>
      </c>
      <c r="FK120" s="91" t="str">
        <f aca="false">IF(Tasks[[#This Row],[Task Name]]="","",IF(Tasks[[#This Row],[_IsSummary]],MIN(INDEX(Tasks[_ShownCalcStart],Tasks[[#This Row],[_Row]]+1):INDEX(Tasks[_ShownCalcStart],Tasks[[#This Row],[_Row]]+Tasks[[#This Row],[_Descendants]])),Tasks[[#This Row],[_ShownCalcStart]]))</f>
        <v/>
      </c>
      <c r="FL120" s="91" t="str">
        <f aca="false">IF(Tasks[[#This Row],[Task Name]]="","",IF(Tasks[[#This Row],[_IsSummary]],MAX(INDEX(Tasks[_ShownCalcFinish],Tasks[[#This Row],[_Row]]+1):INDEX(Tasks[_ShownCalcFinish],Tasks[[#This Row],[_Row]]+Tasks[[#This Row],[_Descendants]])),Tasks[[#This Row],[_ShownCalcFinish]]))</f>
        <v/>
      </c>
      <c r="FM12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0" s="43" t="n">
        <f aca="false">IF(AND(Tasks[[#This Row],[_IsLeaf]]=1,Tasks[[#This Row],[_LeafTotalWork]]&gt;0),NETWORKDAYS.INTL(ProjectStart,Tasks[[#This Row],[_ShownFcstStart]],WorkWeek,Holidays),0)</f>
        <v>0</v>
      </c>
      <c r="FZ120" s="43" t="n">
        <f aca="false">IF(AND(Tasks[[#This Row],[_IsLeaf]]=1,Tasks[[#This Row],[_LeafTotalWork]]&gt;0),MAX(Tasks[[#This Row],[_StartWorkday]],NETWORKDAYS.INTL(ProjectStart,Tasks[[#This Row],[_ShownFcstFinish]],WorkWeek,Holidays)),0)</f>
        <v>0</v>
      </c>
      <c r="GA120" s="43" t="n">
        <f aca="false">IF(AND(Tasks[[#This Row],[_IsLeaf]]=1,Tasks[[#This Row],[_LeafTotalWork]]&gt;0),Tasks[[#This Row],[_LeafWork]]/(Tasks[[#This Row],[_FinishWorkday]]-Tasks[[#This Row],[_StartWorkday]]+1),0)</f>
        <v>0</v>
      </c>
      <c r="GB120" s="43" t="n">
        <f aca="false">Tasks[[#This Row],[_WorkPerWorkday]]*(Tasks[[#This Row],[_StartWorkday]]-1)</f>
        <v>-0</v>
      </c>
      <c r="GC120" s="43" t="n">
        <f aca="false">IF(Tasks[[#This Row],[_IsLeaf]]=1,MAX(N(Tasks[[#This Row],[_Days]]),0.1),0)</f>
        <v>0</v>
      </c>
      <c r="GD120" s="43" t="n">
        <f aca="false">Tasks[[#This Row],[_WeightDur]]*Tasks[[#This Row],[_LeafProgress]]</f>
        <v>0</v>
      </c>
      <c r="GE120" s="43" t="n">
        <f aca="false">Tasks[[#This Row],[_WeightDur]]*Tasks[[#This Row],[_PlannedPct]]</f>
        <v>0</v>
      </c>
      <c r="GF12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0" s="43" t="str">
        <f aca="false">IF(AND(Tasks[[#This Row],[_IsLeaf]]=1,N(Tasks[[#This Row],[_Days]])=0,Tasks[[#This Row],[_LeafProgress]]&lt;1),Tasks[[#This Row],[_ShownFcstFinish]]+Tasks[[#This Row],[_Row]]/100000,"")</f>
        <v/>
      </c>
      <c r="GH12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0" s="43" t="str">
        <f aca="false">IF(Tasks[[#This Row],[Task Name]]="","",LEFT(Tasks[[#This Row],[WBS]],FIND(".",Tasks[[#This Row],[WBS]]&amp;".")-1))</f>
        <v/>
      </c>
      <c r="GJ120" s="43" t="str">
        <f aca="false">IF(AND(Tasks[[#This Row],[Task Name]]&lt;&gt;"",Tasks[[#This Row],[_Level]]=1),Tasks[[#This Row],[_Row]],"")</f>
        <v/>
      </c>
      <c r="GK120" s="43" t="str">
        <f aca="false">IF(AND(Tasks[[#This Row],[_IsLeaf]]=1,N(Tasks[[#This Row],[_Days]])=0),Tasks[[#This Row],[Planned Finish]]+Tasks[[#This Row],[_Row]]/100000,"")</f>
        <v/>
      </c>
      <c r="GL120" s="43" t="str">
        <f aca="false">IF(AND(Tasks[[#This Row],[_IsLeaf]]=1,Tasks[[#This Row],[_LeafProgress]]&lt;1,OR(N(Tasks[[#This Row],[Finish Var]])&gt;0,Tasks[[#This Row],[Status]]="Late Start")),MAX(0,Tasks[[#This Row],[Finish Var]])+1-Tasks[[#This Row],[_Row]]/1000000,"")</f>
        <v/>
      </c>
      <c r="GM120" s="43" t="str">
        <f aca="false">IF(AND(Tasks[[#This Row],[_IsLeaf]]=1,N(Tasks[[#This Row],[Actual Start]])=0,Tasks[[#This Row],[_ShownFcstStart]]&gt;=StatusDate,Tasks[[#This Row],[_ShownFcstStart]]&lt;=LookaheadEnd),Tasks[[#This Row],[_ShownFcstStart]]+Tasks[[#This Row],[_Row]]/100000,"")</f>
        <v/>
      </c>
      <c r="GN120" s="43" t="str">
        <f aca="false">IF(AND(Tasks[[#This Row],[_IsLeaf]]=1,Tasks[[#This Row],[_LeafProgress]]&lt;1,Tasks[[#This Row],[_ShownFcstFinish]]&gt;=StatusDate,Tasks[[#This Row],[_ShownFcstFinish]]&lt;=LookaheadEnd),Tasks[[#This Row],[_ShownFcstFinish]]+Tasks[[#This Row],[_Row]]/100000,"")</f>
        <v/>
      </c>
      <c r="GO120" s="43" t="str">
        <f aca="false">IF(Tasks[[#This Row],[_LeafCritical]],Tasks[[#This Row],[_ShownFcstStart]]+Tasks[[#This Row],[_Row]]/100000,"")</f>
        <v/>
      </c>
      <c r="GP120" s="43" t="n">
        <f aca="false">Tasks[[#This Row],[_LeafWork]]*Tasks[[#This Row],[_LeafProgress]]</f>
        <v>0</v>
      </c>
      <c r="GQ120" s="91" t="str">
        <f aca="false">IF(AND(Tasks[[#This Row],[_IsLeaf]]=1,Tasks[[#This Row],[_LeafProgress]]&gt;=1),IF(N(Tasks[[#This Row],[Actual Finish]])&gt;0,Tasks[[#This Row],[Actual Finish]],Tasks[[#This Row],[_ShownFcstFinish]]),"")</f>
        <v/>
      </c>
      <c r="GR120" s="43" t="n">
        <f aca="false">IF(Tasks[[#This Row],[_IsLeaf]]=1,N(Tasks[[#This Row],[Story Points]]),0)</f>
        <v>0</v>
      </c>
      <c r="GS120" s="43" t="str">
        <f aca="false">""</f>
        <v/>
      </c>
      <c r="GT120" s="90" t="b">
        <f aca="false">IF(Tasks[[#This Row],[Task Name]]="",FALSE(),AND(Tasks[[#This Row],[_IsLeaf]]=1,N(Tasks[[#This Row],[_Days]])=0))</f>
        <v>0</v>
      </c>
      <c r="GU120" s="91" t="n">
        <f aca="false">IF(Tasks[[#This Row],[Task Name]]="",0,IF(AND(Tasks[[#This Row],[_IsLeaf]]=1,NOT(Tasks[[#This Row],[_IsMilestone]]),N(Tasks[[#This Row],[Progress]])&gt;0),Tasks[[#This Row],[Start]],0))</f>
        <v>0</v>
      </c>
      <c r="GV120" s="91" t="n">
        <f aca="false">IF(Tasks[[#This Row],[_DoneFrom]]=0,0,IF(Tasks[[#This Row],[Progress]]&gt;=1,Tasks[[#This Row],[Finish]],MAX(Tasks[[#This Row],[_DoneFrom]],Tasks[[#This Row],[Start]]+ROUND((Tasks[[#This Row],[Finish]]-Tasks[[#This Row],[Start]]+1)*Tasks[[#This Row],[Progress]],0)-1)))</f>
        <v>0</v>
      </c>
      <c r="GW120" s="91" t="n">
        <f aca="false">IF(Tasks[[#This Row],[Task Name]]="",0,IF(OR(NOT(Tasks[[#This Row],[_IsLeaf]]=1),Tasks[[#This Row],[_IsMilestone]],N(Tasks[[#This Row],[Progress]])&gt;=1),0,IF(Tasks[[#This Row],[_DoneTo]]&gt;0,Tasks[[#This Row],[_DoneTo]]+1,Tasks[[#This Row],[Start]])))</f>
        <v>0</v>
      </c>
      <c r="GX120" s="91" t="n">
        <f aca="false">IF(Tasks[[#This Row],[_RemFrom]]=0,0,Tasks[[#This Row],[Finish]])</f>
        <v>0</v>
      </c>
      <c r="GY120" s="90" t="b">
        <f aca="false">IF(Tasks[[#This Row],[Task Name]]="",FALSE(),OR(NOT(BaselineSet),N(Tasks[[#This Row],[Baseline Start]])&gt;0))</f>
        <v>0</v>
      </c>
      <c r="GZ12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0" s="92" t="str">
        <f aca="false">IF(Tasks[[#This Row],[_IsLeaf]]=1,Tasks[[#This Row],[_Row]],"")</f>
        <v/>
      </c>
      <c r="HD120" s="92" t="str">
        <f aca="false">IFERROR(INDEX(Tasks[UID],SMALL(Tasks[_PickKey],Tasks[[#This Row],[_Row]]))&amp;" "&amp;INDEX(Tasks[Task Name],SMALL(Tasks[_PickKey],Tasks[[#This Row],[_Row]])),"")</f>
        <v/>
      </c>
      <c r="HE120" s="43" t="str">
        <f aca="false">IF(Tasks[[#This Row],[Task Name]]="","",IF(Tasks[[#This Row],[_IsSummary]],NETWORKDAYS.INTL(Tasks[[#This Row],[Start]],Tasks[[#This Row],[Finish]],WorkWeek,Holidays),N(Tasks[[#This Row],[_Days]])))</f>
        <v/>
      </c>
      <c r="HF120" s="43" t="n">
        <f aca="false">IF(Tasks[[#This Row],[Expected]]="",0,((Tasks[[#This Row],[Pessimistic]]-Tasks[[#This Row],[Optimistic]])/6)^2)</f>
        <v>0</v>
      </c>
      <c r="HG120" s="43" t="n">
        <f aca="false">IF(Tasks[[#This Row],[Expected]]="",0,Tasks[[#This Row],[Expected]]-N(Tasks[[#This Row],[_Days]]))</f>
        <v>0</v>
      </c>
    </row>
    <row r="121" customFormat="false" ht="15" hidden="false" customHeight="false" outlineLevel="0" collapsed="false">
      <c r="A121" s="21" t="str">
        <f aca="false">IF(Tasks[[#This Row],[Task Name]]="","",COUNTA(Tasks[[#Headers],[Task Name]]:Tasks[[#This Row],[Task Name]])-1)</f>
        <v/>
      </c>
      <c r="B121" s="22" t="n">
        <v>129</v>
      </c>
      <c r="C121" s="22"/>
      <c r="D121" s="23"/>
      <c r="E121" s="22"/>
      <c r="F121" s="23"/>
      <c r="G121" s="22"/>
      <c r="H121" s="22"/>
      <c r="I121" s="23"/>
      <c r="J121" s="22"/>
      <c r="K121" s="22"/>
      <c r="L121" s="23"/>
      <c r="M121" s="22"/>
      <c r="N121" s="22"/>
      <c r="O121" s="23"/>
      <c r="P121" s="22"/>
      <c r="Q121" s="22"/>
      <c r="R121" s="23"/>
      <c r="S121" s="23"/>
      <c r="T121" s="84"/>
      <c r="U121" s="23"/>
      <c r="V121" s="84"/>
      <c r="W121" s="23"/>
      <c r="X121" s="84"/>
      <c r="Y121" s="23"/>
      <c r="Z121" s="84"/>
      <c r="AA121" s="23"/>
      <c r="AB121" s="23"/>
      <c r="AC121" s="7"/>
      <c r="AD121" s="7"/>
      <c r="AE121" s="63" t="str">
        <f aca="false">IF(Tasks[[#This Row],[Task Name]]="","",IF(Tasks[[#This Row],[_IsSummary]],MIN(INDEX(Tasks[_ShownFcstStart],Tasks[[#This Row],[_Row]]+1):INDEX(Tasks[_ShownFcstStart],Tasks[[#This Row],[_Row]]+Tasks[[#This Row],[_Descendants]])),Tasks[[#This Row],[_ShownFcstStart]]))</f>
        <v/>
      </c>
      <c r="AF121" s="63" t="str">
        <f aca="false">IF(Tasks[[#This Row],[Task Name]]="","",IF(Tasks[[#This Row],[_IsSummary]],MAX(INDEX(Tasks[_ShownFcstFinish],Tasks[[#This Row],[_Row]]+1):INDEX(Tasks[_ShownFcstFinish],Tasks[[#This Row],[_Row]]+Tasks[[#This Row],[_Descendants]])),Tasks[[#This Row],[_ShownFcstFinish]]))</f>
        <v/>
      </c>
      <c r="AG121" s="21" t="str">
        <f aca="false">""</f>
        <v/>
      </c>
      <c r="AH121" s="23"/>
      <c r="AI1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1" s="7"/>
      <c r="AK121" s="22"/>
      <c r="AL121" s="23"/>
      <c r="AM121" s="7"/>
      <c r="AN121" s="47" t="str">
        <f aca="false">IF(Tasks[[#This Row],[Task Name]]="","",IF(Tasks[[#This Row],[Finish]]&gt;=Tasks[[#This Row],[Planned Finish]],NETWORKDAYS.INTL(Tasks[[#This Row],[Planned Finish]],Tasks[[#This Row],[Finish]],WorkWeek,Holidays)-1,1-NETWORKDAYS.INTL(Tasks[[#This Row],[Finish]],Tasks[[#This Row],[Planned Finish]],WorkWeek,Holidays)))</f>
        <v/>
      </c>
      <c r="AO121" s="21" t="str">
        <f aca="false">IF(Tasks[[#This Row],[Task Name]]="","",IF(Tasks[[#This Row],[Progress]]&gt;=1,"Complete",IF(OR(N(Tasks[[#This Row],[Actual Start]])&gt;0,Tasks[[#This Row],[Progress]]&gt;0),IF(Tasks[[#This Row],[Finish Var]]&gt;0,"Behind","In Progress"),IF(Tasks[[#This Row],[Planned Start]]&lt;StatusDate,"Late Start","Not Started"))))</f>
        <v/>
      </c>
      <c r="AP121" s="21" t="str">
        <f aca="false">IF(Tasks[[#This Row],[Task Name]]="","",IF(IF(Tasks[[#This Row],[_IsSummary]],COUNTIF(INDEX(Tasks[_LeafCritical],Tasks[[#This Row],[_Row]]+1):INDEX(Tasks[_LeafCritical],Tasks[[#This Row],[_Row]]+Tasks[[#This Row],[_Descendants]]),TRUE())&gt;0,Tasks[[#This Row],[_LeafCritical]]),"Yes",""))</f>
        <v/>
      </c>
      <c r="AQ121" s="63" t="str">
        <f aca="false">IF(Tasks[[#This Row],[Task Name]]="","",IF(N(Tasks[[#This Row],[Baseline Start]])&gt;0,Tasks[[#This Row],[Baseline Start]],Tasks[[#This Row],[_CalcStart]]))</f>
        <v/>
      </c>
      <c r="AR121" s="63" t="str">
        <f aca="false">IF(Tasks[[#This Row],[Task Name]]="","",IF(N(Tasks[[#This Row],[Baseline Finish]])&gt;0,Tasks[[#This Row],[Baseline Finish]],Tasks[[#This Row],[_CalcFinish]]))</f>
        <v/>
      </c>
      <c r="AS121" s="47" t="str">
        <f aca="false">IF(Tasks[[#This Row],[Task Name]]="","",IF(Tasks[[#This Row],[Start]]&gt;=Tasks[[#This Row],[Planned Start]],NETWORKDAYS.INTL(Tasks[[#This Row],[Planned Start]],Tasks[[#This Row],[Start]],WorkWeek,Holidays)-1,1-NETWORKDAYS.INTL(Tasks[[#This Row],[Start]],Tasks[[#This Row],[Planned Start]],WorkWeek,Holidays)))</f>
        <v/>
      </c>
      <c r="AT121" s="63" t="str">
        <f aca="false">IF(Tasks[[#This Row],[Task Name]]="","",IF(Tasks[[#This Row],[_IsSummary]],MIN(INDEX(Tasks[_LeafLateStart],Tasks[[#This Row],[_Row]]+1):INDEX(Tasks[_LeafLateStart],Tasks[[#This Row],[_Row]]+Tasks[[#This Row],[_Descendants]])),Tasks[[#This Row],[_LeafLateStart]]))</f>
        <v/>
      </c>
      <c r="AU121" s="63" t="str">
        <f aca="false">IF(Tasks[[#This Row],[Task Name]]="","",IF(Tasks[[#This Row],[_IsSummary]],MAX(INDEX(Tasks[_LeafLateFinish],Tasks[[#This Row],[_Row]]+1):INDEX(Tasks[_LeafLateFinish],Tasks[[#This Row],[_Row]]+Tasks[[#This Row],[_Descendants]])),Tasks[[#This Row],[_LeafLateFinish]]))</f>
        <v/>
      </c>
      <c r="AV121" s="47" t="str">
        <f aca="false">IF(Tasks[[#This Row],[Task Name]]="","",IF(Tasks[[#This Row],[_IsSummary]],MIN(INDEX(Tasks[_LeafTotalSlack],Tasks[[#This Row],[_Row]]+1):INDEX(Tasks[_LeafTotalSlack],Tasks[[#This Row],[_Row]]+Tasks[[#This Row],[_Descendants]])),Tasks[[#This Row],[_LeafTotalSlack]]))</f>
        <v/>
      </c>
      <c r="AW1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5"/>
      <c r="BA12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1" t="str">
        <f aca="false">IF(Tasks[[#This Row],[Task Name]]="","",IF(Tasks[[#This Row],[_Level]]&lt;=OutlineShowLevel,"Yes","No"))</f>
        <v/>
      </c>
      <c r="BE121" s="86" t="str">
        <f aca="false">IF(Tasks[[#This Row],[Task Name]]="","",IF(Tasks[[#This Row],[_IsSummary]],SUM(INDEX(Tasks[_LeafTotalWork],Tasks[[#This Row],[_Row]]+1):INDEX(Tasks[_LeafTotalWork],Tasks[[#This Row],[_Row]]+Tasks[[#This Row],[_Descendants]])),Tasks[[#This Row],[_LeafTotalWork]]))</f>
        <v/>
      </c>
      <c r="BF121" s="23"/>
      <c r="BG1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1" s="21" t="str">
        <f aca="false">""</f>
        <v/>
      </c>
      <c r="BI121" s="87"/>
      <c r="BJ121" s="22"/>
      <c r="BK121" s="47" t="str">
        <f aca="false">IF(OR(Tasks[[#This Row],[Task Name]]="",Tasks[[#This Row],[Baseline Duration]]=""),"",Tasks[[#This Row],[_SpanDays]]-N(Tasks[[#This Row],[Baseline Duration]]))</f>
        <v/>
      </c>
      <c r="BL121" s="86" t="str">
        <f aca="false">IF(OR(Tasks[[#This Row],[Task Name]]="",Tasks[[#This Row],[Baseline Work]]=""),"",Tasks[[#This Row],[Work]]-N(Tasks[[#This Row],[Baseline Work]]))</f>
        <v/>
      </c>
      <c r="BM121" s="63" t="str">
        <f aca="false">IF(Tasks[[#This Row],[Task Name]]="","",IF(OR(TakeBaseline="Yes",N(Tasks[[#This Row],[Baseline Start]])=0),Tasks[[#This Row],[Start]],Tasks[[#This Row],[Baseline Start]]))</f>
        <v/>
      </c>
      <c r="BN121" s="63" t="str">
        <f aca="false">IF(Tasks[[#This Row],[Task Name]]="","",IF(OR(TakeBaseline="Yes",N(Tasks[[#This Row],[Baseline Finish]])=0),Tasks[[#This Row],[Finish]],Tasks[[#This Row],[Baseline Finish]]))</f>
        <v/>
      </c>
      <c r="BO121" s="21" t="str">
        <f aca="false">IF(Tasks[[#This Row],[Task Name]]="","",IF(OR(TakeBaseline="Yes",N(Tasks[[#This Row],[Baseline Duration]])=0),Tasks[[#This Row],[_SpanDays]],Tasks[[#This Row],[Baseline Duration]]))</f>
        <v/>
      </c>
      <c r="BP121" s="86" t="str">
        <f aca="false">IF(Tasks[[#This Row],[Task Name]]="","",IF(OR(TakeBaseline="Yes",N(Tasks[[#This Row],[Baseline Work]])=0),Tasks[[#This Row],[Work]],Tasks[[#This Row],[Baseline Work]]))</f>
        <v/>
      </c>
      <c r="BQ121" s="7"/>
      <c r="BR121" s="7"/>
      <c r="BS121" s="22"/>
      <c r="BT121" s="88"/>
      <c r="BU121" s="23"/>
      <c r="BV121" s="23"/>
      <c r="BW121" s="23"/>
      <c r="BX121" s="89" t="str">
        <f aca="false">IF(AND(Tasks[[#This Row],[_IsLeaf]]=1,ISNUMBER(Tasks[[#This Row],[Optimistic]]),ISNUMBER(Tasks[[#This Row],[Pessimistic]])),ROUND((Tasks[[#This Row],[Optimistic]]+4*N(Tasks[[#This Row],[_Days]])+Tasks[[#This Row],[Pessimistic]])/6,1),"")</f>
        <v/>
      </c>
      <c r="BY121" s="87"/>
      <c r="BZ121" s="87"/>
      <c r="CA121" s="22"/>
      <c r="CB121" s="43" t="str">
        <f aca="false">IF(Tasks[[#This Row],[Task Name]]="","",MAX(1,N(Tasks[[#This Row],[Level]])))</f>
        <v/>
      </c>
      <c r="CC121" s="43" t="n">
        <f aca="false">ROW()-ROW(Tasks[[#Headers],[ID]])</f>
        <v>116</v>
      </c>
      <c r="CD121" s="43" t="n">
        <f aca="false">IF(OR(Tasks[[#This Row],[Task Name]]="",Tasks[[#This Row],[_Level]]&lt;=1),0,IFERROR(LOOKUP(2,1/(Tasks[[#Headers],[_Level]]:Tasks[[#This Row],[_Level]]=Tasks[[#This Row],[_Level]]-1),ROW(Tasks[[#Headers],[_Level]]:Tasks[[#This Row],[_Level]])),0))</f>
        <v>0</v>
      </c>
      <c r="CE121" s="43" t="n">
        <f aca="false">IFERROR(N(INDEX(Tasks[_Level],Tasks[[#This Row],[_Row]]+1)),0)</f>
        <v>0</v>
      </c>
      <c r="CF121" s="90" t="b">
        <f aca="false">AND(Tasks[[#This Row],[Task Name]]&lt;&gt;"",Tasks[[#This Row],[_NextLevel]]&gt;Tasks[[#This Row],[_Level]])</f>
        <v>0</v>
      </c>
      <c r="CG121" s="43" t="n">
        <f aca="false">IF(Tasks[[#This Row],[_IsSummary]],COUNTIF(Tasks[WBS],Tasks[[#This Row],[WBS]]&amp;".*"),0)</f>
        <v>0</v>
      </c>
      <c r="CH121" s="43" t="n">
        <f aca="false">IF(AND(Tasks[[#This Row],[Task Name]]&lt;&gt;"",NOT(Tasks[[#This Row],[_IsSummary]])),1,0)</f>
        <v>0</v>
      </c>
      <c r="CI121" s="43" t="n">
        <f aca="false">IF(N(Tasks[[#This Row],[_Pred1UID]])=0,0,IFERROR(MATCH(Tasks[[#This Row],[_Pred1UID]],Tasks[UID],0),-1))</f>
        <v>0</v>
      </c>
      <c r="CJ121" s="43" t="n">
        <f aca="false">IF(N(Tasks[[#This Row],[_Pred2UID]])=0,0,IFERROR(MATCH(Tasks[[#This Row],[_Pred2UID]],Tasks[UID],0),-1))</f>
        <v>0</v>
      </c>
      <c r="CK121" s="43" t="n">
        <f aca="false">IF(N(Tasks[[#This Row],[_Pred3UID]])=0,0,IFERROR(MATCH(Tasks[[#This Row],[_Pred3UID]],Tasks[UID],0),-1))</f>
        <v>0</v>
      </c>
      <c r="CL121" s="43" t="n">
        <f aca="false">IF(N(Tasks[[#This Row],[_Pred4UID]])=0,0,IFERROR(MATCH(Tasks[[#This Row],[_Pred4UID]],Tasks[UID],0),-1))</f>
        <v>0</v>
      </c>
      <c r="CM12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1" s="91" t="n">
        <f aca="false">IF(OR(Tasks[[#This Row],[_ConstraintCode]]=2,Tasks[[#This Row],[_ConstraintCode]]=3,Tasks[[#This Row],[_ConstraintCode]]=4,Tasks[[#This Row],[_ConstraintCode]]=6),Tasks[[#This Row],[_ConstraintStart]],0)</f>
        <v>0</v>
      </c>
      <c r="CP121" s="91" t="n">
        <f aca="false">IF(OR(Tasks[[#This Row],[_ConstraintCode]]=2,Tasks[[#This Row],[_ConstraintCode]]=3,Tasks[[#This Row],[_ConstraintCode]]=5,Tasks[[#This Row],[_ConstraintCode]]=7),Tasks[[#This Row],[_ConstraintStart]],2958465)</f>
        <v>2958465</v>
      </c>
      <c r="CQ12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1" s="91" t="str">
        <f aca="false">IF(NOT(Tasks[[#This Row],[_IsLeaf]]=1),"",IF(N(Tasks[[#This Row],[_Days]])&lt;=0,Tasks[[#This Row],[_LeafCalcStart]],WORKDAY.INTL(Tasks[[#This Row],[_LeafCalcStart]],Tasks[[#This Row],[_Days]]-1,WorkWeek,Holidays)))</f>
        <v/>
      </c>
      <c r="CS12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1" s="43" t="str">
        <f aca="false">IF(Tasks[[#This Row],[_Predecessors]]="","",TRIM(MID(SUBSTITUTE(SUBSTITUTE(SUBSTITUTE(UPPER(Tasks[[#This Row],[_Predecessors]]),";",",")," ",""),",",REPT(" ",99)),1,99)))</f>
        <v/>
      </c>
      <c r="CV121" s="43" t="str">
        <f aca="false">IF(Tasks[[#This Row],[_Pred1Text]]="","",IFERROR(VALUE(LEFT(Tasks[[#This Row],[_Pred1Text]],MIN(FIND("F",Tasks[[#This Row],[_Pred1Text]]&amp;"F"),FIND("S",Tasks[[#This Row],[_Pred1Text]]&amp;"S"),FIND("+",Tasks[[#This Row],[_Pred1Text]]&amp;"+"),FIND("-",Tasks[[#This Row],[_Pred1Text]]&amp;"-"))-1)),""))</f>
        <v/>
      </c>
      <c r="CW12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1" s="43" t="str">
        <f aca="false">IF(Tasks[[#This Row],[_Pred1Text]]="","",TRIM(MID(SUBSTITUTE(SUBSTITUTE(SUBSTITUTE(UPPER(Tasks[[#This Row],[_Predecessors]]),";",",")," ",""),",",REPT(" ",99)),100,99)))</f>
        <v/>
      </c>
      <c r="CZ121" s="43" t="str">
        <f aca="false">IF(Tasks[[#This Row],[_Pred2Text]]="","",IFERROR(VALUE(LEFT(Tasks[[#This Row],[_Pred2Text]],MIN(FIND("F",Tasks[[#This Row],[_Pred2Text]]&amp;"F"),FIND("S",Tasks[[#This Row],[_Pred2Text]]&amp;"S"),FIND("+",Tasks[[#This Row],[_Pred2Text]]&amp;"+"),FIND("-",Tasks[[#This Row],[_Pred2Text]]&amp;"-"))-1)),""))</f>
        <v/>
      </c>
      <c r="DA12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1" s="43" t="str">
        <f aca="false">IF(Tasks[[#This Row],[_Pred2Text]]="","",TRIM(MID(SUBSTITUTE(SUBSTITUTE(SUBSTITUTE(UPPER(Tasks[[#This Row],[_Predecessors]]),";",",")," ",""),",",REPT(" ",99)),199,99)))</f>
        <v/>
      </c>
      <c r="DD121" s="43" t="str">
        <f aca="false">IF(Tasks[[#This Row],[_Pred3Text]]="","",IFERROR(VALUE(LEFT(Tasks[[#This Row],[_Pred3Text]],MIN(FIND("F",Tasks[[#This Row],[_Pred3Text]]&amp;"F"),FIND("S",Tasks[[#This Row],[_Pred3Text]]&amp;"S"),FIND("+",Tasks[[#This Row],[_Pred3Text]]&amp;"+"),FIND("-",Tasks[[#This Row],[_Pred3Text]]&amp;"-"))-1)),""))</f>
        <v/>
      </c>
      <c r="DE12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1" s="43" t="str">
        <f aca="false">IF(Tasks[[#This Row],[_Pred3Text]]="","",TRIM(MID(SUBSTITUTE(SUBSTITUTE(SUBSTITUTE(UPPER(Tasks[[#This Row],[_Predecessors]]),";",",")," ",""),",",REPT(" ",99)),298,99)))</f>
        <v/>
      </c>
      <c r="DH121" s="43" t="str">
        <f aca="false">IF(Tasks[[#This Row],[_Pred4Text]]="","",IFERROR(VALUE(LEFT(Tasks[[#This Row],[_Pred4Text]],MIN(FIND("F",Tasks[[#This Row],[_Pred4Text]]&amp;"F"),FIND("S",Tasks[[#This Row],[_Pred4Text]]&amp;"S"),FIND("+",Tasks[[#This Row],[_Pred4Text]]&amp;"+"),FIND("-",Tasks[[#This Row],[_Pred4Text]]&amp;"-"))-1)),""))</f>
        <v/>
      </c>
      <c r="DI12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1" s="43" t="str">
        <f aca="false">IF(OR(Tasks[[#This Row],[Task Name]]="",Tasks[[#This Row],[_Resources]]=""),"",TRIM(MID(SUBSTITUTE(Tasks[[#This Row],[_Resources]],",",REPT(" ",99)),1,99)))</f>
        <v/>
      </c>
      <c r="DL121" s="43" t="str">
        <f aca="false">IF(Tasks[[#This Row],[_Res1Text]]="","",TRIM(MID(SUBSTITUTE(Tasks[[#This Row],[_Resources]],",",REPT(" ",99)),100,99)))</f>
        <v/>
      </c>
      <c r="DM121" s="43" t="str">
        <f aca="false">IF(Tasks[[#This Row],[_Res2Text]]="","",TRIM(MID(SUBSTITUTE(Tasks[[#This Row],[_Resources]],",",REPT(" ",99)),199,99)))</f>
        <v/>
      </c>
      <c r="DN121" s="43" t="str">
        <f aca="false">IF(Tasks[[#This Row],[_Res3Text]]="","",TRIM(MID(SUBSTITUTE(Tasks[[#This Row],[_Resources]],",",REPT(" ",99)),298,99)))</f>
        <v/>
      </c>
      <c r="DO121" s="43" t="n">
        <f aca="false">IF(Tasks[[#This Row],[_Res1Text]]="",0,IFERROR(MATCH(TRIM(LEFT(Tasks[[#This Row],[_Res1Text]],FIND("[",Tasks[[#This Row],[_Res1Text]]&amp;"[")-1)),res_Name,0),IFERROR(MATCH(TRIM(LEFT(Tasks[[#This Row],[_Res1Text]],FIND("[",Tasks[[#This Row],[_Res1Text]]&amp;"[")-1)),res_Initials,0),0)))</f>
        <v>0</v>
      </c>
      <c r="DP121" s="43" t="n">
        <f aca="false">IF(Tasks[[#This Row],[_Res2Text]]="",0,IFERROR(MATCH(TRIM(LEFT(Tasks[[#This Row],[_Res2Text]],FIND("[",Tasks[[#This Row],[_Res2Text]]&amp;"[")-1)),res_Name,0),IFERROR(MATCH(TRIM(LEFT(Tasks[[#This Row],[_Res2Text]],FIND("[",Tasks[[#This Row],[_Res2Text]]&amp;"[")-1)),res_Initials,0),0)))</f>
        <v>0</v>
      </c>
      <c r="DQ121" s="43" t="n">
        <f aca="false">IF(Tasks[[#This Row],[_Res3Text]]="",0,IFERROR(MATCH(TRIM(LEFT(Tasks[[#This Row],[_Res3Text]],FIND("[",Tasks[[#This Row],[_Res3Text]]&amp;"[")-1)),res_Name,0),IFERROR(MATCH(TRIM(LEFT(Tasks[[#This Row],[_Res3Text]],FIND("[",Tasks[[#This Row],[_Res3Text]]&amp;"[")-1)),res_Initials,0),0)))</f>
        <v>0</v>
      </c>
      <c r="DR121" s="43" t="n">
        <f aca="false">IF(Tasks[[#This Row],[_Res4Text]]="",0,IFERROR(MATCH(TRIM(LEFT(Tasks[[#This Row],[_Res4Text]],FIND("[",Tasks[[#This Row],[_Res4Text]]&amp;"[")-1)),res_Name,0),IFERROR(MATCH(TRIM(LEFT(Tasks[[#This Row],[_Res4Text]],FIND("[",Tasks[[#This Row],[_Res4Text]]&amp;"[")-1)),res_Initials,0),0)))</f>
        <v>0</v>
      </c>
      <c r="DS121" s="43" t="str">
        <f aca="false">IF(Tasks[[#This Row],[_Res1Text]]="","",IF(Tasks[[#This Row],[_Res1Row]]&gt;0,INDEX(res_Name,Tasks[[#This Row],[_Res1Row]]),TRIM(LEFT(Tasks[[#This Row],[_Res1Text]],FIND("[",Tasks[[#This Row],[_Res1Text]]&amp;"[")-1))))</f>
        <v/>
      </c>
      <c r="DT12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1" s="43" t="n">
        <f aca="false">IF(NOT(Tasks[[#This Row],[_IsLeaf]]=1),0,(Tasks[[#This Row],[_Resource1]]&lt;&gt;"")+(Tasks[[#This Row],[_Res2]]&lt;&gt;"")+(Tasks[[#This Row],[_Res3]]&lt;&gt;"")+(Tasks[[#This Row],[_Res4]]&lt;&gt;""))</f>
        <v>0</v>
      </c>
      <c r="DV121" s="43" t="str">
        <f aca="false">IF(Tasks[[#This Row],[_Res2Text]]="","",IF(Tasks[[#This Row],[_Res2Row]]&gt;0,INDEX(res_Name,Tasks[[#This Row],[_Res2Row]]),TRIM(LEFT(Tasks[[#This Row],[_Res2Text]],FIND("[",Tasks[[#This Row],[_Res2Text]]&amp;"[")-1))))</f>
        <v/>
      </c>
      <c r="DW12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1" s="43" t="n">
        <f aca="false">IF(OR(NOT(Tasks[[#This Row],[_IsLeaf]]=1),Tasks[[#This Row],[_Res2Row]]=0),0,N(Tasks[[#This Row],[_Days]])*HoursPerDay*IF(Tasks[[#This Row],[_Res2Units]]="",DefaultUnits,Tasks[[#This Row],[_Res2Units]]))</f>
        <v>0</v>
      </c>
      <c r="DY121" s="43" t="n">
        <f aca="false">IF(AND(AND(Tasks[[#This Row],[_IsLeaf]]=1,Tasks[[#This Row],[_LeafTotalWork]]&gt;0),Tasks[[#This Row],[_Res2Work]]&gt;0),Tasks[[#This Row],[_Res2Work]]/(Tasks[[#This Row],[_FinishWorkday]]-Tasks[[#This Row],[_StartWorkday]]+1),0)</f>
        <v>0</v>
      </c>
      <c r="DZ121" s="43" t="n">
        <f aca="false">Tasks[[#This Row],[_Res2WorkPerWD]]*MAX(0,Tasks[[#This Row],[_StartWorkday]]-1)</f>
        <v>0</v>
      </c>
      <c r="EA121" s="43" t="n">
        <f aca="false">Tasks[[#This Row],[_Res2Work]]*Tasks[[#This Row],[_LeafProgress]]</f>
        <v>0</v>
      </c>
      <c r="EB121" s="43" t="str">
        <f aca="false">IF(Tasks[[#This Row],[_Res3Text]]="","",IF(Tasks[[#This Row],[_Res3Row]]&gt;0,INDEX(res_Name,Tasks[[#This Row],[_Res3Row]]),TRIM(LEFT(Tasks[[#This Row],[_Res3Text]],FIND("[",Tasks[[#This Row],[_Res3Text]]&amp;"[")-1))))</f>
        <v/>
      </c>
      <c r="EC12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1" s="43" t="n">
        <f aca="false">IF(OR(NOT(Tasks[[#This Row],[_IsLeaf]]=1),Tasks[[#This Row],[_Res3Row]]=0),0,N(Tasks[[#This Row],[_Days]])*HoursPerDay*IF(Tasks[[#This Row],[_Res3Units]]="",DefaultUnits,Tasks[[#This Row],[_Res3Units]]))</f>
        <v>0</v>
      </c>
      <c r="EE121" s="43" t="n">
        <f aca="false">IF(AND(AND(Tasks[[#This Row],[_IsLeaf]]=1,Tasks[[#This Row],[_LeafTotalWork]]&gt;0),Tasks[[#This Row],[_Res3Work]]&gt;0),Tasks[[#This Row],[_Res3Work]]/(Tasks[[#This Row],[_FinishWorkday]]-Tasks[[#This Row],[_StartWorkday]]+1),0)</f>
        <v>0</v>
      </c>
      <c r="EF121" s="43" t="n">
        <f aca="false">Tasks[[#This Row],[_Res3WorkPerWD]]*MAX(0,Tasks[[#This Row],[_StartWorkday]]-1)</f>
        <v>0</v>
      </c>
      <c r="EG121" s="43" t="n">
        <f aca="false">Tasks[[#This Row],[_Res3Work]]*Tasks[[#This Row],[_LeafProgress]]</f>
        <v>0</v>
      </c>
      <c r="EH121" s="43" t="str">
        <f aca="false">IF(Tasks[[#This Row],[_Res4Text]]="","",IF(Tasks[[#This Row],[_Res4Row]]&gt;0,INDEX(res_Name,Tasks[[#This Row],[_Res4Row]]),TRIM(LEFT(Tasks[[#This Row],[_Res4Text]],FIND("[",Tasks[[#This Row],[_Res4Text]]&amp;"[")-1))))</f>
        <v/>
      </c>
      <c r="EI12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1" s="43" t="n">
        <f aca="false">IF(OR(NOT(Tasks[[#This Row],[_IsLeaf]]=1),Tasks[[#This Row],[_Res4Row]]=0),0,N(Tasks[[#This Row],[_Days]])*HoursPerDay*IF(Tasks[[#This Row],[_Res4Units]]="",DefaultUnits,Tasks[[#This Row],[_Res4Units]]))</f>
        <v>0</v>
      </c>
      <c r="EK121" s="43" t="n">
        <f aca="false">IF(AND(AND(Tasks[[#This Row],[_IsLeaf]]=1,Tasks[[#This Row],[_LeafTotalWork]]&gt;0),Tasks[[#This Row],[_Res4Work]]&gt;0),Tasks[[#This Row],[_Res4Work]]/(Tasks[[#This Row],[_FinishWorkday]]-Tasks[[#This Row],[_StartWorkday]]+1),0)</f>
        <v>0</v>
      </c>
      <c r="EL121" s="43" t="n">
        <f aca="false">Tasks[[#This Row],[_Res4WorkPerWD]]*MAX(0,Tasks[[#This Row],[_StartWorkday]]-1)</f>
        <v>0</v>
      </c>
      <c r="EM121" s="43" t="n">
        <f aca="false">Tasks[[#This Row],[_Res4Work]]*Tasks[[#This Row],[_LeafProgress]]</f>
        <v>0</v>
      </c>
      <c r="EN121" s="43" t="n">
        <f aca="false">IF(ISNUMBER(Tasks[[#This Row],[% Complete]]),Tasks[[#This Row],[% Complete]],IF(Tasks[[#This Row],[Stage]]="",0,IFERROR(INDEX(stg_Pct,MATCH(Tasks[[#This Row],[Stage]],stg_Name,0)),0)))</f>
        <v>0</v>
      </c>
      <c r="EO121" s="43" t="n">
        <f aca="false">IF(NOT(Tasks[[#This Row],[_IsLeaf]]=1),0,IF(N(Tasks[[#This Row],[Actual Finish]])&gt;0,1,MIN(1,Tasks[[#This Row],[_Pct]])))</f>
        <v>0</v>
      </c>
      <c r="EP121" s="43" t="n">
        <f aca="false">IF(OR(NOT(Tasks[[#This Row],[_IsLeaf]]=1),Tasks[[#This Row],[_Res1Row]]=0),0,N(Tasks[[#This Row],[_Days]])*HoursPerDay*IF(Tasks[[#This Row],[_Units1]]="",DefaultUnits,Tasks[[#This Row],[_Units1]]))</f>
        <v>0</v>
      </c>
      <c r="EQ121" s="43" t="n">
        <f aca="false">Tasks[[#This Row],[_LeafWork]]+Tasks[[#This Row],[_Res2Work]]+Tasks[[#This Row],[_Res3Work]]+Tasks[[#This Row],[_Res4Work]]</f>
        <v>0</v>
      </c>
      <c r="ER12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1" s="43" t="n">
        <f aca="false">IF(NOT(Tasks[[#This Row],[_IsLeaf]]=1),0,MAX(_xlfn.MAXIFS(Tasks[_Row],Tasks[_Pred1UID],Tasks[[#This Row],[UID]]),_xlfn.MAXIFS(Tasks[_Row],Tasks[_Pred2UID],Tasks[[#This Row],[UID]]),_xlfn.MAXIFS(Tasks[_Row],Tasks[_Pred3UID],Tasks[[#This Row],[UID]]),_xlfn.MAXIFS(Tasks[_Row],Tasks[_Pred4UID],Tasks[[#This Row],[UID]])))</f>
        <v>0</v>
      </c>
      <c r="FA12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1" s="91" t="str">
        <f aca="false">IF(NOT(Tasks[[#This Row],[_IsLeaf]]=1),"",IF(N(Tasks[[#This Row],[_Days]])&lt;=0,Tasks[[#This Row],[_LeafLateFinish]],WORKDAY.INTL(Tasks[[#This Row],[_LeafLateFinish]],-(Tasks[[#This Row],[_Days]]-1),WorkWeek,Holidays)))</f>
        <v/>
      </c>
      <c r="FD12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1" s="90" t="b">
        <f aca="false">AND(Tasks[[#This Row],[_IsLeaf]]=1,Tasks[[#This Row],[_LeafProgress]]&lt;1,N(Tasks[[#This Row],[_LeafTotalSlack]])&lt;=CriticalSlackDays)</f>
        <v>0</v>
      </c>
      <c r="FF121" s="43" t="n">
        <f aca="false">IF(AND(Tasks[[#This Row],[_IsLeaf]]=1,Tasks[[#This Row],[_ConstraintCode]]=1,Tasks[[#This Row],[Mode]]&lt;&gt;"Manual",N(Tasks[[#This Row],[Actual Start]])=0),MAX(0,N(Tasks[[#This Row],[Free Slack]])),0)</f>
        <v>0</v>
      </c>
      <c r="FG121" s="91" t="str">
        <f aca="false">IF(NOT(Tasks[[#This Row],[_IsLeaf]]=1),"",IF(Tasks[[#This Row],[_AlapShift]]=0,Tasks[[#This Row],[_LeafCalcStart]],WORKDAY.INTL(Tasks[[#This Row],[_LeafCalcStart]],Tasks[[#This Row],[_AlapShift]],WorkWeek,Holidays)))</f>
        <v/>
      </c>
      <c r="FH121" s="91" t="str">
        <f aca="false">IF(NOT(Tasks[[#This Row],[_IsLeaf]]=1),"",IF(Tasks[[#This Row],[_AlapShift]]=0,Tasks[[#This Row],[_LeafCalcFinish]],WORKDAY.INTL(Tasks[[#This Row],[_LeafCalcFinish]],Tasks[[#This Row],[_AlapShift]],WorkWeek,Holidays)))</f>
        <v/>
      </c>
      <c r="FI121" s="91" t="str">
        <f aca="false">IF(NOT(Tasks[[#This Row],[_IsLeaf]]=1),"",IF(Tasks[[#This Row],[_AlapShift]]=0,Tasks[[#This Row],[_LeafFcstStart]],WORKDAY.INTL(Tasks[[#This Row],[_LeafFcstStart]],Tasks[[#This Row],[_AlapShift]],WorkWeek,Holidays)))</f>
        <v/>
      </c>
      <c r="FJ121" s="91" t="str">
        <f aca="false">IF(NOT(Tasks[[#This Row],[_IsLeaf]]=1),"",IF(Tasks[[#This Row],[_AlapShift]]=0,Tasks[[#This Row],[_LeafFcstFinish]],WORKDAY.INTL(Tasks[[#This Row],[_LeafFcstFinish]],Tasks[[#This Row],[_AlapShift]],WorkWeek,Holidays)))</f>
        <v/>
      </c>
      <c r="FK121" s="91" t="str">
        <f aca="false">IF(Tasks[[#This Row],[Task Name]]="","",IF(Tasks[[#This Row],[_IsSummary]],MIN(INDEX(Tasks[_ShownCalcStart],Tasks[[#This Row],[_Row]]+1):INDEX(Tasks[_ShownCalcStart],Tasks[[#This Row],[_Row]]+Tasks[[#This Row],[_Descendants]])),Tasks[[#This Row],[_ShownCalcStart]]))</f>
        <v/>
      </c>
      <c r="FL121" s="91" t="str">
        <f aca="false">IF(Tasks[[#This Row],[Task Name]]="","",IF(Tasks[[#This Row],[_IsSummary]],MAX(INDEX(Tasks[_ShownCalcFinish],Tasks[[#This Row],[_Row]]+1):INDEX(Tasks[_ShownCalcFinish],Tasks[[#This Row],[_Row]]+Tasks[[#This Row],[_Descendants]])),Tasks[[#This Row],[_ShownCalcFinish]]))</f>
        <v/>
      </c>
      <c r="FM12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1" s="43" t="n">
        <f aca="false">IF(AND(Tasks[[#This Row],[_IsLeaf]]=1,Tasks[[#This Row],[_LeafTotalWork]]&gt;0),NETWORKDAYS.INTL(ProjectStart,Tasks[[#This Row],[_ShownFcstStart]],WorkWeek,Holidays),0)</f>
        <v>0</v>
      </c>
      <c r="FZ121" s="43" t="n">
        <f aca="false">IF(AND(Tasks[[#This Row],[_IsLeaf]]=1,Tasks[[#This Row],[_LeafTotalWork]]&gt;0),MAX(Tasks[[#This Row],[_StartWorkday]],NETWORKDAYS.INTL(ProjectStart,Tasks[[#This Row],[_ShownFcstFinish]],WorkWeek,Holidays)),0)</f>
        <v>0</v>
      </c>
      <c r="GA121" s="43" t="n">
        <f aca="false">IF(AND(Tasks[[#This Row],[_IsLeaf]]=1,Tasks[[#This Row],[_LeafTotalWork]]&gt;0),Tasks[[#This Row],[_LeafWork]]/(Tasks[[#This Row],[_FinishWorkday]]-Tasks[[#This Row],[_StartWorkday]]+1),0)</f>
        <v>0</v>
      </c>
      <c r="GB121" s="43" t="n">
        <f aca="false">Tasks[[#This Row],[_WorkPerWorkday]]*(Tasks[[#This Row],[_StartWorkday]]-1)</f>
        <v>-0</v>
      </c>
      <c r="GC121" s="43" t="n">
        <f aca="false">IF(Tasks[[#This Row],[_IsLeaf]]=1,MAX(N(Tasks[[#This Row],[_Days]]),0.1),0)</f>
        <v>0</v>
      </c>
      <c r="GD121" s="43" t="n">
        <f aca="false">Tasks[[#This Row],[_WeightDur]]*Tasks[[#This Row],[_LeafProgress]]</f>
        <v>0</v>
      </c>
      <c r="GE121" s="43" t="n">
        <f aca="false">Tasks[[#This Row],[_WeightDur]]*Tasks[[#This Row],[_PlannedPct]]</f>
        <v>0</v>
      </c>
      <c r="GF12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1" s="43" t="str">
        <f aca="false">IF(AND(Tasks[[#This Row],[_IsLeaf]]=1,N(Tasks[[#This Row],[_Days]])=0,Tasks[[#This Row],[_LeafProgress]]&lt;1),Tasks[[#This Row],[_ShownFcstFinish]]+Tasks[[#This Row],[_Row]]/100000,"")</f>
        <v/>
      </c>
      <c r="GH12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1" s="43" t="str">
        <f aca="false">IF(Tasks[[#This Row],[Task Name]]="","",LEFT(Tasks[[#This Row],[WBS]],FIND(".",Tasks[[#This Row],[WBS]]&amp;".")-1))</f>
        <v/>
      </c>
      <c r="GJ121" s="43" t="str">
        <f aca="false">IF(AND(Tasks[[#This Row],[Task Name]]&lt;&gt;"",Tasks[[#This Row],[_Level]]=1),Tasks[[#This Row],[_Row]],"")</f>
        <v/>
      </c>
      <c r="GK121" s="43" t="str">
        <f aca="false">IF(AND(Tasks[[#This Row],[_IsLeaf]]=1,N(Tasks[[#This Row],[_Days]])=0),Tasks[[#This Row],[Planned Finish]]+Tasks[[#This Row],[_Row]]/100000,"")</f>
        <v/>
      </c>
      <c r="GL121" s="43" t="str">
        <f aca="false">IF(AND(Tasks[[#This Row],[_IsLeaf]]=1,Tasks[[#This Row],[_LeafProgress]]&lt;1,OR(N(Tasks[[#This Row],[Finish Var]])&gt;0,Tasks[[#This Row],[Status]]="Late Start")),MAX(0,Tasks[[#This Row],[Finish Var]])+1-Tasks[[#This Row],[_Row]]/1000000,"")</f>
        <v/>
      </c>
      <c r="GM121" s="43" t="str">
        <f aca="false">IF(AND(Tasks[[#This Row],[_IsLeaf]]=1,N(Tasks[[#This Row],[Actual Start]])=0,Tasks[[#This Row],[_ShownFcstStart]]&gt;=StatusDate,Tasks[[#This Row],[_ShownFcstStart]]&lt;=LookaheadEnd),Tasks[[#This Row],[_ShownFcstStart]]+Tasks[[#This Row],[_Row]]/100000,"")</f>
        <v/>
      </c>
      <c r="GN121" s="43" t="str">
        <f aca="false">IF(AND(Tasks[[#This Row],[_IsLeaf]]=1,Tasks[[#This Row],[_LeafProgress]]&lt;1,Tasks[[#This Row],[_ShownFcstFinish]]&gt;=StatusDate,Tasks[[#This Row],[_ShownFcstFinish]]&lt;=LookaheadEnd),Tasks[[#This Row],[_ShownFcstFinish]]+Tasks[[#This Row],[_Row]]/100000,"")</f>
        <v/>
      </c>
      <c r="GO121" s="43" t="str">
        <f aca="false">IF(Tasks[[#This Row],[_LeafCritical]],Tasks[[#This Row],[_ShownFcstStart]]+Tasks[[#This Row],[_Row]]/100000,"")</f>
        <v/>
      </c>
      <c r="GP121" s="43" t="n">
        <f aca="false">Tasks[[#This Row],[_LeafWork]]*Tasks[[#This Row],[_LeafProgress]]</f>
        <v>0</v>
      </c>
      <c r="GQ121" s="91" t="str">
        <f aca="false">IF(AND(Tasks[[#This Row],[_IsLeaf]]=1,Tasks[[#This Row],[_LeafProgress]]&gt;=1),IF(N(Tasks[[#This Row],[Actual Finish]])&gt;0,Tasks[[#This Row],[Actual Finish]],Tasks[[#This Row],[_ShownFcstFinish]]),"")</f>
        <v/>
      </c>
      <c r="GR121" s="43" t="n">
        <f aca="false">IF(Tasks[[#This Row],[_IsLeaf]]=1,N(Tasks[[#This Row],[Story Points]]),0)</f>
        <v>0</v>
      </c>
      <c r="GS121" s="43" t="str">
        <f aca="false">""</f>
        <v/>
      </c>
      <c r="GT121" s="90" t="b">
        <f aca="false">IF(Tasks[[#This Row],[Task Name]]="",FALSE(),AND(Tasks[[#This Row],[_IsLeaf]]=1,N(Tasks[[#This Row],[_Days]])=0))</f>
        <v>0</v>
      </c>
      <c r="GU121" s="91" t="n">
        <f aca="false">IF(Tasks[[#This Row],[Task Name]]="",0,IF(AND(Tasks[[#This Row],[_IsLeaf]]=1,NOT(Tasks[[#This Row],[_IsMilestone]]),N(Tasks[[#This Row],[Progress]])&gt;0),Tasks[[#This Row],[Start]],0))</f>
        <v>0</v>
      </c>
      <c r="GV121" s="91" t="n">
        <f aca="false">IF(Tasks[[#This Row],[_DoneFrom]]=0,0,IF(Tasks[[#This Row],[Progress]]&gt;=1,Tasks[[#This Row],[Finish]],MAX(Tasks[[#This Row],[_DoneFrom]],Tasks[[#This Row],[Start]]+ROUND((Tasks[[#This Row],[Finish]]-Tasks[[#This Row],[Start]]+1)*Tasks[[#This Row],[Progress]],0)-1)))</f>
        <v>0</v>
      </c>
      <c r="GW121" s="91" t="n">
        <f aca="false">IF(Tasks[[#This Row],[Task Name]]="",0,IF(OR(NOT(Tasks[[#This Row],[_IsLeaf]]=1),Tasks[[#This Row],[_IsMilestone]],N(Tasks[[#This Row],[Progress]])&gt;=1),0,IF(Tasks[[#This Row],[_DoneTo]]&gt;0,Tasks[[#This Row],[_DoneTo]]+1,Tasks[[#This Row],[Start]])))</f>
        <v>0</v>
      </c>
      <c r="GX121" s="91" t="n">
        <f aca="false">IF(Tasks[[#This Row],[_RemFrom]]=0,0,Tasks[[#This Row],[Finish]])</f>
        <v>0</v>
      </c>
      <c r="GY121" s="90" t="b">
        <f aca="false">IF(Tasks[[#This Row],[Task Name]]="",FALSE(),OR(NOT(BaselineSet),N(Tasks[[#This Row],[Baseline Start]])&gt;0))</f>
        <v>0</v>
      </c>
      <c r="GZ12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1" s="92" t="str">
        <f aca="false">IF(Tasks[[#This Row],[_IsLeaf]]=1,Tasks[[#This Row],[_Row]],"")</f>
        <v/>
      </c>
      <c r="HD121" s="92" t="str">
        <f aca="false">IFERROR(INDEX(Tasks[UID],SMALL(Tasks[_PickKey],Tasks[[#This Row],[_Row]]))&amp;" "&amp;INDEX(Tasks[Task Name],SMALL(Tasks[_PickKey],Tasks[[#This Row],[_Row]])),"")</f>
        <v/>
      </c>
      <c r="HE121" s="43" t="str">
        <f aca="false">IF(Tasks[[#This Row],[Task Name]]="","",IF(Tasks[[#This Row],[_IsSummary]],NETWORKDAYS.INTL(Tasks[[#This Row],[Start]],Tasks[[#This Row],[Finish]],WorkWeek,Holidays),N(Tasks[[#This Row],[_Days]])))</f>
        <v/>
      </c>
      <c r="HF121" s="43" t="n">
        <f aca="false">IF(Tasks[[#This Row],[Expected]]="",0,((Tasks[[#This Row],[Pessimistic]]-Tasks[[#This Row],[Optimistic]])/6)^2)</f>
        <v>0</v>
      </c>
      <c r="HG121" s="43" t="n">
        <f aca="false">IF(Tasks[[#This Row],[Expected]]="",0,Tasks[[#This Row],[Expected]]-N(Tasks[[#This Row],[_Days]]))</f>
        <v>0</v>
      </c>
    </row>
    <row r="122" customFormat="false" ht="15" hidden="false" customHeight="false" outlineLevel="0" collapsed="false">
      <c r="A122" s="21" t="str">
        <f aca="false">IF(Tasks[[#This Row],[Task Name]]="","",COUNTA(Tasks[[#Headers],[Task Name]]:Tasks[[#This Row],[Task Name]])-1)</f>
        <v/>
      </c>
      <c r="B122" s="22" t="n">
        <v>130</v>
      </c>
      <c r="C122" s="22"/>
      <c r="D122" s="23"/>
      <c r="E122" s="22"/>
      <c r="F122" s="23"/>
      <c r="G122" s="22"/>
      <c r="H122" s="22"/>
      <c r="I122" s="23"/>
      <c r="J122" s="22"/>
      <c r="K122" s="22"/>
      <c r="L122" s="23"/>
      <c r="M122" s="22"/>
      <c r="N122" s="22"/>
      <c r="O122" s="23"/>
      <c r="P122" s="22"/>
      <c r="Q122" s="22"/>
      <c r="R122" s="23"/>
      <c r="S122" s="23"/>
      <c r="T122" s="84"/>
      <c r="U122" s="23"/>
      <c r="V122" s="84"/>
      <c r="W122" s="23"/>
      <c r="X122" s="84"/>
      <c r="Y122" s="23"/>
      <c r="Z122" s="84"/>
      <c r="AA122" s="23"/>
      <c r="AB122" s="23"/>
      <c r="AC122" s="7"/>
      <c r="AD122" s="7"/>
      <c r="AE122" s="63" t="str">
        <f aca="false">IF(Tasks[[#This Row],[Task Name]]="","",IF(Tasks[[#This Row],[_IsSummary]],MIN(INDEX(Tasks[_ShownFcstStart],Tasks[[#This Row],[_Row]]+1):INDEX(Tasks[_ShownFcstStart],Tasks[[#This Row],[_Row]]+Tasks[[#This Row],[_Descendants]])),Tasks[[#This Row],[_ShownFcstStart]]))</f>
        <v/>
      </c>
      <c r="AF122" s="63" t="str">
        <f aca="false">IF(Tasks[[#This Row],[Task Name]]="","",IF(Tasks[[#This Row],[_IsSummary]],MAX(INDEX(Tasks[_ShownFcstFinish],Tasks[[#This Row],[_Row]]+1):INDEX(Tasks[_ShownFcstFinish],Tasks[[#This Row],[_Row]]+Tasks[[#This Row],[_Descendants]])),Tasks[[#This Row],[_ShownFcstFinish]]))</f>
        <v/>
      </c>
      <c r="AG122" s="21" t="str">
        <f aca="false">""</f>
        <v/>
      </c>
      <c r="AH122" s="23"/>
      <c r="AI1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2" s="7"/>
      <c r="AK122" s="22"/>
      <c r="AL122" s="23"/>
      <c r="AM122" s="7"/>
      <c r="AN122" s="47" t="str">
        <f aca="false">IF(Tasks[[#This Row],[Task Name]]="","",IF(Tasks[[#This Row],[Finish]]&gt;=Tasks[[#This Row],[Planned Finish]],NETWORKDAYS.INTL(Tasks[[#This Row],[Planned Finish]],Tasks[[#This Row],[Finish]],WorkWeek,Holidays)-1,1-NETWORKDAYS.INTL(Tasks[[#This Row],[Finish]],Tasks[[#This Row],[Planned Finish]],WorkWeek,Holidays)))</f>
        <v/>
      </c>
      <c r="AO122" s="21" t="str">
        <f aca="false">IF(Tasks[[#This Row],[Task Name]]="","",IF(Tasks[[#This Row],[Progress]]&gt;=1,"Complete",IF(OR(N(Tasks[[#This Row],[Actual Start]])&gt;0,Tasks[[#This Row],[Progress]]&gt;0),IF(Tasks[[#This Row],[Finish Var]]&gt;0,"Behind","In Progress"),IF(Tasks[[#This Row],[Planned Start]]&lt;StatusDate,"Late Start","Not Started"))))</f>
        <v/>
      </c>
      <c r="AP122" s="21" t="str">
        <f aca="false">IF(Tasks[[#This Row],[Task Name]]="","",IF(IF(Tasks[[#This Row],[_IsSummary]],COUNTIF(INDEX(Tasks[_LeafCritical],Tasks[[#This Row],[_Row]]+1):INDEX(Tasks[_LeafCritical],Tasks[[#This Row],[_Row]]+Tasks[[#This Row],[_Descendants]]),TRUE())&gt;0,Tasks[[#This Row],[_LeafCritical]]),"Yes",""))</f>
        <v/>
      </c>
      <c r="AQ122" s="63" t="str">
        <f aca="false">IF(Tasks[[#This Row],[Task Name]]="","",IF(N(Tasks[[#This Row],[Baseline Start]])&gt;0,Tasks[[#This Row],[Baseline Start]],Tasks[[#This Row],[_CalcStart]]))</f>
        <v/>
      </c>
      <c r="AR122" s="63" t="str">
        <f aca="false">IF(Tasks[[#This Row],[Task Name]]="","",IF(N(Tasks[[#This Row],[Baseline Finish]])&gt;0,Tasks[[#This Row],[Baseline Finish]],Tasks[[#This Row],[_CalcFinish]]))</f>
        <v/>
      </c>
      <c r="AS122" s="47" t="str">
        <f aca="false">IF(Tasks[[#This Row],[Task Name]]="","",IF(Tasks[[#This Row],[Start]]&gt;=Tasks[[#This Row],[Planned Start]],NETWORKDAYS.INTL(Tasks[[#This Row],[Planned Start]],Tasks[[#This Row],[Start]],WorkWeek,Holidays)-1,1-NETWORKDAYS.INTL(Tasks[[#This Row],[Start]],Tasks[[#This Row],[Planned Start]],WorkWeek,Holidays)))</f>
        <v/>
      </c>
      <c r="AT122" s="63" t="str">
        <f aca="false">IF(Tasks[[#This Row],[Task Name]]="","",IF(Tasks[[#This Row],[_IsSummary]],MIN(INDEX(Tasks[_LeafLateStart],Tasks[[#This Row],[_Row]]+1):INDEX(Tasks[_LeafLateStart],Tasks[[#This Row],[_Row]]+Tasks[[#This Row],[_Descendants]])),Tasks[[#This Row],[_LeafLateStart]]))</f>
        <v/>
      </c>
      <c r="AU122" s="63" t="str">
        <f aca="false">IF(Tasks[[#This Row],[Task Name]]="","",IF(Tasks[[#This Row],[_IsSummary]],MAX(INDEX(Tasks[_LeafLateFinish],Tasks[[#This Row],[_Row]]+1):INDEX(Tasks[_LeafLateFinish],Tasks[[#This Row],[_Row]]+Tasks[[#This Row],[_Descendants]])),Tasks[[#This Row],[_LeafLateFinish]]))</f>
        <v/>
      </c>
      <c r="AV122" s="47" t="str">
        <f aca="false">IF(Tasks[[#This Row],[Task Name]]="","",IF(Tasks[[#This Row],[_IsSummary]],MIN(INDEX(Tasks[_LeafTotalSlack],Tasks[[#This Row],[_Row]]+1):INDEX(Tasks[_LeafTotalSlack],Tasks[[#This Row],[_Row]]+Tasks[[#This Row],[_Descendants]])),Tasks[[#This Row],[_LeafTotalSlack]]))</f>
        <v/>
      </c>
      <c r="AW1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5"/>
      <c r="BA12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1" t="str">
        <f aca="false">IF(Tasks[[#This Row],[Task Name]]="","",IF(Tasks[[#This Row],[_Level]]&lt;=OutlineShowLevel,"Yes","No"))</f>
        <v/>
      </c>
      <c r="BE122" s="86" t="str">
        <f aca="false">IF(Tasks[[#This Row],[Task Name]]="","",IF(Tasks[[#This Row],[_IsSummary]],SUM(INDEX(Tasks[_LeafTotalWork],Tasks[[#This Row],[_Row]]+1):INDEX(Tasks[_LeafTotalWork],Tasks[[#This Row],[_Row]]+Tasks[[#This Row],[_Descendants]])),Tasks[[#This Row],[_LeafTotalWork]]))</f>
        <v/>
      </c>
      <c r="BF122" s="23"/>
      <c r="BG1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2" s="21" t="str">
        <f aca="false">""</f>
        <v/>
      </c>
      <c r="BI122" s="87"/>
      <c r="BJ122" s="22"/>
      <c r="BK122" s="47" t="str">
        <f aca="false">IF(OR(Tasks[[#This Row],[Task Name]]="",Tasks[[#This Row],[Baseline Duration]]=""),"",Tasks[[#This Row],[_SpanDays]]-N(Tasks[[#This Row],[Baseline Duration]]))</f>
        <v/>
      </c>
      <c r="BL122" s="86" t="str">
        <f aca="false">IF(OR(Tasks[[#This Row],[Task Name]]="",Tasks[[#This Row],[Baseline Work]]=""),"",Tasks[[#This Row],[Work]]-N(Tasks[[#This Row],[Baseline Work]]))</f>
        <v/>
      </c>
      <c r="BM122" s="63" t="str">
        <f aca="false">IF(Tasks[[#This Row],[Task Name]]="","",IF(OR(TakeBaseline="Yes",N(Tasks[[#This Row],[Baseline Start]])=0),Tasks[[#This Row],[Start]],Tasks[[#This Row],[Baseline Start]]))</f>
        <v/>
      </c>
      <c r="BN122" s="63" t="str">
        <f aca="false">IF(Tasks[[#This Row],[Task Name]]="","",IF(OR(TakeBaseline="Yes",N(Tasks[[#This Row],[Baseline Finish]])=0),Tasks[[#This Row],[Finish]],Tasks[[#This Row],[Baseline Finish]]))</f>
        <v/>
      </c>
      <c r="BO122" s="21" t="str">
        <f aca="false">IF(Tasks[[#This Row],[Task Name]]="","",IF(OR(TakeBaseline="Yes",N(Tasks[[#This Row],[Baseline Duration]])=0),Tasks[[#This Row],[_SpanDays]],Tasks[[#This Row],[Baseline Duration]]))</f>
        <v/>
      </c>
      <c r="BP122" s="86" t="str">
        <f aca="false">IF(Tasks[[#This Row],[Task Name]]="","",IF(OR(TakeBaseline="Yes",N(Tasks[[#This Row],[Baseline Work]])=0),Tasks[[#This Row],[Work]],Tasks[[#This Row],[Baseline Work]]))</f>
        <v/>
      </c>
      <c r="BQ122" s="7"/>
      <c r="BR122" s="7"/>
      <c r="BS122" s="22"/>
      <c r="BT122" s="88"/>
      <c r="BU122" s="23"/>
      <c r="BV122" s="23"/>
      <c r="BW122" s="23"/>
      <c r="BX122" s="89" t="str">
        <f aca="false">IF(AND(Tasks[[#This Row],[_IsLeaf]]=1,ISNUMBER(Tasks[[#This Row],[Optimistic]]),ISNUMBER(Tasks[[#This Row],[Pessimistic]])),ROUND((Tasks[[#This Row],[Optimistic]]+4*N(Tasks[[#This Row],[_Days]])+Tasks[[#This Row],[Pessimistic]])/6,1),"")</f>
        <v/>
      </c>
      <c r="BY122" s="87"/>
      <c r="BZ122" s="87"/>
      <c r="CA122" s="22"/>
      <c r="CB122" s="43" t="str">
        <f aca="false">IF(Tasks[[#This Row],[Task Name]]="","",MAX(1,N(Tasks[[#This Row],[Level]])))</f>
        <v/>
      </c>
      <c r="CC122" s="43" t="n">
        <f aca="false">ROW()-ROW(Tasks[[#Headers],[ID]])</f>
        <v>117</v>
      </c>
      <c r="CD122" s="43" t="n">
        <f aca="false">IF(OR(Tasks[[#This Row],[Task Name]]="",Tasks[[#This Row],[_Level]]&lt;=1),0,IFERROR(LOOKUP(2,1/(Tasks[[#Headers],[_Level]]:Tasks[[#This Row],[_Level]]=Tasks[[#This Row],[_Level]]-1),ROW(Tasks[[#Headers],[_Level]]:Tasks[[#This Row],[_Level]])),0))</f>
        <v>0</v>
      </c>
      <c r="CE122" s="43" t="n">
        <f aca="false">IFERROR(N(INDEX(Tasks[_Level],Tasks[[#This Row],[_Row]]+1)),0)</f>
        <v>0</v>
      </c>
      <c r="CF122" s="90" t="b">
        <f aca="false">AND(Tasks[[#This Row],[Task Name]]&lt;&gt;"",Tasks[[#This Row],[_NextLevel]]&gt;Tasks[[#This Row],[_Level]])</f>
        <v>0</v>
      </c>
      <c r="CG122" s="43" t="n">
        <f aca="false">IF(Tasks[[#This Row],[_IsSummary]],COUNTIF(Tasks[WBS],Tasks[[#This Row],[WBS]]&amp;".*"),0)</f>
        <v>0</v>
      </c>
      <c r="CH122" s="43" t="n">
        <f aca="false">IF(AND(Tasks[[#This Row],[Task Name]]&lt;&gt;"",NOT(Tasks[[#This Row],[_IsSummary]])),1,0)</f>
        <v>0</v>
      </c>
      <c r="CI122" s="43" t="n">
        <f aca="false">IF(N(Tasks[[#This Row],[_Pred1UID]])=0,0,IFERROR(MATCH(Tasks[[#This Row],[_Pred1UID]],Tasks[UID],0),-1))</f>
        <v>0</v>
      </c>
      <c r="CJ122" s="43" t="n">
        <f aca="false">IF(N(Tasks[[#This Row],[_Pred2UID]])=0,0,IFERROR(MATCH(Tasks[[#This Row],[_Pred2UID]],Tasks[UID],0),-1))</f>
        <v>0</v>
      </c>
      <c r="CK122" s="43" t="n">
        <f aca="false">IF(N(Tasks[[#This Row],[_Pred3UID]])=0,0,IFERROR(MATCH(Tasks[[#This Row],[_Pred3UID]],Tasks[UID],0),-1))</f>
        <v>0</v>
      </c>
      <c r="CL122" s="43" t="n">
        <f aca="false">IF(N(Tasks[[#This Row],[_Pred4UID]])=0,0,IFERROR(MATCH(Tasks[[#This Row],[_Pred4UID]],Tasks[UID],0),-1))</f>
        <v>0</v>
      </c>
      <c r="CM12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2" s="91" t="n">
        <f aca="false">IF(OR(Tasks[[#This Row],[_ConstraintCode]]=2,Tasks[[#This Row],[_ConstraintCode]]=3,Tasks[[#This Row],[_ConstraintCode]]=4,Tasks[[#This Row],[_ConstraintCode]]=6),Tasks[[#This Row],[_ConstraintStart]],0)</f>
        <v>0</v>
      </c>
      <c r="CP122" s="91" t="n">
        <f aca="false">IF(OR(Tasks[[#This Row],[_ConstraintCode]]=2,Tasks[[#This Row],[_ConstraintCode]]=3,Tasks[[#This Row],[_ConstraintCode]]=5,Tasks[[#This Row],[_ConstraintCode]]=7),Tasks[[#This Row],[_ConstraintStart]],2958465)</f>
        <v>2958465</v>
      </c>
      <c r="CQ12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2" s="91" t="str">
        <f aca="false">IF(NOT(Tasks[[#This Row],[_IsLeaf]]=1),"",IF(N(Tasks[[#This Row],[_Days]])&lt;=0,Tasks[[#This Row],[_LeafCalcStart]],WORKDAY.INTL(Tasks[[#This Row],[_LeafCalcStart]],Tasks[[#This Row],[_Days]]-1,WorkWeek,Holidays)))</f>
        <v/>
      </c>
      <c r="CS12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2" s="43" t="str">
        <f aca="false">IF(Tasks[[#This Row],[_Predecessors]]="","",TRIM(MID(SUBSTITUTE(SUBSTITUTE(SUBSTITUTE(UPPER(Tasks[[#This Row],[_Predecessors]]),";",",")," ",""),",",REPT(" ",99)),1,99)))</f>
        <v/>
      </c>
      <c r="CV122" s="43" t="str">
        <f aca="false">IF(Tasks[[#This Row],[_Pred1Text]]="","",IFERROR(VALUE(LEFT(Tasks[[#This Row],[_Pred1Text]],MIN(FIND("F",Tasks[[#This Row],[_Pred1Text]]&amp;"F"),FIND("S",Tasks[[#This Row],[_Pred1Text]]&amp;"S"),FIND("+",Tasks[[#This Row],[_Pred1Text]]&amp;"+"),FIND("-",Tasks[[#This Row],[_Pred1Text]]&amp;"-"))-1)),""))</f>
        <v/>
      </c>
      <c r="CW12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2" s="43" t="str">
        <f aca="false">IF(Tasks[[#This Row],[_Pred1Text]]="","",TRIM(MID(SUBSTITUTE(SUBSTITUTE(SUBSTITUTE(UPPER(Tasks[[#This Row],[_Predecessors]]),";",",")," ",""),",",REPT(" ",99)),100,99)))</f>
        <v/>
      </c>
      <c r="CZ122" s="43" t="str">
        <f aca="false">IF(Tasks[[#This Row],[_Pred2Text]]="","",IFERROR(VALUE(LEFT(Tasks[[#This Row],[_Pred2Text]],MIN(FIND("F",Tasks[[#This Row],[_Pred2Text]]&amp;"F"),FIND("S",Tasks[[#This Row],[_Pred2Text]]&amp;"S"),FIND("+",Tasks[[#This Row],[_Pred2Text]]&amp;"+"),FIND("-",Tasks[[#This Row],[_Pred2Text]]&amp;"-"))-1)),""))</f>
        <v/>
      </c>
      <c r="DA12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2" s="43" t="str">
        <f aca="false">IF(Tasks[[#This Row],[_Pred2Text]]="","",TRIM(MID(SUBSTITUTE(SUBSTITUTE(SUBSTITUTE(UPPER(Tasks[[#This Row],[_Predecessors]]),";",",")," ",""),",",REPT(" ",99)),199,99)))</f>
        <v/>
      </c>
      <c r="DD122" s="43" t="str">
        <f aca="false">IF(Tasks[[#This Row],[_Pred3Text]]="","",IFERROR(VALUE(LEFT(Tasks[[#This Row],[_Pred3Text]],MIN(FIND("F",Tasks[[#This Row],[_Pred3Text]]&amp;"F"),FIND("S",Tasks[[#This Row],[_Pred3Text]]&amp;"S"),FIND("+",Tasks[[#This Row],[_Pred3Text]]&amp;"+"),FIND("-",Tasks[[#This Row],[_Pred3Text]]&amp;"-"))-1)),""))</f>
        <v/>
      </c>
      <c r="DE12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2" s="43" t="str">
        <f aca="false">IF(Tasks[[#This Row],[_Pred3Text]]="","",TRIM(MID(SUBSTITUTE(SUBSTITUTE(SUBSTITUTE(UPPER(Tasks[[#This Row],[_Predecessors]]),";",",")," ",""),",",REPT(" ",99)),298,99)))</f>
        <v/>
      </c>
      <c r="DH122" s="43" t="str">
        <f aca="false">IF(Tasks[[#This Row],[_Pred4Text]]="","",IFERROR(VALUE(LEFT(Tasks[[#This Row],[_Pred4Text]],MIN(FIND("F",Tasks[[#This Row],[_Pred4Text]]&amp;"F"),FIND("S",Tasks[[#This Row],[_Pred4Text]]&amp;"S"),FIND("+",Tasks[[#This Row],[_Pred4Text]]&amp;"+"),FIND("-",Tasks[[#This Row],[_Pred4Text]]&amp;"-"))-1)),""))</f>
        <v/>
      </c>
      <c r="DI12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2" s="43" t="str">
        <f aca="false">IF(OR(Tasks[[#This Row],[Task Name]]="",Tasks[[#This Row],[_Resources]]=""),"",TRIM(MID(SUBSTITUTE(Tasks[[#This Row],[_Resources]],",",REPT(" ",99)),1,99)))</f>
        <v/>
      </c>
      <c r="DL122" s="43" t="str">
        <f aca="false">IF(Tasks[[#This Row],[_Res1Text]]="","",TRIM(MID(SUBSTITUTE(Tasks[[#This Row],[_Resources]],",",REPT(" ",99)),100,99)))</f>
        <v/>
      </c>
      <c r="DM122" s="43" t="str">
        <f aca="false">IF(Tasks[[#This Row],[_Res2Text]]="","",TRIM(MID(SUBSTITUTE(Tasks[[#This Row],[_Resources]],",",REPT(" ",99)),199,99)))</f>
        <v/>
      </c>
      <c r="DN122" s="43" t="str">
        <f aca="false">IF(Tasks[[#This Row],[_Res3Text]]="","",TRIM(MID(SUBSTITUTE(Tasks[[#This Row],[_Resources]],",",REPT(" ",99)),298,99)))</f>
        <v/>
      </c>
      <c r="DO122" s="43" t="n">
        <f aca="false">IF(Tasks[[#This Row],[_Res1Text]]="",0,IFERROR(MATCH(TRIM(LEFT(Tasks[[#This Row],[_Res1Text]],FIND("[",Tasks[[#This Row],[_Res1Text]]&amp;"[")-1)),res_Name,0),IFERROR(MATCH(TRIM(LEFT(Tasks[[#This Row],[_Res1Text]],FIND("[",Tasks[[#This Row],[_Res1Text]]&amp;"[")-1)),res_Initials,0),0)))</f>
        <v>0</v>
      </c>
      <c r="DP122" s="43" t="n">
        <f aca="false">IF(Tasks[[#This Row],[_Res2Text]]="",0,IFERROR(MATCH(TRIM(LEFT(Tasks[[#This Row],[_Res2Text]],FIND("[",Tasks[[#This Row],[_Res2Text]]&amp;"[")-1)),res_Name,0),IFERROR(MATCH(TRIM(LEFT(Tasks[[#This Row],[_Res2Text]],FIND("[",Tasks[[#This Row],[_Res2Text]]&amp;"[")-1)),res_Initials,0),0)))</f>
        <v>0</v>
      </c>
      <c r="DQ122" s="43" t="n">
        <f aca="false">IF(Tasks[[#This Row],[_Res3Text]]="",0,IFERROR(MATCH(TRIM(LEFT(Tasks[[#This Row],[_Res3Text]],FIND("[",Tasks[[#This Row],[_Res3Text]]&amp;"[")-1)),res_Name,0),IFERROR(MATCH(TRIM(LEFT(Tasks[[#This Row],[_Res3Text]],FIND("[",Tasks[[#This Row],[_Res3Text]]&amp;"[")-1)),res_Initials,0),0)))</f>
        <v>0</v>
      </c>
      <c r="DR122" s="43" t="n">
        <f aca="false">IF(Tasks[[#This Row],[_Res4Text]]="",0,IFERROR(MATCH(TRIM(LEFT(Tasks[[#This Row],[_Res4Text]],FIND("[",Tasks[[#This Row],[_Res4Text]]&amp;"[")-1)),res_Name,0),IFERROR(MATCH(TRIM(LEFT(Tasks[[#This Row],[_Res4Text]],FIND("[",Tasks[[#This Row],[_Res4Text]]&amp;"[")-1)),res_Initials,0),0)))</f>
        <v>0</v>
      </c>
      <c r="DS122" s="43" t="str">
        <f aca="false">IF(Tasks[[#This Row],[_Res1Text]]="","",IF(Tasks[[#This Row],[_Res1Row]]&gt;0,INDEX(res_Name,Tasks[[#This Row],[_Res1Row]]),TRIM(LEFT(Tasks[[#This Row],[_Res1Text]],FIND("[",Tasks[[#This Row],[_Res1Text]]&amp;"[")-1))))</f>
        <v/>
      </c>
      <c r="DT12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2" s="43" t="n">
        <f aca="false">IF(NOT(Tasks[[#This Row],[_IsLeaf]]=1),0,(Tasks[[#This Row],[_Resource1]]&lt;&gt;"")+(Tasks[[#This Row],[_Res2]]&lt;&gt;"")+(Tasks[[#This Row],[_Res3]]&lt;&gt;"")+(Tasks[[#This Row],[_Res4]]&lt;&gt;""))</f>
        <v>0</v>
      </c>
      <c r="DV122" s="43" t="str">
        <f aca="false">IF(Tasks[[#This Row],[_Res2Text]]="","",IF(Tasks[[#This Row],[_Res2Row]]&gt;0,INDEX(res_Name,Tasks[[#This Row],[_Res2Row]]),TRIM(LEFT(Tasks[[#This Row],[_Res2Text]],FIND("[",Tasks[[#This Row],[_Res2Text]]&amp;"[")-1))))</f>
        <v/>
      </c>
      <c r="DW12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2" s="43" t="n">
        <f aca="false">IF(OR(NOT(Tasks[[#This Row],[_IsLeaf]]=1),Tasks[[#This Row],[_Res2Row]]=0),0,N(Tasks[[#This Row],[_Days]])*HoursPerDay*IF(Tasks[[#This Row],[_Res2Units]]="",DefaultUnits,Tasks[[#This Row],[_Res2Units]]))</f>
        <v>0</v>
      </c>
      <c r="DY122" s="43" t="n">
        <f aca="false">IF(AND(AND(Tasks[[#This Row],[_IsLeaf]]=1,Tasks[[#This Row],[_LeafTotalWork]]&gt;0),Tasks[[#This Row],[_Res2Work]]&gt;0),Tasks[[#This Row],[_Res2Work]]/(Tasks[[#This Row],[_FinishWorkday]]-Tasks[[#This Row],[_StartWorkday]]+1),0)</f>
        <v>0</v>
      </c>
      <c r="DZ122" s="43" t="n">
        <f aca="false">Tasks[[#This Row],[_Res2WorkPerWD]]*MAX(0,Tasks[[#This Row],[_StartWorkday]]-1)</f>
        <v>0</v>
      </c>
      <c r="EA122" s="43" t="n">
        <f aca="false">Tasks[[#This Row],[_Res2Work]]*Tasks[[#This Row],[_LeafProgress]]</f>
        <v>0</v>
      </c>
      <c r="EB122" s="43" t="str">
        <f aca="false">IF(Tasks[[#This Row],[_Res3Text]]="","",IF(Tasks[[#This Row],[_Res3Row]]&gt;0,INDEX(res_Name,Tasks[[#This Row],[_Res3Row]]),TRIM(LEFT(Tasks[[#This Row],[_Res3Text]],FIND("[",Tasks[[#This Row],[_Res3Text]]&amp;"[")-1))))</f>
        <v/>
      </c>
      <c r="EC12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2" s="43" t="n">
        <f aca="false">IF(OR(NOT(Tasks[[#This Row],[_IsLeaf]]=1),Tasks[[#This Row],[_Res3Row]]=0),0,N(Tasks[[#This Row],[_Days]])*HoursPerDay*IF(Tasks[[#This Row],[_Res3Units]]="",DefaultUnits,Tasks[[#This Row],[_Res3Units]]))</f>
        <v>0</v>
      </c>
      <c r="EE122" s="43" t="n">
        <f aca="false">IF(AND(AND(Tasks[[#This Row],[_IsLeaf]]=1,Tasks[[#This Row],[_LeafTotalWork]]&gt;0),Tasks[[#This Row],[_Res3Work]]&gt;0),Tasks[[#This Row],[_Res3Work]]/(Tasks[[#This Row],[_FinishWorkday]]-Tasks[[#This Row],[_StartWorkday]]+1),0)</f>
        <v>0</v>
      </c>
      <c r="EF122" s="43" t="n">
        <f aca="false">Tasks[[#This Row],[_Res3WorkPerWD]]*MAX(0,Tasks[[#This Row],[_StartWorkday]]-1)</f>
        <v>0</v>
      </c>
      <c r="EG122" s="43" t="n">
        <f aca="false">Tasks[[#This Row],[_Res3Work]]*Tasks[[#This Row],[_LeafProgress]]</f>
        <v>0</v>
      </c>
      <c r="EH122" s="43" t="str">
        <f aca="false">IF(Tasks[[#This Row],[_Res4Text]]="","",IF(Tasks[[#This Row],[_Res4Row]]&gt;0,INDEX(res_Name,Tasks[[#This Row],[_Res4Row]]),TRIM(LEFT(Tasks[[#This Row],[_Res4Text]],FIND("[",Tasks[[#This Row],[_Res4Text]]&amp;"[")-1))))</f>
        <v/>
      </c>
      <c r="EI12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2" s="43" t="n">
        <f aca="false">IF(OR(NOT(Tasks[[#This Row],[_IsLeaf]]=1),Tasks[[#This Row],[_Res4Row]]=0),0,N(Tasks[[#This Row],[_Days]])*HoursPerDay*IF(Tasks[[#This Row],[_Res4Units]]="",DefaultUnits,Tasks[[#This Row],[_Res4Units]]))</f>
        <v>0</v>
      </c>
      <c r="EK122" s="43" t="n">
        <f aca="false">IF(AND(AND(Tasks[[#This Row],[_IsLeaf]]=1,Tasks[[#This Row],[_LeafTotalWork]]&gt;0),Tasks[[#This Row],[_Res4Work]]&gt;0),Tasks[[#This Row],[_Res4Work]]/(Tasks[[#This Row],[_FinishWorkday]]-Tasks[[#This Row],[_StartWorkday]]+1),0)</f>
        <v>0</v>
      </c>
      <c r="EL122" s="43" t="n">
        <f aca="false">Tasks[[#This Row],[_Res4WorkPerWD]]*MAX(0,Tasks[[#This Row],[_StartWorkday]]-1)</f>
        <v>0</v>
      </c>
      <c r="EM122" s="43" t="n">
        <f aca="false">Tasks[[#This Row],[_Res4Work]]*Tasks[[#This Row],[_LeafProgress]]</f>
        <v>0</v>
      </c>
      <c r="EN122" s="43" t="n">
        <f aca="false">IF(ISNUMBER(Tasks[[#This Row],[% Complete]]),Tasks[[#This Row],[% Complete]],IF(Tasks[[#This Row],[Stage]]="",0,IFERROR(INDEX(stg_Pct,MATCH(Tasks[[#This Row],[Stage]],stg_Name,0)),0)))</f>
        <v>0</v>
      </c>
      <c r="EO122" s="43" t="n">
        <f aca="false">IF(NOT(Tasks[[#This Row],[_IsLeaf]]=1),0,IF(N(Tasks[[#This Row],[Actual Finish]])&gt;0,1,MIN(1,Tasks[[#This Row],[_Pct]])))</f>
        <v>0</v>
      </c>
      <c r="EP122" s="43" t="n">
        <f aca="false">IF(OR(NOT(Tasks[[#This Row],[_IsLeaf]]=1),Tasks[[#This Row],[_Res1Row]]=0),0,N(Tasks[[#This Row],[_Days]])*HoursPerDay*IF(Tasks[[#This Row],[_Units1]]="",DefaultUnits,Tasks[[#This Row],[_Units1]]))</f>
        <v>0</v>
      </c>
      <c r="EQ122" s="43" t="n">
        <f aca="false">Tasks[[#This Row],[_LeafWork]]+Tasks[[#This Row],[_Res2Work]]+Tasks[[#This Row],[_Res3Work]]+Tasks[[#This Row],[_Res4Work]]</f>
        <v>0</v>
      </c>
      <c r="ER12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2" s="43" t="n">
        <f aca="false">IF(NOT(Tasks[[#This Row],[_IsLeaf]]=1),0,MAX(_xlfn.MAXIFS(Tasks[_Row],Tasks[_Pred1UID],Tasks[[#This Row],[UID]]),_xlfn.MAXIFS(Tasks[_Row],Tasks[_Pred2UID],Tasks[[#This Row],[UID]]),_xlfn.MAXIFS(Tasks[_Row],Tasks[_Pred3UID],Tasks[[#This Row],[UID]]),_xlfn.MAXIFS(Tasks[_Row],Tasks[_Pred4UID],Tasks[[#This Row],[UID]])))</f>
        <v>0</v>
      </c>
      <c r="FA12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2" s="91" t="str">
        <f aca="false">IF(NOT(Tasks[[#This Row],[_IsLeaf]]=1),"",IF(N(Tasks[[#This Row],[_Days]])&lt;=0,Tasks[[#This Row],[_LeafLateFinish]],WORKDAY.INTL(Tasks[[#This Row],[_LeafLateFinish]],-(Tasks[[#This Row],[_Days]]-1),WorkWeek,Holidays)))</f>
        <v/>
      </c>
      <c r="FD12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2" s="90" t="b">
        <f aca="false">AND(Tasks[[#This Row],[_IsLeaf]]=1,Tasks[[#This Row],[_LeafProgress]]&lt;1,N(Tasks[[#This Row],[_LeafTotalSlack]])&lt;=CriticalSlackDays)</f>
        <v>0</v>
      </c>
      <c r="FF122" s="43" t="n">
        <f aca="false">IF(AND(Tasks[[#This Row],[_IsLeaf]]=1,Tasks[[#This Row],[_ConstraintCode]]=1,Tasks[[#This Row],[Mode]]&lt;&gt;"Manual",N(Tasks[[#This Row],[Actual Start]])=0),MAX(0,N(Tasks[[#This Row],[Free Slack]])),0)</f>
        <v>0</v>
      </c>
      <c r="FG122" s="91" t="str">
        <f aca="false">IF(NOT(Tasks[[#This Row],[_IsLeaf]]=1),"",IF(Tasks[[#This Row],[_AlapShift]]=0,Tasks[[#This Row],[_LeafCalcStart]],WORKDAY.INTL(Tasks[[#This Row],[_LeafCalcStart]],Tasks[[#This Row],[_AlapShift]],WorkWeek,Holidays)))</f>
        <v/>
      </c>
      <c r="FH122" s="91" t="str">
        <f aca="false">IF(NOT(Tasks[[#This Row],[_IsLeaf]]=1),"",IF(Tasks[[#This Row],[_AlapShift]]=0,Tasks[[#This Row],[_LeafCalcFinish]],WORKDAY.INTL(Tasks[[#This Row],[_LeafCalcFinish]],Tasks[[#This Row],[_AlapShift]],WorkWeek,Holidays)))</f>
        <v/>
      </c>
      <c r="FI122" s="91" t="str">
        <f aca="false">IF(NOT(Tasks[[#This Row],[_IsLeaf]]=1),"",IF(Tasks[[#This Row],[_AlapShift]]=0,Tasks[[#This Row],[_LeafFcstStart]],WORKDAY.INTL(Tasks[[#This Row],[_LeafFcstStart]],Tasks[[#This Row],[_AlapShift]],WorkWeek,Holidays)))</f>
        <v/>
      </c>
      <c r="FJ122" s="91" t="str">
        <f aca="false">IF(NOT(Tasks[[#This Row],[_IsLeaf]]=1),"",IF(Tasks[[#This Row],[_AlapShift]]=0,Tasks[[#This Row],[_LeafFcstFinish]],WORKDAY.INTL(Tasks[[#This Row],[_LeafFcstFinish]],Tasks[[#This Row],[_AlapShift]],WorkWeek,Holidays)))</f>
        <v/>
      </c>
      <c r="FK122" s="91" t="str">
        <f aca="false">IF(Tasks[[#This Row],[Task Name]]="","",IF(Tasks[[#This Row],[_IsSummary]],MIN(INDEX(Tasks[_ShownCalcStart],Tasks[[#This Row],[_Row]]+1):INDEX(Tasks[_ShownCalcStart],Tasks[[#This Row],[_Row]]+Tasks[[#This Row],[_Descendants]])),Tasks[[#This Row],[_ShownCalcStart]]))</f>
        <v/>
      </c>
      <c r="FL122" s="91" t="str">
        <f aca="false">IF(Tasks[[#This Row],[Task Name]]="","",IF(Tasks[[#This Row],[_IsSummary]],MAX(INDEX(Tasks[_ShownCalcFinish],Tasks[[#This Row],[_Row]]+1):INDEX(Tasks[_ShownCalcFinish],Tasks[[#This Row],[_Row]]+Tasks[[#This Row],[_Descendants]])),Tasks[[#This Row],[_ShownCalcFinish]]))</f>
        <v/>
      </c>
      <c r="FM12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2" s="43" t="n">
        <f aca="false">IF(AND(Tasks[[#This Row],[_IsLeaf]]=1,Tasks[[#This Row],[_LeafTotalWork]]&gt;0),NETWORKDAYS.INTL(ProjectStart,Tasks[[#This Row],[_ShownFcstStart]],WorkWeek,Holidays),0)</f>
        <v>0</v>
      </c>
      <c r="FZ122" s="43" t="n">
        <f aca="false">IF(AND(Tasks[[#This Row],[_IsLeaf]]=1,Tasks[[#This Row],[_LeafTotalWork]]&gt;0),MAX(Tasks[[#This Row],[_StartWorkday]],NETWORKDAYS.INTL(ProjectStart,Tasks[[#This Row],[_ShownFcstFinish]],WorkWeek,Holidays)),0)</f>
        <v>0</v>
      </c>
      <c r="GA122" s="43" t="n">
        <f aca="false">IF(AND(Tasks[[#This Row],[_IsLeaf]]=1,Tasks[[#This Row],[_LeafTotalWork]]&gt;0),Tasks[[#This Row],[_LeafWork]]/(Tasks[[#This Row],[_FinishWorkday]]-Tasks[[#This Row],[_StartWorkday]]+1),0)</f>
        <v>0</v>
      </c>
      <c r="GB122" s="43" t="n">
        <f aca="false">Tasks[[#This Row],[_WorkPerWorkday]]*(Tasks[[#This Row],[_StartWorkday]]-1)</f>
        <v>-0</v>
      </c>
      <c r="GC122" s="43" t="n">
        <f aca="false">IF(Tasks[[#This Row],[_IsLeaf]]=1,MAX(N(Tasks[[#This Row],[_Days]]),0.1),0)</f>
        <v>0</v>
      </c>
      <c r="GD122" s="43" t="n">
        <f aca="false">Tasks[[#This Row],[_WeightDur]]*Tasks[[#This Row],[_LeafProgress]]</f>
        <v>0</v>
      </c>
      <c r="GE122" s="43" t="n">
        <f aca="false">Tasks[[#This Row],[_WeightDur]]*Tasks[[#This Row],[_PlannedPct]]</f>
        <v>0</v>
      </c>
      <c r="GF12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2" s="43" t="str">
        <f aca="false">IF(AND(Tasks[[#This Row],[_IsLeaf]]=1,N(Tasks[[#This Row],[_Days]])=0,Tasks[[#This Row],[_LeafProgress]]&lt;1),Tasks[[#This Row],[_ShownFcstFinish]]+Tasks[[#This Row],[_Row]]/100000,"")</f>
        <v/>
      </c>
      <c r="GH12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2" s="43" t="str">
        <f aca="false">IF(Tasks[[#This Row],[Task Name]]="","",LEFT(Tasks[[#This Row],[WBS]],FIND(".",Tasks[[#This Row],[WBS]]&amp;".")-1))</f>
        <v/>
      </c>
      <c r="GJ122" s="43" t="str">
        <f aca="false">IF(AND(Tasks[[#This Row],[Task Name]]&lt;&gt;"",Tasks[[#This Row],[_Level]]=1),Tasks[[#This Row],[_Row]],"")</f>
        <v/>
      </c>
      <c r="GK122" s="43" t="str">
        <f aca="false">IF(AND(Tasks[[#This Row],[_IsLeaf]]=1,N(Tasks[[#This Row],[_Days]])=0),Tasks[[#This Row],[Planned Finish]]+Tasks[[#This Row],[_Row]]/100000,"")</f>
        <v/>
      </c>
      <c r="GL122" s="43" t="str">
        <f aca="false">IF(AND(Tasks[[#This Row],[_IsLeaf]]=1,Tasks[[#This Row],[_LeafProgress]]&lt;1,OR(N(Tasks[[#This Row],[Finish Var]])&gt;0,Tasks[[#This Row],[Status]]="Late Start")),MAX(0,Tasks[[#This Row],[Finish Var]])+1-Tasks[[#This Row],[_Row]]/1000000,"")</f>
        <v/>
      </c>
      <c r="GM122" s="43" t="str">
        <f aca="false">IF(AND(Tasks[[#This Row],[_IsLeaf]]=1,N(Tasks[[#This Row],[Actual Start]])=0,Tasks[[#This Row],[_ShownFcstStart]]&gt;=StatusDate,Tasks[[#This Row],[_ShownFcstStart]]&lt;=LookaheadEnd),Tasks[[#This Row],[_ShownFcstStart]]+Tasks[[#This Row],[_Row]]/100000,"")</f>
        <v/>
      </c>
      <c r="GN122" s="43" t="str">
        <f aca="false">IF(AND(Tasks[[#This Row],[_IsLeaf]]=1,Tasks[[#This Row],[_LeafProgress]]&lt;1,Tasks[[#This Row],[_ShownFcstFinish]]&gt;=StatusDate,Tasks[[#This Row],[_ShownFcstFinish]]&lt;=LookaheadEnd),Tasks[[#This Row],[_ShownFcstFinish]]+Tasks[[#This Row],[_Row]]/100000,"")</f>
        <v/>
      </c>
      <c r="GO122" s="43" t="str">
        <f aca="false">IF(Tasks[[#This Row],[_LeafCritical]],Tasks[[#This Row],[_ShownFcstStart]]+Tasks[[#This Row],[_Row]]/100000,"")</f>
        <v/>
      </c>
      <c r="GP122" s="43" t="n">
        <f aca="false">Tasks[[#This Row],[_LeafWork]]*Tasks[[#This Row],[_LeafProgress]]</f>
        <v>0</v>
      </c>
      <c r="GQ122" s="91" t="str">
        <f aca="false">IF(AND(Tasks[[#This Row],[_IsLeaf]]=1,Tasks[[#This Row],[_LeafProgress]]&gt;=1),IF(N(Tasks[[#This Row],[Actual Finish]])&gt;0,Tasks[[#This Row],[Actual Finish]],Tasks[[#This Row],[_ShownFcstFinish]]),"")</f>
        <v/>
      </c>
      <c r="GR122" s="43" t="n">
        <f aca="false">IF(Tasks[[#This Row],[_IsLeaf]]=1,N(Tasks[[#This Row],[Story Points]]),0)</f>
        <v>0</v>
      </c>
      <c r="GS122" s="43" t="str">
        <f aca="false">""</f>
        <v/>
      </c>
      <c r="GT122" s="90" t="b">
        <f aca="false">IF(Tasks[[#This Row],[Task Name]]="",FALSE(),AND(Tasks[[#This Row],[_IsLeaf]]=1,N(Tasks[[#This Row],[_Days]])=0))</f>
        <v>0</v>
      </c>
      <c r="GU122" s="91" t="n">
        <f aca="false">IF(Tasks[[#This Row],[Task Name]]="",0,IF(AND(Tasks[[#This Row],[_IsLeaf]]=1,NOT(Tasks[[#This Row],[_IsMilestone]]),N(Tasks[[#This Row],[Progress]])&gt;0),Tasks[[#This Row],[Start]],0))</f>
        <v>0</v>
      </c>
      <c r="GV122" s="91" t="n">
        <f aca="false">IF(Tasks[[#This Row],[_DoneFrom]]=0,0,IF(Tasks[[#This Row],[Progress]]&gt;=1,Tasks[[#This Row],[Finish]],MAX(Tasks[[#This Row],[_DoneFrom]],Tasks[[#This Row],[Start]]+ROUND((Tasks[[#This Row],[Finish]]-Tasks[[#This Row],[Start]]+1)*Tasks[[#This Row],[Progress]],0)-1)))</f>
        <v>0</v>
      </c>
      <c r="GW122" s="91" t="n">
        <f aca="false">IF(Tasks[[#This Row],[Task Name]]="",0,IF(OR(NOT(Tasks[[#This Row],[_IsLeaf]]=1),Tasks[[#This Row],[_IsMilestone]],N(Tasks[[#This Row],[Progress]])&gt;=1),0,IF(Tasks[[#This Row],[_DoneTo]]&gt;0,Tasks[[#This Row],[_DoneTo]]+1,Tasks[[#This Row],[Start]])))</f>
        <v>0</v>
      </c>
      <c r="GX122" s="91" t="n">
        <f aca="false">IF(Tasks[[#This Row],[_RemFrom]]=0,0,Tasks[[#This Row],[Finish]])</f>
        <v>0</v>
      </c>
      <c r="GY122" s="90" t="b">
        <f aca="false">IF(Tasks[[#This Row],[Task Name]]="",FALSE(),OR(NOT(BaselineSet),N(Tasks[[#This Row],[Baseline Start]])&gt;0))</f>
        <v>0</v>
      </c>
      <c r="GZ12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2" s="92" t="str">
        <f aca="false">IF(Tasks[[#This Row],[_IsLeaf]]=1,Tasks[[#This Row],[_Row]],"")</f>
        <v/>
      </c>
      <c r="HD122" s="92" t="str">
        <f aca="false">IFERROR(INDEX(Tasks[UID],SMALL(Tasks[_PickKey],Tasks[[#This Row],[_Row]]))&amp;" "&amp;INDEX(Tasks[Task Name],SMALL(Tasks[_PickKey],Tasks[[#This Row],[_Row]])),"")</f>
        <v/>
      </c>
      <c r="HE122" s="43" t="str">
        <f aca="false">IF(Tasks[[#This Row],[Task Name]]="","",IF(Tasks[[#This Row],[_IsSummary]],NETWORKDAYS.INTL(Tasks[[#This Row],[Start]],Tasks[[#This Row],[Finish]],WorkWeek,Holidays),N(Tasks[[#This Row],[_Days]])))</f>
        <v/>
      </c>
      <c r="HF122" s="43" t="n">
        <f aca="false">IF(Tasks[[#This Row],[Expected]]="",0,((Tasks[[#This Row],[Pessimistic]]-Tasks[[#This Row],[Optimistic]])/6)^2)</f>
        <v>0</v>
      </c>
      <c r="HG122" s="43" t="n">
        <f aca="false">IF(Tasks[[#This Row],[Expected]]="",0,Tasks[[#This Row],[Expected]]-N(Tasks[[#This Row],[_Days]]))</f>
        <v>0</v>
      </c>
    </row>
    <row r="123" customFormat="false" ht="15" hidden="false" customHeight="false" outlineLevel="0" collapsed="false">
      <c r="A123" s="21" t="str">
        <f aca="false">IF(Tasks[[#This Row],[Task Name]]="","",COUNTA(Tasks[[#Headers],[Task Name]]:Tasks[[#This Row],[Task Name]])-1)</f>
        <v/>
      </c>
      <c r="B123" s="22" t="n">
        <v>131</v>
      </c>
      <c r="C123" s="22"/>
      <c r="D123" s="23"/>
      <c r="E123" s="22"/>
      <c r="F123" s="23"/>
      <c r="G123" s="22"/>
      <c r="H123" s="22"/>
      <c r="I123" s="23"/>
      <c r="J123" s="22"/>
      <c r="K123" s="22"/>
      <c r="L123" s="23"/>
      <c r="M123" s="22"/>
      <c r="N123" s="22"/>
      <c r="O123" s="23"/>
      <c r="P123" s="22"/>
      <c r="Q123" s="22"/>
      <c r="R123" s="23"/>
      <c r="S123" s="23"/>
      <c r="T123" s="84"/>
      <c r="U123" s="23"/>
      <c r="V123" s="84"/>
      <c r="W123" s="23"/>
      <c r="X123" s="84"/>
      <c r="Y123" s="23"/>
      <c r="Z123" s="84"/>
      <c r="AA123" s="23"/>
      <c r="AB123" s="23"/>
      <c r="AC123" s="7"/>
      <c r="AD123" s="7"/>
      <c r="AE123" s="63" t="str">
        <f aca="false">IF(Tasks[[#This Row],[Task Name]]="","",IF(Tasks[[#This Row],[_IsSummary]],MIN(INDEX(Tasks[_ShownFcstStart],Tasks[[#This Row],[_Row]]+1):INDEX(Tasks[_ShownFcstStart],Tasks[[#This Row],[_Row]]+Tasks[[#This Row],[_Descendants]])),Tasks[[#This Row],[_ShownFcstStart]]))</f>
        <v/>
      </c>
      <c r="AF123" s="63" t="str">
        <f aca="false">IF(Tasks[[#This Row],[Task Name]]="","",IF(Tasks[[#This Row],[_IsSummary]],MAX(INDEX(Tasks[_ShownFcstFinish],Tasks[[#This Row],[_Row]]+1):INDEX(Tasks[_ShownFcstFinish],Tasks[[#This Row],[_Row]]+Tasks[[#This Row],[_Descendants]])),Tasks[[#This Row],[_ShownFcstFinish]]))</f>
        <v/>
      </c>
      <c r="AG123" s="21" t="str">
        <f aca="false">""</f>
        <v/>
      </c>
      <c r="AH123" s="23"/>
      <c r="AI1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3" s="7"/>
      <c r="AK123" s="22"/>
      <c r="AL123" s="23"/>
      <c r="AM123" s="7"/>
      <c r="AN123" s="47" t="str">
        <f aca="false">IF(Tasks[[#This Row],[Task Name]]="","",IF(Tasks[[#This Row],[Finish]]&gt;=Tasks[[#This Row],[Planned Finish]],NETWORKDAYS.INTL(Tasks[[#This Row],[Planned Finish]],Tasks[[#This Row],[Finish]],WorkWeek,Holidays)-1,1-NETWORKDAYS.INTL(Tasks[[#This Row],[Finish]],Tasks[[#This Row],[Planned Finish]],WorkWeek,Holidays)))</f>
        <v/>
      </c>
      <c r="AO123" s="21" t="str">
        <f aca="false">IF(Tasks[[#This Row],[Task Name]]="","",IF(Tasks[[#This Row],[Progress]]&gt;=1,"Complete",IF(OR(N(Tasks[[#This Row],[Actual Start]])&gt;0,Tasks[[#This Row],[Progress]]&gt;0),IF(Tasks[[#This Row],[Finish Var]]&gt;0,"Behind","In Progress"),IF(Tasks[[#This Row],[Planned Start]]&lt;StatusDate,"Late Start","Not Started"))))</f>
        <v/>
      </c>
      <c r="AP123" s="21" t="str">
        <f aca="false">IF(Tasks[[#This Row],[Task Name]]="","",IF(IF(Tasks[[#This Row],[_IsSummary]],COUNTIF(INDEX(Tasks[_LeafCritical],Tasks[[#This Row],[_Row]]+1):INDEX(Tasks[_LeafCritical],Tasks[[#This Row],[_Row]]+Tasks[[#This Row],[_Descendants]]),TRUE())&gt;0,Tasks[[#This Row],[_LeafCritical]]),"Yes",""))</f>
        <v/>
      </c>
      <c r="AQ123" s="63" t="str">
        <f aca="false">IF(Tasks[[#This Row],[Task Name]]="","",IF(N(Tasks[[#This Row],[Baseline Start]])&gt;0,Tasks[[#This Row],[Baseline Start]],Tasks[[#This Row],[_CalcStart]]))</f>
        <v/>
      </c>
      <c r="AR123" s="63" t="str">
        <f aca="false">IF(Tasks[[#This Row],[Task Name]]="","",IF(N(Tasks[[#This Row],[Baseline Finish]])&gt;0,Tasks[[#This Row],[Baseline Finish]],Tasks[[#This Row],[_CalcFinish]]))</f>
        <v/>
      </c>
      <c r="AS123" s="47" t="str">
        <f aca="false">IF(Tasks[[#This Row],[Task Name]]="","",IF(Tasks[[#This Row],[Start]]&gt;=Tasks[[#This Row],[Planned Start]],NETWORKDAYS.INTL(Tasks[[#This Row],[Planned Start]],Tasks[[#This Row],[Start]],WorkWeek,Holidays)-1,1-NETWORKDAYS.INTL(Tasks[[#This Row],[Start]],Tasks[[#This Row],[Planned Start]],WorkWeek,Holidays)))</f>
        <v/>
      </c>
      <c r="AT123" s="63" t="str">
        <f aca="false">IF(Tasks[[#This Row],[Task Name]]="","",IF(Tasks[[#This Row],[_IsSummary]],MIN(INDEX(Tasks[_LeafLateStart],Tasks[[#This Row],[_Row]]+1):INDEX(Tasks[_LeafLateStart],Tasks[[#This Row],[_Row]]+Tasks[[#This Row],[_Descendants]])),Tasks[[#This Row],[_LeafLateStart]]))</f>
        <v/>
      </c>
      <c r="AU123" s="63" t="str">
        <f aca="false">IF(Tasks[[#This Row],[Task Name]]="","",IF(Tasks[[#This Row],[_IsSummary]],MAX(INDEX(Tasks[_LeafLateFinish],Tasks[[#This Row],[_Row]]+1):INDEX(Tasks[_LeafLateFinish],Tasks[[#This Row],[_Row]]+Tasks[[#This Row],[_Descendants]])),Tasks[[#This Row],[_LeafLateFinish]]))</f>
        <v/>
      </c>
      <c r="AV123" s="47" t="str">
        <f aca="false">IF(Tasks[[#This Row],[Task Name]]="","",IF(Tasks[[#This Row],[_IsSummary]],MIN(INDEX(Tasks[_LeafTotalSlack],Tasks[[#This Row],[_Row]]+1):INDEX(Tasks[_LeafTotalSlack],Tasks[[#This Row],[_Row]]+Tasks[[#This Row],[_Descendants]])),Tasks[[#This Row],[_LeafTotalSlack]]))</f>
        <v/>
      </c>
      <c r="AW1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5"/>
      <c r="BA12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1" t="str">
        <f aca="false">IF(Tasks[[#This Row],[Task Name]]="","",IF(Tasks[[#This Row],[_Level]]&lt;=OutlineShowLevel,"Yes","No"))</f>
        <v/>
      </c>
      <c r="BE123" s="86" t="str">
        <f aca="false">IF(Tasks[[#This Row],[Task Name]]="","",IF(Tasks[[#This Row],[_IsSummary]],SUM(INDEX(Tasks[_LeafTotalWork],Tasks[[#This Row],[_Row]]+1):INDEX(Tasks[_LeafTotalWork],Tasks[[#This Row],[_Row]]+Tasks[[#This Row],[_Descendants]])),Tasks[[#This Row],[_LeafTotalWork]]))</f>
        <v/>
      </c>
      <c r="BF123" s="23"/>
      <c r="BG1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3" s="21" t="str">
        <f aca="false">""</f>
        <v/>
      </c>
      <c r="BI123" s="87"/>
      <c r="BJ123" s="22"/>
      <c r="BK123" s="47" t="str">
        <f aca="false">IF(OR(Tasks[[#This Row],[Task Name]]="",Tasks[[#This Row],[Baseline Duration]]=""),"",Tasks[[#This Row],[_SpanDays]]-N(Tasks[[#This Row],[Baseline Duration]]))</f>
        <v/>
      </c>
      <c r="BL123" s="86" t="str">
        <f aca="false">IF(OR(Tasks[[#This Row],[Task Name]]="",Tasks[[#This Row],[Baseline Work]]=""),"",Tasks[[#This Row],[Work]]-N(Tasks[[#This Row],[Baseline Work]]))</f>
        <v/>
      </c>
      <c r="BM123" s="63" t="str">
        <f aca="false">IF(Tasks[[#This Row],[Task Name]]="","",IF(OR(TakeBaseline="Yes",N(Tasks[[#This Row],[Baseline Start]])=0),Tasks[[#This Row],[Start]],Tasks[[#This Row],[Baseline Start]]))</f>
        <v/>
      </c>
      <c r="BN123" s="63" t="str">
        <f aca="false">IF(Tasks[[#This Row],[Task Name]]="","",IF(OR(TakeBaseline="Yes",N(Tasks[[#This Row],[Baseline Finish]])=0),Tasks[[#This Row],[Finish]],Tasks[[#This Row],[Baseline Finish]]))</f>
        <v/>
      </c>
      <c r="BO123" s="21" t="str">
        <f aca="false">IF(Tasks[[#This Row],[Task Name]]="","",IF(OR(TakeBaseline="Yes",N(Tasks[[#This Row],[Baseline Duration]])=0),Tasks[[#This Row],[_SpanDays]],Tasks[[#This Row],[Baseline Duration]]))</f>
        <v/>
      </c>
      <c r="BP123" s="86" t="str">
        <f aca="false">IF(Tasks[[#This Row],[Task Name]]="","",IF(OR(TakeBaseline="Yes",N(Tasks[[#This Row],[Baseline Work]])=0),Tasks[[#This Row],[Work]],Tasks[[#This Row],[Baseline Work]]))</f>
        <v/>
      </c>
      <c r="BQ123" s="7"/>
      <c r="BR123" s="7"/>
      <c r="BS123" s="22"/>
      <c r="BT123" s="88"/>
      <c r="BU123" s="23"/>
      <c r="BV123" s="23"/>
      <c r="BW123" s="23"/>
      <c r="BX123" s="89" t="str">
        <f aca="false">IF(AND(Tasks[[#This Row],[_IsLeaf]]=1,ISNUMBER(Tasks[[#This Row],[Optimistic]]),ISNUMBER(Tasks[[#This Row],[Pessimistic]])),ROUND((Tasks[[#This Row],[Optimistic]]+4*N(Tasks[[#This Row],[_Days]])+Tasks[[#This Row],[Pessimistic]])/6,1),"")</f>
        <v/>
      </c>
      <c r="BY123" s="87"/>
      <c r="BZ123" s="87"/>
      <c r="CA123" s="22"/>
      <c r="CB123" s="43" t="str">
        <f aca="false">IF(Tasks[[#This Row],[Task Name]]="","",MAX(1,N(Tasks[[#This Row],[Level]])))</f>
        <v/>
      </c>
      <c r="CC123" s="43" t="n">
        <f aca="false">ROW()-ROW(Tasks[[#Headers],[ID]])</f>
        <v>118</v>
      </c>
      <c r="CD123" s="43" t="n">
        <f aca="false">IF(OR(Tasks[[#This Row],[Task Name]]="",Tasks[[#This Row],[_Level]]&lt;=1),0,IFERROR(LOOKUP(2,1/(Tasks[[#Headers],[_Level]]:Tasks[[#This Row],[_Level]]=Tasks[[#This Row],[_Level]]-1),ROW(Tasks[[#Headers],[_Level]]:Tasks[[#This Row],[_Level]])),0))</f>
        <v>0</v>
      </c>
      <c r="CE123" s="43" t="n">
        <f aca="false">IFERROR(N(INDEX(Tasks[_Level],Tasks[[#This Row],[_Row]]+1)),0)</f>
        <v>0</v>
      </c>
      <c r="CF123" s="90" t="b">
        <f aca="false">AND(Tasks[[#This Row],[Task Name]]&lt;&gt;"",Tasks[[#This Row],[_NextLevel]]&gt;Tasks[[#This Row],[_Level]])</f>
        <v>0</v>
      </c>
      <c r="CG123" s="43" t="n">
        <f aca="false">IF(Tasks[[#This Row],[_IsSummary]],COUNTIF(Tasks[WBS],Tasks[[#This Row],[WBS]]&amp;".*"),0)</f>
        <v>0</v>
      </c>
      <c r="CH123" s="43" t="n">
        <f aca="false">IF(AND(Tasks[[#This Row],[Task Name]]&lt;&gt;"",NOT(Tasks[[#This Row],[_IsSummary]])),1,0)</f>
        <v>0</v>
      </c>
      <c r="CI123" s="43" t="n">
        <f aca="false">IF(N(Tasks[[#This Row],[_Pred1UID]])=0,0,IFERROR(MATCH(Tasks[[#This Row],[_Pred1UID]],Tasks[UID],0),-1))</f>
        <v>0</v>
      </c>
      <c r="CJ123" s="43" t="n">
        <f aca="false">IF(N(Tasks[[#This Row],[_Pred2UID]])=0,0,IFERROR(MATCH(Tasks[[#This Row],[_Pred2UID]],Tasks[UID],0),-1))</f>
        <v>0</v>
      </c>
      <c r="CK123" s="43" t="n">
        <f aca="false">IF(N(Tasks[[#This Row],[_Pred3UID]])=0,0,IFERROR(MATCH(Tasks[[#This Row],[_Pred3UID]],Tasks[UID],0),-1))</f>
        <v>0</v>
      </c>
      <c r="CL123" s="43" t="n">
        <f aca="false">IF(N(Tasks[[#This Row],[_Pred4UID]])=0,0,IFERROR(MATCH(Tasks[[#This Row],[_Pred4UID]],Tasks[UID],0),-1))</f>
        <v>0</v>
      </c>
      <c r="CM12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3" s="91" t="n">
        <f aca="false">IF(OR(Tasks[[#This Row],[_ConstraintCode]]=2,Tasks[[#This Row],[_ConstraintCode]]=3,Tasks[[#This Row],[_ConstraintCode]]=4,Tasks[[#This Row],[_ConstraintCode]]=6),Tasks[[#This Row],[_ConstraintStart]],0)</f>
        <v>0</v>
      </c>
      <c r="CP123" s="91" t="n">
        <f aca="false">IF(OR(Tasks[[#This Row],[_ConstraintCode]]=2,Tasks[[#This Row],[_ConstraintCode]]=3,Tasks[[#This Row],[_ConstraintCode]]=5,Tasks[[#This Row],[_ConstraintCode]]=7),Tasks[[#This Row],[_ConstraintStart]],2958465)</f>
        <v>2958465</v>
      </c>
      <c r="CQ12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3" s="91" t="str">
        <f aca="false">IF(NOT(Tasks[[#This Row],[_IsLeaf]]=1),"",IF(N(Tasks[[#This Row],[_Days]])&lt;=0,Tasks[[#This Row],[_LeafCalcStart]],WORKDAY.INTL(Tasks[[#This Row],[_LeafCalcStart]],Tasks[[#This Row],[_Days]]-1,WorkWeek,Holidays)))</f>
        <v/>
      </c>
      <c r="CS12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3" s="43" t="str">
        <f aca="false">IF(Tasks[[#This Row],[_Predecessors]]="","",TRIM(MID(SUBSTITUTE(SUBSTITUTE(SUBSTITUTE(UPPER(Tasks[[#This Row],[_Predecessors]]),";",",")," ",""),",",REPT(" ",99)),1,99)))</f>
        <v/>
      </c>
      <c r="CV123" s="43" t="str">
        <f aca="false">IF(Tasks[[#This Row],[_Pred1Text]]="","",IFERROR(VALUE(LEFT(Tasks[[#This Row],[_Pred1Text]],MIN(FIND("F",Tasks[[#This Row],[_Pred1Text]]&amp;"F"),FIND("S",Tasks[[#This Row],[_Pred1Text]]&amp;"S"),FIND("+",Tasks[[#This Row],[_Pred1Text]]&amp;"+"),FIND("-",Tasks[[#This Row],[_Pred1Text]]&amp;"-"))-1)),""))</f>
        <v/>
      </c>
      <c r="CW12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3" s="43" t="str">
        <f aca="false">IF(Tasks[[#This Row],[_Pred1Text]]="","",TRIM(MID(SUBSTITUTE(SUBSTITUTE(SUBSTITUTE(UPPER(Tasks[[#This Row],[_Predecessors]]),";",",")," ",""),",",REPT(" ",99)),100,99)))</f>
        <v/>
      </c>
      <c r="CZ123" s="43" t="str">
        <f aca="false">IF(Tasks[[#This Row],[_Pred2Text]]="","",IFERROR(VALUE(LEFT(Tasks[[#This Row],[_Pred2Text]],MIN(FIND("F",Tasks[[#This Row],[_Pred2Text]]&amp;"F"),FIND("S",Tasks[[#This Row],[_Pred2Text]]&amp;"S"),FIND("+",Tasks[[#This Row],[_Pred2Text]]&amp;"+"),FIND("-",Tasks[[#This Row],[_Pred2Text]]&amp;"-"))-1)),""))</f>
        <v/>
      </c>
      <c r="DA12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3" s="43" t="str">
        <f aca="false">IF(Tasks[[#This Row],[_Pred2Text]]="","",TRIM(MID(SUBSTITUTE(SUBSTITUTE(SUBSTITUTE(UPPER(Tasks[[#This Row],[_Predecessors]]),";",",")," ",""),",",REPT(" ",99)),199,99)))</f>
        <v/>
      </c>
      <c r="DD123" s="43" t="str">
        <f aca="false">IF(Tasks[[#This Row],[_Pred3Text]]="","",IFERROR(VALUE(LEFT(Tasks[[#This Row],[_Pred3Text]],MIN(FIND("F",Tasks[[#This Row],[_Pred3Text]]&amp;"F"),FIND("S",Tasks[[#This Row],[_Pred3Text]]&amp;"S"),FIND("+",Tasks[[#This Row],[_Pred3Text]]&amp;"+"),FIND("-",Tasks[[#This Row],[_Pred3Text]]&amp;"-"))-1)),""))</f>
        <v/>
      </c>
      <c r="DE12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3" s="43" t="str">
        <f aca="false">IF(Tasks[[#This Row],[_Pred3Text]]="","",TRIM(MID(SUBSTITUTE(SUBSTITUTE(SUBSTITUTE(UPPER(Tasks[[#This Row],[_Predecessors]]),";",",")," ",""),",",REPT(" ",99)),298,99)))</f>
        <v/>
      </c>
      <c r="DH123" s="43" t="str">
        <f aca="false">IF(Tasks[[#This Row],[_Pred4Text]]="","",IFERROR(VALUE(LEFT(Tasks[[#This Row],[_Pred4Text]],MIN(FIND("F",Tasks[[#This Row],[_Pred4Text]]&amp;"F"),FIND("S",Tasks[[#This Row],[_Pred4Text]]&amp;"S"),FIND("+",Tasks[[#This Row],[_Pred4Text]]&amp;"+"),FIND("-",Tasks[[#This Row],[_Pred4Text]]&amp;"-"))-1)),""))</f>
        <v/>
      </c>
      <c r="DI12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3" s="43" t="str">
        <f aca="false">IF(OR(Tasks[[#This Row],[Task Name]]="",Tasks[[#This Row],[_Resources]]=""),"",TRIM(MID(SUBSTITUTE(Tasks[[#This Row],[_Resources]],",",REPT(" ",99)),1,99)))</f>
        <v/>
      </c>
      <c r="DL123" s="43" t="str">
        <f aca="false">IF(Tasks[[#This Row],[_Res1Text]]="","",TRIM(MID(SUBSTITUTE(Tasks[[#This Row],[_Resources]],",",REPT(" ",99)),100,99)))</f>
        <v/>
      </c>
      <c r="DM123" s="43" t="str">
        <f aca="false">IF(Tasks[[#This Row],[_Res2Text]]="","",TRIM(MID(SUBSTITUTE(Tasks[[#This Row],[_Resources]],",",REPT(" ",99)),199,99)))</f>
        <v/>
      </c>
      <c r="DN123" s="43" t="str">
        <f aca="false">IF(Tasks[[#This Row],[_Res3Text]]="","",TRIM(MID(SUBSTITUTE(Tasks[[#This Row],[_Resources]],",",REPT(" ",99)),298,99)))</f>
        <v/>
      </c>
      <c r="DO123" s="43" t="n">
        <f aca="false">IF(Tasks[[#This Row],[_Res1Text]]="",0,IFERROR(MATCH(TRIM(LEFT(Tasks[[#This Row],[_Res1Text]],FIND("[",Tasks[[#This Row],[_Res1Text]]&amp;"[")-1)),res_Name,0),IFERROR(MATCH(TRIM(LEFT(Tasks[[#This Row],[_Res1Text]],FIND("[",Tasks[[#This Row],[_Res1Text]]&amp;"[")-1)),res_Initials,0),0)))</f>
        <v>0</v>
      </c>
      <c r="DP123" s="43" t="n">
        <f aca="false">IF(Tasks[[#This Row],[_Res2Text]]="",0,IFERROR(MATCH(TRIM(LEFT(Tasks[[#This Row],[_Res2Text]],FIND("[",Tasks[[#This Row],[_Res2Text]]&amp;"[")-1)),res_Name,0),IFERROR(MATCH(TRIM(LEFT(Tasks[[#This Row],[_Res2Text]],FIND("[",Tasks[[#This Row],[_Res2Text]]&amp;"[")-1)),res_Initials,0),0)))</f>
        <v>0</v>
      </c>
      <c r="DQ123" s="43" t="n">
        <f aca="false">IF(Tasks[[#This Row],[_Res3Text]]="",0,IFERROR(MATCH(TRIM(LEFT(Tasks[[#This Row],[_Res3Text]],FIND("[",Tasks[[#This Row],[_Res3Text]]&amp;"[")-1)),res_Name,0),IFERROR(MATCH(TRIM(LEFT(Tasks[[#This Row],[_Res3Text]],FIND("[",Tasks[[#This Row],[_Res3Text]]&amp;"[")-1)),res_Initials,0),0)))</f>
        <v>0</v>
      </c>
      <c r="DR123" s="43" t="n">
        <f aca="false">IF(Tasks[[#This Row],[_Res4Text]]="",0,IFERROR(MATCH(TRIM(LEFT(Tasks[[#This Row],[_Res4Text]],FIND("[",Tasks[[#This Row],[_Res4Text]]&amp;"[")-1)),res_Name,0),IFERROR(MATCH(TRIM(LEFT(Tasks[[#This Row],[_Res4Text]],FIND("[",Tasks[[#This Row],[_Res4Text]]&amp;"[")-1)),res_Initials,0),0)))</f>
        <v>0</v>
      </c>
      <c r="DS123" s="43" t="str">
        <f aca="false">IF(Tasks[[#This Row],[_Res1Text]]="","",IF(Tasks[[#This Row],[_Res1Row]]&gt;0,INDEX(res_Name,Tasks[[#This Row],[_Res1Row]]),TRIM(LEFT(Tasks[[#This Row],[_Res1Text]],FIND("[",Tasks[[#This Row],[_Res1Text]]&amp;"[")-1))))</f>
        <v/>
      </c>
      <c r="DT12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3" s="43" t="n">
        <f aca="false">IF(NOT(Tasks[[#This Row],[_IsLeaf]]=1),0,(Tasks[[#This Row],[_Resource1]]&lt;&gt;"")+(Tasks[[#This Row],[_Res2]]&lt;&gt;"")+(Tasks[[#This Row],[_Res3]]&lt;&gt;"")+(Tasks[[#This Row],[_Res4]]&lt;&gt;""))</f>
        <v>0</v>
      </c>
      <c r="DV123" s="43" t="str">
        <f aca="false">IF(Tasks[[#This Row],[_Res2Text]]="","",IF(Tasks[[#This Row],[_Res2Row]]&gt;0,INDEX(res_Name,Tasks[[#This Row],[_Res2Row]]),TRIM(LEFT(Tasks[[#This Row],[_Res2Text]],FIND("[",Tasks[[#This Row],[_Res2Text]]&amp;"[")-1))))</f>
        <v/>
      </c>
      <c r="DW12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3" s="43" t="n">
        <f aca="false">IF(OR(NOT(Tasks[[#This Row],[_IsLeaf]]=1),Tasks[[#This Row],[_Res2Row]]=0),0,N(Tasks[[#This Row],[_Days]])*HoursPerDay*IF(Tasks[[#This Row],[_Res2Units]]="",DefaultUnits,Tasks[[#This Row],[_Res2Units]]))</f>
        <v>0</v>
      </c>
      <c r="DY123" s="43" t="n">
        <f aca="false">IF(AND(AND(Tasks[[#This Row],[_IsLeaf]]=1,Tasks[[#This Row],[_LeafTotalWork]]&gt;0),Tasks[[#This Row],[_Res2Work]]&gt;0),Tasks[[#This Row],[_Res2Work]]/(Tasks[[#This Row],[_FinishWorkday]]-Tasks[[#This Row],[_StartWorkday]]+1),0)</f>
        <v>0</v>
      </c>
      <c r="DZ123" s="43" t="n">
        <f aca="false">Tasks[[#This Row],[_Res2WorkPerWD]]*MAX(0,Tasks[[#This Row],[_StartWorkday]]-1)</f>
        <v>0</v>
      </c>
      <c r="EA123" s="43" t="n">
        <f aca="false">Tasks[[#This Row],[_Res2Work]]*Tasks[[#This Row],[_LeafProgress]]</f>
        <v>0</v>
      </c>
      <c r="EB123" s="43" t="str">
        <f aca="false">IF(Tasks[[#This Row],[_Res3Text]]="","",IF(Tasks[[#This Row],[_Res3Row]]&gt;0,INDEX(res_Name,Tasks[[#This Row],[_Res3Row]]),TRIM(LEFT(Tasks[[#This Row],[_Res3Text]],FIND("[",Tasks[[#This Row],[_Res3Text]]&amp;"[")-1))))</f>
        <v/>
      </c>
      <c r="EC12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3" s="43" t="n">
        <f aca="false">IF(OR(NOT(Tasks[[#This Row],[_IsLeaf]]=1),Tasks[[#This Row],[_Res3Row]]=0),0,N(Tasks[[#This Row],[_Days]])*HoursPerDay*IF(Tasks[[#This Row],[_Res3Units]]="",DefaultUnits,Tasks[[#This Row],[_Res3Units]]))</f>
        <v>0</v>
      </c>
      <c r="EE123" s="43" t="n">
        <f aca="false">IF(AND(AND(Tasks[[#This Row],[_IsLeaf]]=1,Tasks[[#This Row],[_LeafTotalWork]]&gt;0),Tasks[[#This Row],[_Res3Work]]&gt;0),Tasks[[#This Row],[_Res3Work]]/(Tasks[[#This Row],[_FinishWorkday]]-Tasks[[#This Row],[_StartWorkday]]+1),0)</f>
        <v>0</v>
      </c>
      <c r="EF123" s="43" t="n">
        <f aca="false">Tasks[[#This Row],[_Res3WorkPerWD]]*MAX(0,Tasks[[#This Row],[_StartWorkday]]-1)</f>
        <v>0</v>
      </c>
      <c r="EG123" s="43" t="n">
        <f aca="false">Tasks[[#This Row],[_Res3Work]]*Tasks[[#This Row],[_LeafProgress]]</f>
        <v>0</v>
      </c>
      <c r="EH123" s="43" t="str">
        <f aca="false">IF(Tasks[[#This Row],[_Res4Text]]="","",IF(Tasks[[#This Row],[_Res4Row]]&gt;0,INDEX(res_Name,Tasks[[#This Row],[_Res4Row]]),TRIM(LEFT(Tasks[[#This Row],[_Res4Text]],FIND("[",Tasks[[#This Row],[_Res4Text]]&amp;"[")-1))))</f>
        <v/>
      </c>
      <c r="EI12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3" s="43" t="n">
        <f aca="false">IF(OR(NOT(Tasks[[#This Row],[_IsLeaf]]=1),Tasks[[#This Row],[_Res4Row]]=0),0,N(Tasks[[#This Row],[_Days]])*HoursPerDay*IF(Tasks[[#This Row],[_Res4Units]]="",DefaultUnits,Tasks[[#This Row],[_Res4Units]]))</f>
        <v>0</v>
      </c>
      <c r="EK123" s="43" t="n">
        <f aca="false">IF(AND(AND(Tasks[[#This Row],[_IsLeaf]]=1,Tasks[[#This Row],[_LeafTotalWork]]&gt;0),Tasks[[#This Row],[_Res4Work]]&gt;0),Tasks[[#This Row],[_Res4Work]]/(Tasks[[#This Row],[_FinishWorkday]]-Tasks[[#This Row],[_StartWorkday]]+1),0)</f>
        <v>0</v>
      </c>
      <c r="EL123" s="43" t="n">
        <f aca="false">Tasks[[#This Row],[_Res4WorkPerWD]]*MAX(0,Tasks[[#This Row],[_StartWorkday]]-1)</f>
        <v>0</v>
      </c>
      <c r="EM123" s="43" t="n">
        <f aca="false">Tasks[[#This Row],[_Res4Work]]*Tasks[[#This Row],[_LeafProgress]]</f>
        <v>0</v>
      </c>
      <c r="EN123" s="43" t="n">
        <f aca="false">IF(ISNUMBER(Tasks[[#This Row],[% Complete]]),Tasks[[#This Row],[% Complete]],IF(Tasks[[#This Row],[Stage]]="",0,IFERROR(INDEX(stg_Pct,MATCH(Tasks[[#This Row],[Stage]],stg_Name,0)),0)))</f>
        <v>0</v>
      </c>
      <c r="EO123" s="43" t="n">
        <f aca="false">IF(NOT(Tasks[[#This Row],[_IsLeaf]]=1),0,IF(N(Tasks[[#This Row],[Actual Finish]])&gt;0,1,MIN(1,Tasks[[#This Row],[_Pct]])))</f>
        <v>0</v>
      </c>
      <c r="EP123" s="43" t="n">
        <f aca="false">IF(OR(NOT(Tasks[[#This Row],[_IsLeaf]]=1),Tasks[[#This Row],[_Res1Row]]=0),0,N(Tasks[[#This Row],[_Days]])*HoursPerDay*IF(Tasks[[#This Row],[_Units1]]="",DefaultUnits,Tasks[[#This Row],[_Units1]]))</f>
        <v>0</v>
      </c>
      <c r="EQ123" s="43" t="n">
        <f aca="false">Tasks[[#This Row],[_LeafWork]]+Tasks[[#This Row],[_Res2Work]]+Tasks[[#This Row],[_Res3Work]]+Tasks[[#This Row],[_Res4Work]]</f>
        <v>0</v>
      </c>
      <c r="ER12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3" s="43" t="n">
        <f aca="false">IF(NOT(Tasks[[#This Row],[_IsLeaf]]=1),0,MAX(_xlfn.MAXIFS(Tasks[_Row],Tasks[_Pred1UID],Tasks[[#This Row],[UID]]),_xlfn.MAXIFS(Tasks[_Row],Tasks[_Pred2UID],Tasks[[#This Row],[UID]]),_xlfn.MAXIFS(Tasks[_Row],Tasks[_Pred3UID],Tasks[[#This Row],[UID]]),_xlfn.MAXIFS(Tasks[_Row],Tasks[_Pred4UID],Tasks[[#This Row],[UID]])))</f>
        <v>0</v>
      </c>
      <c r="FA12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3" s="91" t="str">
        <f aca="false">IF(NOT(Tasks[[#This Row],[_IsLeaf]]=1),"",IF(N(Tasks[[#This Row],[_Days]])&lt;=0,Tasks[[#This Row],[_LeafLateFinish]],WORKDAY.INTL(Tasks[[#This Row],[_LeafLateFinish]],-(Tasks[[#This Row],[_Days]]-1),WorkWeek,Holidays)))</f>
        <v/>
      </c>
      <c r="FD12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3" s="90" t="b">
        <f aca="false">AND(Tasks[[#This Row],[_IsLeaf]]=1,Tasks[[#This Row],[_LeafProgress]]&lt;1,N(Tasks[[#This Row],[_LeafTotalSlack]])&lt;=CriticalSlackDays)</f>
        <v>0</v>
      </c>
      <c r="FF123" s="43" t="n">
        <f aca="false">IF(AND(Tasks[[#This Row],[_IsLeaf]]=1,Tasks[[#This Row],[_ConstraintCode]]=1,Tasks[[#This Row],[Mode]]&lt;&gt;"Manual",N(Tasks[[#This Row],[Actual Start]])=0),MAX(0,N(Tasks[[#This Row],[Free Slack]])),0)</f>
        <v>0</v>
      </c>
      <c r="FG123" s="91" t="str">
        <f aca="false">IF(NOT(Tasks[[#This Row],[_IsLeaf]]=1),"",IF(Tasks[[#This Row],[_AlapShift]]=0,Tasks[[#This Row],[_LeafCalcStart]],WORKDAY.INTL(Tasks[[#This Row],[_LeafCalcStart]],Tasks[[#This Row],[_AlapShift]],WorkWeek,Holidays)))</f>
        <v/>
      </c>
      <c r="FH123" s="91" t="str">
        <f aca="false">IF(NOT(Tasks[[#This Row],[_IsLeaf]]=1),"",IF(Tasks[[#This Row],[_AlapShift]]=0,Tasks[[#This Row],[_LeafCalcFinish]],WORKDAY.INTL(Tasks[[#This Row],[_LeafCalcFinish]],Tasks[[#This Row],[_AlapShift]],WorkWeek,Holidays)))</f>
        <v/>
      </c>
      <c r="FI123" s="91" t="str">
        <f aca="false">IF(NOT(Tasks[[#This Row],[_IsLeaf]]=1),"",IF(Tasks[[#This Row],[_AlapShift]]=0,Tasks[[#This Row],[_LeafFcstStart]],WORKDAY.INTL(Tasks[[#This Row],[_LeafFcstStart]],Tasks[[#This Row],[_AlapShift]],WorkWeek,Holidays)))</f>
        <v/>
      </c>
      <c r="FJ123" s="91" t="str">
        <f aca="false">IF(NOT(Tasks[[#This Row],[_IsLeaf]]=1),"",IF(Tasks[[#This Row],[_AlapShift]]=0,Tasks[[#This Row],[_LeafFcstFinish]],WORKDAY.INTL(Tasks[[#This Row],[_LeafFcstFinish]],Tasks[[#This Row],[_AlapShift]],WorkWeek,Holidays)))</f>
        <v/>
      </c>
      <c r="FK123" s="91" t="str">
        <f aca="false">IF(Tasks[[#This Row],[Task Name]]="","",IF(Tasks[[#This Row],[_IsSummary]],MIN(INDEX(Tasks[_ShownCalcStart],Tasks[[#This Row],[_Row]]+1):INDEX(Tasks[_ShownCalcStart],Tasks[[#This Row],[_Row]]+Tasks[[#This Row],[_Descendants]])),Tasks[[#This Row],[_ShownCalcStart]]))</f>
        <v/>
      </c>
      <c r="FL123" s="91" t="str">
        <f aca="false">IF(Tasks[[#This Row],[Task Name]]="","",IF(Tasks[[#This Row],[_IsSummary]],MAX(INDEX(Tasks[_ShownCalcFinish],Tasks[[#This Row],[_Row]]+1):INDEX(Tasks[_ShownCalcFinish],Tasks[[#This Row],[_Row]]+Tasks[[#This Row],[_Descendants]])),Tasks[[#This Row],[_ShownCalcFinish]]))</f>
        <v/>
      </c>
      <c r="FM12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3" s="43" t="n">
        <f aca="false">IF(AND(Tasks[[#This Row],[_IsLeaf]]=1,Tasks[[#This Row],[_LeafTotalWork]]&gt;0),NETWORKDAYS.INTL(ProjectStart,Tasks[[#This Row],[_ShownFcstStart]],WorkWeek,Holidays),0)</f>
        <v>0</v>
      </c>
      <c r="FZ123" s="43" t="n">
        <f aca="false">IF(AND(Tasks[[#This Row],[_IsLeaf]]=1,Tasks[[#This Row],[_LeafTotalWork]]&gt;0),MAX(Tasks[[#This Row],[_StartWorkday]],NETWORKDAYS.INTL(ProjectStart,Tasks[[#This Row],[_ShownFcstFinish]],WorkWeek,Holidays)),0)</f>
        <v>0</v>
      </c>
      <c r="GA123" s="43" t="n">
        <f aca="false">IF(AND(Tasks[[#This Row],[_IsLeaf]]=1,Tasks[[#This Row],[_LeafTotalWork]]&gt;0),Tasks[[#This Row],[_LeafWork]]/(Tasks[[#This Row],[_FinishWorkday]]-Tasks[[#This Row],[_StartWorkday]]+1),0)</f>
        <v>0</v>
      </c>
      <c r="GB123" s="43" t="n">
        <f aca="false">Tasks[[#This Row],[_WorkPerWorkday]]*(Tasks[[#This Row],[_StartWorkday]]-1)</f>
        <v>-0</v>
      </c>
      <c r="GC123" s="43" t="n">
        <f aca="false">IF(Tasks[[#This Row],[_IsLeaf]]=1,MAX(N(Tasks[[#This Row],[_Days]]),0.1),0)</f>
        <v>0</v>
      </c>
      <c r="GD123" s="43" t="n">
        <f aca="false">Tasks[[#This Row],[_WeightDur]]*Tasks[[#This Row],[_LeafProgress]]</f>
        <v>0</v>
      </c>
      <c r="GE123" s="43" t="n">
        <f aca="false">Tasks[[#This Row],[_WeightDur]]*Tasks[[#This Row],[_PlannedPct]]</f>
        <v>0</v>
      </c>
      <c r="GF12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3" s="43" t="str">
        <f aca="false">IF(AND(Tasks[[#This Row],[_IsLeaf]]=1,N(Tasks[[#This Row],[_Days]])=0,Tasks[[#This Row],[_LeafProgress]]&lt;1),Tasks[[#This Row],[_ShownFcstFinish]]+Tasks[[#This Row],[_Row]]/100000,"")</f>
        <v/>
      </c>
      <c r="GH12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3" s="43" t="str">
        <f aca="false">IF(Tasks[[#This Row],[Task Name]]="","",LEFT(Tasks[[#This Row],[WBS]],FIND(".",Tasks[[#This Row],[WBS]]&amp;".")-1))</f>
        <v/>
      </c>
      <c r="GJ123" s="43" t="str">
        <f aca="false">IF(AND(Tasks[[#This Row],[Task Name]]&lt;&gt;"",Tasks[[#This Row],[_Level]]=1),Tasks[[#This Row],[_Row]],"")</f>
        <v/>
      </c>
      <c r="GK123" s="43" t="str">
        <f aca="false">IF(AND(Tasks[[#This Row],[_IsLeaf]]=1,N(Tasks[[#This Row],[_Days]])=0),Tasks[[#This Row],[Planned Finish]]+Tasks[[#This Row],[_Row]]/100000,"")</f>
        <v/>
      </c>
      <c r="GL123" s="43" t="str">
        <f aca="false">IF(AND(Tasks[[#This Row],[_IsLeaf]]=1,Tasks[[#This Row],[_LeafProgress]]&lt;1,OR(N(Tasks[[#This Row],[Finish Var]])&gt;0,Tasks[[#This Row],[Status]]="Late Start")),MAX(0,Tasks[[#This Row],[Finish Var]])+1-Tasks[[#This Row],[_Row]]/1000000,"")</f>
        <v/>
      </c>
      <c r="GM123" s="43" t="str">
        <f aca="false">IF(AND(Tasks[[#This Row],[_IsLeaf]]=1,N(Tasks[[#This Row],[Actual Start]])=0,Tasks[[#This Row],[_ShownFcstStart]]&gt;=StatusDate,Tasks[[#This Row],[_ShownFcstStart]]&lt;=LookaheadEnd),Tasks[[#This Row],[_ShownFcstStart]]+Tasks[[#This Row],[_Row]]/100000,"")</f>
        <v/>
      </c>
      <c r="GN123" s="43" t="str">
        <f aca="false">IF(AND(Tasks[[#This Row],[_IsLeaf]]=1,Tasks[[#This Row],[_LeafProgress]]&lt;1,Tasks[[#This Row],[_ShownFcstFinish]]&gt;=StatusDate,Tasks[[#This Row],[_ShownFcstFinish]]&lt;=LookaheadEnd),Tasks[[#This Row],[_ShownFcstFinish]]+Tasks[[#This Row],[_Row]]/100000,"")</f>
        <v/>
      </c>
      <c r="GO123" s="43" t="str">
        <f aca="false">IF(Tasks[[#This Row],[_LeafCritical]],Tasks[[#This Row],[_ShownFcstStart]]+Tasks[[#This Row],[_Row]]/100000,"")</f>
        <v/>
      </c>
      <c r="GP123" s="43" t="n">
        <f aca="false">Tasks[[#This Row],[_LeafWork]]*Tasks[[#This Row],[_LeafProgress]]</f>
        <v>0</v>
      </c>
      <c r="GQ123" s="91" t="str">
        <f aca="false">IF(AND(Tasks[[#This Row],[_IsLeaf]]=1,Tasks[[#This Row],[_LeafProgress]]&gt;=1),IF(N(Tasks[[#This Row],[Actual Finish]])&gt;0,Tasks[[#This Row],[Actual Finish]],Tasks[[#This Row],[_ShownFcstFinish]]),"")</f>
        <v/>
      </c>
      <c r="GR123" s="43" t="n">
        <f aca="false">IF(Tasks[[#This Row],[_IsLeaf]]=1,N(Tasks[[#This Row],[Story Points]]),0)</f>
        <v>0</v>
      </c>
      <c r="GS123" s="43" t="str">
        <f aca="false">""</f>
        <v/>
      </c>
      <c r="GT123" s="90" t="b">
        <f aca="false">IF(Tasks[[#This Row],[Task Name]]="",FALSE(),AND(Tasks[[#This Row],[_IsLeaf]]=1,N(Tasks[[#This Row],[_Days]])=0))</f>
        <v>0</v>
      </c>
      <c r="GU123" s="91" t="n">
        <f aca="false">IF(Tasks[[#This Row],[Task Name]]="",0,IF(AND(Tasks[[#This Row],[_IsLeaf]]=1,NOT(Tasks[[#This Row],[_IsMilestone]]),N(Tasks[[#This Row],[Progress]])&gt;0),Tasks[[#This Row],[Start]],0))</f>
        <v>0</v>
      </c>
      <c r="GV123" s="91" t="n">
        <f aca="false">IF(Tasks[[#This Row],[_DoneFrom]]=0,0,IF(Tasks[[#This Row],[Progress]]&gt;=1,Tasks[[#This Row],[Finish]],MAX(Tasks[[#This Row],[_DoneFrom]],Tasks[[#This Row],[Start]]+ROUND((Tasks[[#This Row],[Finish]]-Tasks[[#This Row],[Start]]+1)*Tasks[[#This Row],[Progress]],0)-1)))</f>
        <v>0</v>
      </c>
      <c r="GW123" s="91" t="n">
        <f aca="false">IF(Tasks[[#This Row],[Task Name]]="",0,IF(OR(NOT(Tasks[[#This Row],[_IsLeaf]]=1),Tasks[[#This Row],[_IsMilestone]],N(Tasks[[#This Row],[Progress]])&gt;=1),0,IF(Tasks[[#This Row],[_DoneTo]]&gt;0,Tasks[[#This Row],[_DoneTo]]+1,Tasks[[#This Row],[Start]])))</f>
        <v>0</v>
      </c>
      <c r="GX123" s="91" t="n">
        <f aca="false">IF(Tasks[[#This Row],[_RemFrom]]=0,0,Tasks[[#This Row],[Finish]])</f>
        <v>0</v>
      </c>
      <c r="GY123" s="90" t="b">
        <f aca="false">IF(Tasks[[#This Row],[Task Name]]="",FALSE(),OR(NOT(BaselineSet),N(Tasks[[#This Row],[Baseline Start]])&gt;0))</f>
        <v>0</v>
      </c>
      <c r="GZ12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3" s="92" t="str">
        <f aca="false">IF(Tasks[[#This Row],[_IsLeaf]]=1,Tasks[[#This Row],[_Row]],"")</f>
        <v/>
      </c>
      <c r="HD123" s="92" t="str">
        <f aca="false">IFERROR(INDEX(Tasks[UID],SMALL(Tasks[_PickKey],Tasks[[#This Row],[_Row]]))&amp;" "&amp;INDEX(Tasks[Task Name],SMALL(Tasks[_PickKey],Tasks[[#This Row],[_Row]])),"")</f>
        <v/>
      </c>
      <c r="HE123" s="43" t="str">
        <f aca="false">IF(Tasks[[#This Row],[Task Name]]="","",IF(Tasks[[#This Row],[_IsSummary]],NETWORKDAYS.INTL(Tasks[[#This Row],[Start]],Tasks[[#This Row],[Finish]],WorkWeek,Holidays),N(Tasks[[#This Row],[_Days]])))</f>
        <v/>
      </c>
      <c r="HF123" s="43" t="n">
        <f aca="false">IF(Tasks[[#This Row],[Expected]]="",0,((Tasks[[#This Row],[Pessimistic]]-Tasks[[#This Row],[Optimistic]])/6)^2)</f>
        <v>0</v>
      </c>
      <c r="HG123" s="43" t="n">
        <f aca="false">IF(Tasks[[#This Row],[Expected]]="",0,Tasks[[#This Row],[Expected]]-N(Tasks[[#This Row],[_Days]]))</f>
        <v>0</v>
      </c>
    </row>
    <row r="124" customFormat="false" ht="15" hidden="false" customHeight="false" outlineLevel="0" collapsed="false">
      <c r="A124" s="21" t="str">
        <f aca="false">IF(Tasks[[#This Row],[Task Name]]="","",COUNTA(Tasks[[#Headers],[Task Name]]:Tasks[[#This Row],[Task Name]])-1)</f>
        <v/>
      </c>
      <c r="B124" s="22" t="n">
        <v>132</v>
      </c>
      <c r="C124" s="22"/>
      <c r="D124" s="23"/>
      <c r="E124" s="22"/>
      <c r="F124" s="23"/>
      <c r="G124" s="22"/>
      <c r="H124" s="22"/>
      <c r="I124" s="23"/>
      <c r="J124" s="22"/>
      <c r="K124" s="22"/>
      <c r="L124" s="23"/>
      <c r="M124" s="22"/>
      <c r="N124" s="22"/>
      <c r="O124" s="23"/>
      <c r="P124" s="22"/>
      <c r="Q124" s="22"/>
      <c r="R124" s="23"/>
      <c r="S124" s="23"/>
      <c r="T124" s="84"/>
      <c r="U124" s="23"/>
      <c r="V124" s="84"/>
      <c r="W124" s="23"/>
      <c r="X124" s="84"/>
      <c r="Y124" s="23"/>
      <c r="Z124" s="84"/>
      <c r="AA124" s="23"/>
      <c r="AB124" s="23"/>
      <c r="AC124" s="7"/>
      <c r="AD124" s="7"/>
      <c r="AE124" s="63" t="str">
        <f aca="false">IF(Tasks[[#This Row],[Task Name]]="","",IF(Tasks[[#This Row],[_IsSummary]],MIN(INDEX(Tasks[_ShownFcstStart],Tasks[[#This Row],[_Row]]+1):INDEX(Tasks[_ShownFcstStart],Tasks[[#This Row],[_Row]]+Tasks[[#This Row],[_Descendants]])),Tasks[[#This Row],[_ShownFcstStart]]))</f>
        <v/>
      </c>
      <c r="AF124" s="63" t="str">
        <f aca="false">IF(Tasks[[#This Row],[Task Name]]="","",IF(Tasks[[#This Row],[_IsSummary]],MAX(INDEX(Tasks[_ShownFcstFinish],Tasks[[#This Row],[_Row]]+1):INDEX(Tasks[_ShownFcstFinish],Tasks[[#This Row],[_Row]]+Tasks[[#This Row],[_Descendants]])),Tasks[[#This Row],[_ShownFcstFinish]]))</f>
        <v/>
      </c>
      <c r="AG124" s="21" t="str">
        <f aca="false">""</f>
        <v/>
      </c>
      <c r="AH124" s="23"/>
      <c r="AI1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4" s="7"/>
      <c r="AK124" s="22"/>
      <c r="AL124" s="23"/>
      <c r="AM124" s="7"/>
      <c r="AN124" s="47" t="str">
        <f aca="false">IF(Tasks[[#This Row],[Task Name]]="","",IF(Tasks[[#This Row],[Finish]]&gt;=Tasks[[#This Row],[Planned Finish]],NETWORKDAYS.INTL(Tasks[[#This Row],[Planned Finish]],Tasks[[#This Row],[Finish]],WorkWeek,Holidays)-1,1-NETWORKDAYS.INTL(Tasks[[#This Row],[Finish]],Tasks[[#This Row],[Planned Finish]],WorkWeek,Holidays)))</f>
        <v/>
      </c>
      <c r="AO124" s="21" t="str">
        <f aca="false">IF(Tasks[[#This Row],[Task Name]]="","",IF(Tasks[[#This Row],[Progress]]&gt;=1,"Complete",IF(OR(N(Tasks[[#This Row],[Actual Start]])&gt;0,Tasks[[#This Row],[Progress]]&gt;0),IF(Tasks[[#This Row],[Finish Var]]&gt;0,"Behind","In Progress"),IF(Tasks[[#This Row],[Planned Start]]&lt;StatusDate,"Late Start","Not Started"))))</f>
        <v/>
      </c>
      <c r="AP124" s="21" t="str">
        <f aca="false">IF(Tasks[[#This Row],[Task Name]]="","",IF(IF(Tasks[[#This Row],[_IsSummary]],COUNTIF(INDEX(Tasks[_LeafCritical],Tasks[[#This Row],[_Row]]+1):INDEX(Tasks[_LeafCritical],Tasks[[#This Row],[_Row]]+Tasks[[#This Row],[_Descendants]]),TRUE())&gt;0,Tasks[[#This Row],[_LeafCritical]]),"Yes",""))</f>
        <v/>
      </c>
      <c r="AQ124" s="63" t="str">
        <f aca="false">IF(Tasks[[#This Row],[Task Name]]="","",IF(N(Tasks[[#This Row],[Baseline Start]])&gt;0,Tasks[[#This Row],[Baseline Start]],Tasks[[#This Row],[_CalcStart]]))</f>
        <v/>
      </c>
      <c r="AR124" s="63" t="str">
        <f aca="false">IF(Tasks[[#This Row],[Task Name]]="","",IF(N(Tasks[[#This Row],[Baseline Finish]])&gt;0,Tasks[[#This Row],[Baseline Finish]],Tasks[[#This Row],[_CalcFinish]]))</f>
        <v/>
      </c>
      <c r="AS124" s="47" t="str">
        <f aca="false">IF(Tasks[[#This Row],[Task Name]]="","",IF(Tasks[[#This Row],[Start]]&gt;=Tasks[[#This Row],[Planned Start]],NETWORKDAYS.INTL(Tasks[[#This Row],[Planned Start]],Tasks[[#This Row],[Start]],WorkWeek,Holidays)-1,1-NETWORKDAYS.INTL(Tasks[[#This Row],[Start]],Tasks[[#This Row],[Planned Start]],WorkWeek,Holidays)))</f>
        <v/>
      </c>
      <c r="AT124" s="63" t="str">
        <f aca="false">IF(Tasks[[#This Row],[Task Name]]="","",IF(Tasks[[#This Row],[_IsSummary]],MIN(INDEX(Tasks[_LeafLateStart],Tasks[[#This Row],[_Row]]+1):INDEX(Tasks[_LeafLateStart],Tasks[[#This Row],[_Row]]+Tasks[[#This Row],[_Descendants]])),Tasks[[#This Row],[_LeafLateStart]]))</f>
        <v/>
      </c>
      <c r="AU124" s="63" t="str">
        <f aca="false">IF(Tasks[[#This Row],[Task Name]]="","",IF(Tasks[[#This Row],[_IsSummary]],MAX(INDEX(Tasks[_LeafLateFinish],Tasks[[#This Row],[_Row]]+1):INDEX(Tasks[_LeafLateFinish],Tasks[[#This Row],[_Row]]+Tasks[[#This Row],[_Descendants]])),Tasks[[#This Row],[_LeafLateFinish]]))</f>
        <v/>
      </c>
      <c r="AV124" s="47" t="str">
        <f aca="false">IF(Tasks[[#This Row],[Task Name]]="","",IF(Tasks[[#This Row],[_IsSummary]],MIN(INDEX(Tasks[_LeafTotalSlack],Tasks[[#This Row],[_Row]]+1):INDEX(Tasks[_LeafTotalSlack],Tasks[[#This Row],[_Row]]+Tasks[[#This Row],[_Descendants]])),Tasks[[#This Row],[_LeafTotalSlack]]))</f>
        <v/>
      </c>
      <c r="AW1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5"/>
      <c r="BA12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1" t="str">
        <f aca="false">IF(Tasks[[#This Row],[Task Name]]="","",IF(Tasks[[#This Row],[_Level]]&lt;=OutlineShowLevel,"Yes","No"))</f>
        <v/>
      </c>
      <c r="BE124" s="86" t="str">
        <f aca="false">IF(Tasks[[#This Row],[Task Name]]="","",IF(Tasks[[#This Row],[_IsSummary]],SUM(INDEX(Tasks[_LeafTotalWork],Tasks[[#This Row],[_Row]]+1):INDEX(Tasks[_LeafTotalWork],Tasks[[#This Row],[_Row]]+Tasks[[#This Row],[_Descendants]])),Tasks[[#This Row],[_LeafTotalWork]]))</f>
        <v/>
      </c>
      <c r="BF124" s="23"/>
      <c r="BG1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4" s="21" t="str">
        <f aca="false">""</f>
        <v/>
      </c>
      <c r="BI124" s="87"/>
      <c r="BJ124" s="22"/>
      <c r="BK124" s="47" t="str">
        <f aca="false">IF(OR(Tasks[[#This Row],[Task Name]]="",Tasks[[#This Row],[Baseline Duration]]=""),"",Tasks[[#This Row],[_SpanDays]]-N(Tasks[[#This Row],[Baseline Duration]]))</f>
        <v/>
      </c>
      <c r="BL124" s="86" t="str">
        <f aca="false">IF(OR(Tasks[[#This Row],[Task Name]]="",Tasks[[#This Row],[Baseline Work]]=""),"",Tasks[[#This Row],[Work]]-N(Tasks[[#This Row],[Baseline Work]]))</f>
        <v/>
      </c>
      <c r="BM124" s="63" t="str">
        <f aca="false">IF(Tasks[[#This Row],[Task Name]]="","",IF(OR(TakeBaseline="Yes",N(Tasks[[#This Row],[Baseline Start]])=0),Tasks[[#This Row],[Start]],Tasks[[#This Row],[Baseline Start]]))</f>
        <v/>
      </c>
      <c r="BN124" s="63" t="str">
        <f aca="false">IF(Tasks[[#This Row],[Task Name]]="","",IF(OR(TakeBaseline="Yes",N(Tasks[[#This Row],[Baseline Finish]])=0),Tasks[[#This Row],[Finish]],Tasks[[#This Row],[Baseline Finish]]))</f>
        <v/>
      </c>
      <c r="BO124" s="21" t="str">
        <f aca="false">IF(Tasks[[#This Row],[Task Name]]="","",IF(OR(TakeBaseline="Yes",N(Tasks[[#This Row],[Baseline Duration]])=0),Tasks[[#This Row],[_SpanDays]],Tasks[[#This Row],[Baseline Duration]]))</f>
        <v/>
      </c>
      <c r="BP124" s="86" t="str">
        <f aca="false">IF(Tasks[[#This Row],[Task Name]]="","",IF(OR(TakeBaseline="Yes",N(Tasks[[#This Row],[Baseline Work]])=0),Tasks[[#This Row],[Work]],Tasks[[#This Row],[Baseline Work]]))</f>
        <v/>
      </c>
      <c r="BQ124" s="7"/>
      <c r="BR124" s="7"/>
      <c r="BS124" s="22"/>
      <c r="BT124" s="88"/>
      <c r="BU124" s="23"/>
      <c r="BV124" s="23"/>
      <c r="BW124" s="23"/>
      <c r="BX124" s="89" t="str">
        <f aca="false">IF(AND(Tasks[[#This Row],[_IsLeaf]]=1,ISNUMBER(Tasks[[#This Row],[Optimistic]]),ISNUMBER(Tasks[[#This Row],[Pessimistic]])),ROUND((Tasks[[#This Row],[Optimistic]]+4*N(Tasks[[#This Row],[_Days]])+Tasks[[#This Row],[Pessimistic]])/6,1),"")</f>
        <v/>
      </c>
      <c r="BY124" s="87"/>
      <c r="BZ124" s="87"/>
      <c r="CA124" s="22"/>
      <c r="CB124" s="43" t="str">
        <f aca="false">IF(Tasks[[#This Row],[Task Name]]="","",MAX(1,N(Tasks[[#This Row],[Level]])))</f>
        <v/>
      </c>
      <c r="CC124" s="43" t="n">
        <f aca="false">ROW()-ROW(Tasks[[#Headers],[ID]])</f>
        <v>119</v>
      </c>
      <c r="CD124" s="43" t="n">
        <f aca="false">IF(OR(Tasks[[#This Row],[Task Name]]="",Tasks[[#This Row],[_Level]]&lt;=1),0,IFERROR(LOOKUP(2,1/(Tasks[[#Headers],[_Level]]:Tasks[[#This Row],[_Level]]=Tasks[[#This Row],[_Level]]-1),ROW(Tasks[[#Headers],[_Level]]:Tasks[[#This Row],[_Level]])),0))</f>
        <v>0</v>
      </c>
      <c r="CE124" s="43" t="n">
        <f aca="false">IFERROR(N(INDEX(Tasks[_Level],Tasks[[#This Row],[_Row]]+1)),0)</f>
        <v>0</v>
      </c>
      <c r="CF124" s="90" t="b">
        <f aca="false">AND(Tasks[[#This Row],[Task Name]]&lt;&gt;"",Tasks[[#This Row],[_NextLevel]]&gt;Tasks[[#This Row],[_Level]])</f>
        <v>0</v>
      </c>
      <c r="CG124" s="43" t="n">
        <f aca="false">IF(Tasks[[#This Row],[_IsSummary]],COUNTIF(Tasks[WBS],Tasks[[#This Row],[WBS]]&amp;".*"),0)</f>
        <v>0</v>
      </c>
      <c r="CH124" s="43" t="n">
        <f aca="false">IF(AND(Tasks[[#This Row],[Task Name]]&lt;&gt;"",NOT(Tasks[[#This Row],[_IsSummary]])),1,0)</f>
        <v>0</v>
      </c>
      <c r="CI124" s="43" t="n">
        <f aca="false">IF(N(Tasks[[#This Row],[_Pred1UID]])=0,0,IFERROR(MATCH(Tasks[[#This Row],[_Pred1UID]],Tasks[UID],0),-1))</f>
        <v>0</v>
      </c>
      <c r="CJ124" s="43" t="n">
        <f aca="false">IF(N(Tasks[[#This Row],[_Pred2UID]])=0,0,IFERROR(MATCH(Tasks[[#This Row],[_Pred2UID]],Tasks[UID],0),-1))</f>
        <v>0</v>
      </c>
      <c r="CK124" s="43" t="n">
        <f aca="false">IF(N(Tasks[[#This Row],[_Pred3UID]])=0,0,IFERROR(MATCH(Tasks[[#This Row],[_Pred3UID]],Tasks[UID],0),-1))</f>
        <v>0</v>
      </c>
      <c r="CL124" s="43" t="n">
        <f aca="false">IF(N(Tasks[[#This Row],[_Pred4UID]])=0,0,IFERROR(MATCH(Tasks[[#This Row],[_Pred4UID]],Tasks[UID],0),-1))</f>
        <v>0</v>
      </c>
      <c r="CM12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4" s="91" t="n">
        <f aca="false">IF(OR(Tasks[[#This Row],[_ConstraintCode]]=2,Tasks[[#This Row],[_ConstraintCode]]=3,Tasks[[#This Row],[_ConstraintCode]]=4,Tasks[[#This Row],[_ConstraintCode]]=6),Tasks[[#This Row],[_ConstraintStart]],0)</f>
        <v>0</v>
      </c>
      <c r="CP124" s="91" t="n">
        <f aca="false">IF(OR(Tasks[[#This Row],[_ConstraintCode]]=2,Tasks[[#This Row],[_ConstraintCode]]=3,Tasks[[#This Row],[_ConstraintCode]]=5,Tasks[[#This Row],[_ConstraintCode]]=7),Tasks[[#This Row],[_ConstraintStart]],2958465)</f>
        <v>2958465</v>
      </c>
      <c r="CQ12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4" s="91" t="str">
        <f aca="false">IF(NOT(Tasks[[#This Row],[_IsLeaf]]=1),"",IF(N(Tasks[[#This Row],[_Days]])&lt;=0,Tasks[[#This Row],[_LeafCalcStart]],WORKDAY.INTL(Tasks[[#This Row],[_LeafCalcStart]],Tasks[[#This Row],[_Days]]-1,WorkWeek,Holidays)))</f>
        <v/>
      </c>
      <c r="CS12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4" s="43" t="str">
        <f aca="false">IF(Tasks[[#This Row],[_Predecessors]]="","",TRIM(MID(SUBSTITUTE(SUBSTITUTE(SUBSTITUTE(UPPER(Tasks[[#This Row],[_Predecessors]]),";",",")," ",""),",",REPT(" ",99)),1,99)))</f>
        <v/>
      </c>
      <c r="CV124" s="43" t="str">
        <f aca="false">IF(Tasks[[#This Row],[_Pred1Text]]="","",IFERROR(VALUE(LEFT(Tasks[[#This Row],[_Pred1Text]],MIN(FIND("F",Tasks[[#This Row],[_Pred1Text]]&amp;"F"),FIND("S",Tasks[[#This Row],[_Pred1Text]]&amp;"S"),FIND("+",Tasks[[#This Row],[_Pred1Text]]&amp;"+"),FIND("-",Tasks[[#This Row],[_Pred1Text]]&amp;"-"))-1)),""))</f>
        <v/>
      </c>
      <c r="CW12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4" s="43" t="str">
        <f aca="false">IF(Tasks[[#This Row],[_Pred1Text]]="","",TRIM(MID(SUBSTITUTE(SUBSTITUTE(SUBSTITUTE(UPPER(Tasks[[#This Row],[_Predecessors]]),";",",")," ",""),",",REPT(" ",99)),100,99)))</f>
        <v/>
      </c>
      <c r="CZ124" s="43" t="str">
        <f aca="false">IF(Tasks[[#This Row],[_Pred2Text]]="","",IFERROR(VALUE(LEFT(Tasks[[#This Row],[_Pred2Text]],MIN(FIND("F",Tasks[[#This Row],[_Pred2Text]]&amp;"F"),FIND("S",Tasks[[#This Row],[_Pred2Text]]&amp;"S"),FIND("+",Tasks[[#This Row],[_Pred2Text]]&amp;"+"),FIND("-",Tasks[[#This Row],[_Pred2Text]]&amp;"-"))-1)),""))</f>
        <v/>
      </c>
      <c r="DA12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4" s="43" t="str">
        <f aca="false">IF(Tasks[[#This Row],[_Pred2Text]]="","",TRIM(MID(SUBSTITUTE(SUBSTITUTE(SUBSTITUTE(UPPER(Tasks[[#This Row],[_Predecessors]]),";",",")," ",""),",",REPT(" ",99)),199,99)))</f>
        <v/>
      </c>
      <c r="DD124" s="43" t="str">
        <f aca="false">IF(Tasks[[#This Row],[_Pred3Text]]="","",IFERROR(VALUE(LEFT(Tasks[[#This Row],[_Pred3Text]],MIN(FIND("F",Tasks[[#This Row],[_Pred3Text]]&amp;"F"),FIND("S",Tasks[[#This Row],[_Pred3Text]]&amp;"S"),FIND("+",Tasks[[#This Row],[_Pred3Text]]&amp;"+"),FIND("-",Tasks[[#This Row],[_Pred3Text]]&amp;"-"))-1)),""))</f>
        <v/>
      </c>
      <c r="DE12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4" s="43" t="str">
        <f aca="false">IF(Tasks[[#This Row],[_Pred3Text]]="","",TRIM(MID(SUBSTITUTE(SUBSTITUTE(SUBSTITUTE(UPPER(Tasks[[#This Row],[_Predecessors]]),";",",")," ",""),",",REPT(" ",99)),298,99)))</f>
        <v/>
      </c>
      <c r="DH124" s="43" t="str">
        <f aca="false">IF(Tasks[[#This Row],[_Pred4Text]]="","",IFERROR(VALUE(LEFT(Tasks[[#This Row],[_Pred4Text]],MIN(FIND("F",Tasks[[#This Row],[_Pred4Text]]&amp;"F"),FIND("S",Tasks[[#This Row],[_Pred4Text]]&amp;"S"),FIND("+",Tasks[[#This Row],[_Pred4Text]]&amp;"+"),FIND("-",Tasks[[#This Row],[_Pred4Text]]&amp;"-"))-1)),""))</f>
        <v/>
      </c>
      <c r="DI12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4" s="43" t="str">
        <f aca="false">IF(OR(Tasks[[#This Row],[Task Name]]="",Tasks[[#This Row],[_Resources]]=""),"",TRIM(MID(SUBSTITUTE(Tasks[[#This Row],[_Resources]],",",REPT(" ",99)),1,99)))</f>
        <v/>
      </c>
      <c r="DL124" s="43" t="str">
        <f aca="false">IF(Tasks[[#This Row],[_Res1Text]]="","",TRIM(MID(SUBSTITUTE(Tasks[[#This Row],[_Resources]],",",REPT(" ",99)),100,99)))</f>
        <v/>
      </c>
      <c r="DM124" s="43" t="str">
        <f aca="false">IF(Tasks[[#This Row],[_Res2Text]]="","",TRIM(MID(SUBSTITUTE(Tasks[[#This Row],[_Resources]],",",REPT(" ",99)),199,99)))</f>
        <v/>
      </c>
      <c r="DN124" s="43" t="str">
        <f aca="false">IF(Tasks[[#This Row],[_Res3Text]]="","",TRIM(MID(SUBSTITUTE(Tasks[[#This Row],[_Resources]],",",REPT(" ",99)),298,99)))</f>
        <v/>
      </c>
      <c r="DO124" s="43" t="n">
        <f aca="false">IF(Tasks[[#This Row],[_Res1Text]]="",0,IFERROR(MATCH(TRIM(LEFT(Tasks[[#This Row],[_Res1Text]],FIND("[",Tasks[[#This Row],[_Res1Text]]&amp;"[")-1)),res_Name,0),IFERROR(MATCH(TRIM(LEFT(Tasks[[#This Row],[_Res1Text]],FIND("[",Tasks[[#This Row],[_Res1Text]]&amp;"[")-1)),res_Initials,0),0)))</f>
        <v>0</v>
      </c>
      <c r="DP124" s="43" t="n">
        <f aca="false">IF(Tasks[[#This Row],[_Res2Text]]="",0,IFERROR(MATCH(TRIM(LEFT(Tasks[[#This Row],[_Res2Text]],FIND("[",Tasks[[#This Row],[_Res2Text]]&amp;"[")-1)),res_Name,0),IFERROR(MATCH(TRIM(LEFT(Tasks[[#This Row],[_Res2Text]],FIND("[",Tasks[[#This Row],[_Res2Text]]&amp;"[")-1)),res_Initials,0),0)))</f>
        <v>0</v>
      </c>
      <c r="DQ124" s="43" t="n">
        <f aca="false">IF(Tasks[[#This Row],[_Res3Text]]="",0,IFERROR(MATCH(TRIM(LEFT(Tasks[[#This Row],[_Res3Text]],FIND("[",Tasks[[#This Row],[_Res3Text]]&amp;"[")-1)),res_Name,0),IFERROR(MATCH(TRIM(LEFT(Tasks[[#This Row],[_Res3Text]],FIND("[",Tasks[[#This Row],[_Res3Text]]&amp;"[")-1)),res_Initials,0),0)))</f>
        <v>0</v>
      </c>
      <c r="DR124" s="43" t="n">
        <f aca="false">IF(Tasks[[#This Row],[_Res4Text]]="",0,IFERROR(MATCH(TRIM(LEFT(Tasks[[#This Row],[_Res4Text]],FIND("[",Tasks[[#This Row],[_Res4Text]]&amp;"[")-1)),res_Name,0),IFERROR(MATCH(TRIM(LEFT(Tasks[[#This Row],[_Res4Text]],FIND("[",Tasks[[#This Row],[_Res4Text]]&amp;"[")-1)),res_Initials,0),0)))</f>
        <v>0</v>
      </c>
      <c r="DS124" s="43" t="str">
        <f aca="false">IF(Tasks[[#This Row],[_Res1Text]]="","",IF(Tasks[[#This Row],[_Res1Row]]&gt;0,INDEX(res_Name,Tasks[[#This Row],[_Res1Row]]),TRIM(LEFT(Tasks[[#This Row],[_Res1Text]],FIND("[",Tasks[[#This Row],[_Res1Text]]&amp;"[")-1))))</f>
        <v/>
      </c>
      <c r="DT12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4" s="43" t="n">
        <f aca="false">IF(NOT(Tasks[[#This Row],[_IsLeaf]]=1),0,(Tasks[[#This Row],[_Resource1]]&lt;&gt;"")+(Tasks[[#This Row],[_Res2]]&lt;&gt;"")+(Tasks[[#This Row],[_Res3]]&lt;&gt;"")+(Tasks[[#This Row],[_Res4]]&lt;&gt;""))</f>
        <v>0</v>
      </c>
      <c r="DV124" s="43" t="str">
        <f aca="false">IF(Tasks[[#This Row],[_Res2Text]]="","",IF(Tasks[[#This Row],[_Res2Row]]&gt;0,INDEX(res_Name,Tasks[[#This Row],[_Res2Row]]),TRIM(LEFT(Tasks[[#This Row],[_Res2Text]],FIND("[",Tasks[[#This Row],[_Res2Text]]&amp;"[")-1))))</f>
        <v/>
      </c>
      <c r="DW12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4" s="43" t="n">
        <f aca="false">IF(OR(NOT(Tasks[[#This Row],[_IsLeaf]]=1),Tasks[[#This Row],[_Res2Row]]=0),0,N(Tasks[[#This Row],[_Days]])*HoursPerDay*IF(Tasks[[#This Row],[_Res2Units]]="",DefaultUnits,Tasks[[#This Row],[_Res2Units]]))</f>
        <v>0</v>
      </c>
      <c r="DY124" s="43" t="n">
        <f aca="false">IF(AND(AND(Tasks[[#This Row],[_IsLeaf]]=1,Tasks[[#This Row],[_LeafTotalWork]]&gt;0),Tasks[[#This Row],[_Res2Work]]&gt;0),Tasks[[#This Row],[_Res2Work]]/(Tasks[[#This Row],[_FinishWorkday]]-Tasks[[#This Row],[_StartWorkday]]+1),0)</f>
        <v>0</v>
      </c>
      <c r="DZ124" s="43" t="n">
        <f aca="false">Tasks[[#This Row],[_Res2WorkPerWD]]*MAX(0,Tasks[[#This Row],[_StartWorkday]]-1)</f>
        <v>0</v>
      </c>
      <c r="EA124" s="43" t="n">
        <f aca="false">Tasks[[#This Row],[_Res2Work]]*Tasks[[#This Row],[_LeafProgress]]</f>
        <v>0</v>
      </c>
      <c r="EB124" s="43" t="str">
        <f aca="false">IF(Tasks[[#This Row],[_Res3Text]]="","",IF(Tasks[[#This Row],[_Res3Row]]&gt;0,INDEX(res_Name,Tasks[[#This Row],[_Res3Row]]),TRIM(LEFT(Tasks[[#This Row],[_Res3Text]],FIND("[",Tasks[[#This Row],[_Res3Text]]&amp;"[")-1))))</f>
        <v/>
      </c>
      <c r="EC12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4" s="43" t="n">
        <f aca="false">IF(OR(NOT(Tasks[[#This Row],[_IsLeaf]]=1),Tasks[[#This Row],[_Res3Row]]=0),0,N(Tasks[[#This Row],[_Days]])*HoursPerDay*IF(Tasks[[#This Row],[_Res3Units]]="",DefaultUnits,Tasks[[#This Row],[_Res3Units]]))</f>
        <v>0</v>
      </c>
      <c r="EE124" s="43" t="n">
        <f aca="false">IF(AND(AND(Tasks[[#This Row],[_IsLeaf]]=1,Tasks[[#This Row],[_LeafTotalWork]]&gt;0),Tasks[[#This Row],[_Res3Work]]&gt;0),Tasks[[#This Row],[_Res3Work]]/(Tasks[[#This Row],[_FinishWorkday]]-Tasks[[#This Row],[_StartWorkday]]+1),0)</f>
        <v>0</v>
      </c>
      <c r="EF124" s="43" t="n">
        <f aca="false">Tasks[[#This Row],[_Res3WorkPerWD]]*MAX(0,Tasks[[#This Row],[_StartWorkday]]-1)</f>
        <v>0</v>
      </c>
      <c r="EG124" s="43" t="n">
        <f aca="false">Tasks[[#This Row],[_Res3Work]]*Tasks[[#This Row],[_LeafProgress]]</f>
        <v>0</v>
      </c>
      <c r="EH124" s="43" t="str">
        <f aca="false">IF(Tasks[[#This Row],[_Res4Text]]="","",IF(Tasks[[#This Row],[_Res4Row]]&gt;0,INDEX(res_Name,Tasks[[#This Row],[_Res4Row]]),TRIM(LEFT(Tasks[[#This Row],[_Res4Text]],FIND("[",Tasks[[#This Row],[_Res4Text]]&amp;"[")-1))))</f>
        <v/>
      </c>
      <c r="EI12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4" s="43" t="n">
        <f aca="false">IF(OR(NOT(Tasks[[#This Row],[_IsLeaf]]=1),Tasks[[#This Row],[_Res4Row]]=0),0,N(Tasks[[#This Row],[_Days]])*HoursPerDay*IF(Tasks[[#This Row],[_Res4Units]]="",DefaultUnits,Tasks[[#This Row],[_Res4Units]]))</f>
        <v>0</v>
      </c>
      <c r="EK124" s="43" t="n">
        <f aca="false">IF(AND(AND(Tasks[[#This Row],[_IsLeaf]]=1,Tasks[[#This Row],[_LeafTotalWork]]&gt;0),Tasks[[#This Row],[_Res4Work]]&gt;0),Tasks[[#This Row],[_Res4Work]]/(Tasks[[#This Row],[_FinishWorkday]]-Tasks[[#This Row],[_StartWorkday]]+1),0)</f>
        <v>0</v>
      </c>
      <c r="EL124" s="43" t="n">
        <f aca="false">Tasks[[#This Row],[_Res4WorkPerWD]]*MAX(0,Tasks[[#This Row],[_StartWorkday]]-1)</f>
        <v>0</v>
      </c>
      <c r="EM124" s="43" t="n">
        <f aca="false">Tasks[[#This Row],[_Res4Work]]*Tasks[[#This Row],[_LeafProgress]]</f>
        <v>0</v>
      </c>
      <c r="EN124" s="43" t="n">
        <f aca="false">IF(ISNUMBER(Tasks[[#This Row],[% Complete]]),Tasks[[#This Row],[% Complete]],IF(Tasks[[#This Row],[Stage]]="",0,IFERROR(INDEX(stg_Pct,MATCH(Tasks[[#This Row],[Stage]],stg_Name,0)),0)))</f>
        <v>0</v>
      </c>
      <c r="EO124" s="43" t="n">
        <f aca="false">IF(NOT(Tasks[[#This Row],[_IsLeaf]]=1),0,IF(N(Tasks[[#This Row],[Actual Finish]])&gt;0,1,MIN(1,Tasks[[#This Row],[_Pct]])))</f>
        <v>0</v>
      </c>
      <c r="EP124" s="43" t="n">
        <f aca="false">IF(OR(NOT(Tasks[[#This Row],[_IsLeaf]]=1),Tasks[[#This Row],[_Res1Row]]=0),0,N(Tasks[[#This Row],[_Days]])*HoursPerDay*IF(Tasks[[#This Row],[_Units1]]="",DefaultUnits,Tasks[[#This Row],[_Units1]]))</f>
        <v>0</v>
      </c>
      <c r="EQ124" s="43" t="n">
        <f aca="false">Tasks[[#This Row],[_LeafWork]]+Tasks[[#This Row],[_Res2Work]]+Tasks[[#This Row],[_Res3Work]]+Tasks[[#This Row],[_Res4Work]]</f>
        <v>0</v>
      </c>
      <c r="ER12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4" s="43" t="n">
        <f aca="false">IF(NOT(Tasks[[#This Row],[_IsLeaf]]=1),0,MAX(_xlfn.MAXIFS(Tasks[_Row],Tasks[_Pred1UID],Tasks[[#This Row],[UID]]),_xlfn.MAXIFS(Tasks[_Row],Tasks[_Pred2UID],Tasks[[#This Row],[UID]]),_xlfn.MAXIFS(Tasks[_Row],Tasks[_Pred3UID],Tasks[[#This Row],[UID]]),_xlfn.MAXIFS(Tasks[_Row],Tasks[_Pred4UID],Tasks[[#This Row],[UID]])))</f>
        <v>0</v>
      </c>
      <c r="FA12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4" s="91" t="str">
        <f aca="false">IF(NOT(Tasks[[#This Row],[_IsLeaf]]=1),"",IF(N(Tasks[[#This Row],[_Days]])&lt;=0,Tasks[[#This Row],[_LeafLateFinish]],WORKDAY.INTL(Tasks[[#This Row],[_LeafLateFinish]],-(Tasks[[#This Row],[_Days]]-1),WorkWeek,Holidays)))</f>
        <v/>
      </c>
      <c r="FD12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4" s="90" t="b">
        <f aca="false">AND(Tasks[[#This Row],[_IsLeaf]]=1,Tasks[[#This Row],[_LeafProgress]]&lt;1,N(Tasks[[#This Row],[_LeafTotalSlack]])&lt;=CriticalSlackDays)</f>
        <v>0</v>
      </c>
      <c r="FF124" s="43" t="n">
        <f aca="false">IF(AND(Tasks[[#This Row],[_IsLeaf]]=1,Tasks[[#This Row],[_ConstraintCode]]=1,Tasks[[#This Row],[Mode]]&lt;&gt;"Manual",N(Tasks[[#This Row],[Actual Start]])=0),MAX(0,N(Tasks[[#This Row],[Free Slack]])),0)</f>
        <v>0</v>
      </c>
      <c r="FG124" s="91" t="str">
        <f aca="false">IF(NOT(Tasks[[#This Row],[_IsLeaf]]=1),"",IF(Tasks[[#This Row],[_AlapShift]]=0,Tasks[[#This Row],[_LeafCalcStart]],WORKDAY.INTL(Tasks[[#This Row],[_LeafCalcStart]],Tasks[[#This Row],[_AlapShift]],WorkWeek,Holidays)))</f>
        <v/>
      </c>
      <c r="FH124" s="91" t="str">
        <f aca="false">IF(NOT(Tasks[[#This Row],[_IsLeaf]]=1),"",IF(Tasks[[#This Row],[_AlapShift]]=0,Tasks[[#This Row],[_LeafCalcFinish]],WORKDAY.INTL(Tasks[[#This Row],[_LeafCalcFinish]],Tasks[[#This Row],[_AlapShift]],WorkWeek,Holidays)))</f>
        <v/>
      </c>
      <c r="FI124" s="91" t="str">
        <f aca="false">IF(NOT(Tasks[[#This Row],[_IsLeaf]]=1),"",IF(Tasks[[#This Row],[_AlapShift]]=0,Tasks[[#This Row],[_LeafFcstStart]],WORKDAY.INTL(Tasks[[#This Row],[_LeafFcstStart]],Tasks[[#This Row],[_AlapShift]],WorkWeek,Holidays)))</f>
        <v/>
      </c>
      <c r="FJ124" s="91" t="str">
        <f aca="false">IF(NOT(Tasks[[#This Row],[_IsLeaf]]=1),"",IF(Tasks[[#This Row],[_AlapShift]]=0,Tasks[[#This Row],[_LeafFcstFinish]],WORKDAY.INTL(Tasks[[#This Row],[_LeafFcstFinish]],Tasks[[#This Row],[_AlapShift]],WorkWeek,Holidays)))</f>
        <v/>
      </c>
      <c r="FK124" s="91" t="str">
        <f aca="false">IF(Tasks[[#This Row],[Task Name]]="","",IF(Tasks[[#This Row],[_IsSummary]],MIN(INDEX(Tasks[_ShownCalcStart],Tasks[[#This Row],[_Row]]+1):INDEX(Tasks[_ShownCalcStart],Tasks[[#This Row],[_Row]]+Tasks[[#This Row],[_Descendants]])),Tasks[[#This Row],[_ShownCalcStart]]))</f>
        <v/>
      </c>
      <c r="FL124" s="91" t="str">
        <f aca="false">IF(Tasks[[#This Row],[Task Name]]="","",IF(Tasks[[#This Row],[_IsSummary]],MAX(INDEX(Tasks[_ShownCalcFinish],Tasks[[#This Row],[_Row]]+1):INDEX(Tasks[_ShownCalcFinish],Tasks[[#This Row],[_Row]]+Tasks[[#This Row],[_Descendants]])),Tasks[[#This Row],[_ShownCalcFinish]]))</f>
        <v/>
      </c>
      <c r="FM12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4" s="43" t="n">
        <f aca="false">IF(AND(Tasks[[#This Row],[_IsLeaf]]=1,Tasks[[#This Row],[_LeafTotalWork]]&gt;0),NETWORKDAYS.INTL(ProjectStart,Tasks[[#This Row],[_ShownFcstStart]],WorkWeek,Holidays),0)</f>
        <v>0</v>
      </c>
      <c r="FZ124" s="43" t="n">
        <f aca="false">IF(AND(Tasks[[#This Row],[_IsLeaf]]=1,Tasks[[#This Row],[_LeafTotalWork]]&gt;0),MAX(Tasks[[#This Row],[_StartWorkday]],NETWORKDAYS.INTL(ProjectStart,Tasks[[#This Row],[_ShownFcstFinish]],WorkWeek,Holidays)),0)</f>
        <v>0</v>
      </c>
      <c r="GA124" s="43" t="n">
        <f aca="false">IF(AND(Tasks[[#This Row],[_IsLeaf]]=1,Tasks[[#This Row],[_LeafTotalWork]]&gt;0),Tasks[[#This Row],[_LeafWork]]/(Tasks[[#This Row],[_FinishWorkday]]-Tasks[[#This Row],[_StartWorkday]]+1),0)</f>
        <v>0</v>
      </c>
      <c r="GB124" s="43" t="n">
        <f aca="false">Tasks[[#This Row],[_WorkPerWorkday]]*(Tasks[[#This Row],[_StartWorkday]]-1)</f>
        <v>-0</v>
      </c>
      <c r="GC124" s="43" t="n">
        <f aca="false">IF(Tasks[[#This Row],[_IsLeaf]]=1,MAX(N(Tasks[[#This Row],[_Days]]),0.1),0)</f>
        <v>0</v>
      </c>
      <c r="GD124" s="43" t="n">
        <f aca="false">Tasks[[#This Row],[_WeightDur]]*Tasks[[#This Row],[_LeafProgress]]</f>
        <v>0</v>
      </c>
      <c r="GE124" s="43" t="n">
        <f aca="false">Tasks[[#This Row],[_WeightDur]]*Tasks[[#This Row],[_PlannedPct]]</f>
        <v>0</v>
      </c>
      <c r="GF12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4" s="43" t="str">
        <f aca="false">IF(AND(Tasks[[#This Row],[_IsLeaf]]=1,N(Tasks[[#This Row],[_Days]])=0,Tasks[[#This Row],[_LeafProgress]]&lt;1),Tasks[[#This Row],[_ShownFcstFinish]]+Tasks[[#This Row],[_Row]]/100000,"")</f>
        <v/>
      </c>
      <c r="GH12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4" s="43" t="str">
        <f aca="false">IF(Tasks[[#This Row],[Task Name]]="","",LEFT(Tasks[[#This Row],[WBS]],FIND(".",Tasks[[#This Row],[WBS]]&amp;".")-1))</f>
        <v/>
      </c>
      <c r="GJ124" s="43" t="str">
        <f aca="false">IF(AND(Tasks[[#This Row],[Task Name]]&lt;&gt;"",Tasks[[#This Row],[_Level]]=1),Tasks[[#This Row],[_Row]],"")</f>
        <v/>
      </c>
      <c r="GK124" s="43" t="str">
        <f aca="false">IF(AND(Tasks[[#This Row],[_IsLeaf]]=1,N(Tasks[[#This Row],[_Days]])=0),Tasks[[#This Row],[Planned Finish]]+Tasks[[#This Row],[_Row]]/100000,"")</f>
        <v/>
      </c>
      <c r="GL124" s="43" t="str">
        <f aca="false">IF(AND(Tasks[[#This Row],[_IsLeaf]]=1,Tasks[[#This Row],[_LeafProgress]]&lt;1,OR(N(Tasks[[#This Row],[Finish Var]])&gt;0,Tasks[[#This Row],[Status]]="Late Start")),MAX(0,Tasks[[#This Row],[Finish Var]])+1-Tasks[[#This Row],[_Row]]/1000000,"")</f>
        <v/>
      </c>
      <c r="GM124" s="43" t="str">
        <f aca="false">IF(AND(Tasks[[#This Row],[_IsLeaf]]=1,N(Tasks[[#This Row],[Actual Start]])=0,Tasks[[#This Row],[_ShownFcstStart]]&gt;=StatusDate,Tasks[[#This Row],[_ShownFcstStart]]&lt;=LookaheadEnd),Tasks[[#This Row],[_ShownFcstStart]]+Tasks[[#This Row],[_Row]]/100000,"")</f>
        <v/>
      </c>
      <c r="GN124" s="43" t="str">
        <f aca="false">IF(AND(Tasks[[#This Row],[_IsLeaf]]=1,Tasks[[#This Row],[_LeafProgress]]&lt;1,Tasks[[#This Row],[_ShownFcstFinish]]&gt;=StatusDate,Tasks[[#This Row],[_ShownFcstFinish]]&lt;=LookaheadEnd),Tasks[[#This Row],[_ShownFcstFinish]]+Tasks[[#This Row],[_Row]]/100000,"")</f>
        <v/>
      </c>
      <c r="GO124" s="43" t="str">
        <f aca="false">IF(Tasks[[#This Row],[_LeafCritical]],Tasks[[#This Row],[_ShownFcstStart]]+Tasks[[#This Row],[_Row]]/100000,"")</f>
        <v/>
      </c>
      <c r="GP124" s="43" t="n">
        <f aca="false">Tasks[[#This Row],[_LeafWork]]*Tasks[[#This Row],[_LeafProgress]]</f>
        <v>0</v>
      </c>
      <c r="GQ124" s="91" t="str">
        <f aca="false">IF(AND(Tasks[[#This Row],[_IsLeaf]]=1,Tasks[[#This Row],[_LeafProgress]]&gt;=1),IF(N(Tasks[[#This Row],[Actual Finish]])&gt;0,Tasks[[#This Row],[Actual Finish]],Tasks[[#This Row],[_ShownFcstFinish]]),"")</f>
        <v/>
      </c>
      <c r="GR124" s="43" t="n">
        <f aca="false">IF(Tasks[[#This Row],[_IsLeaf]]=1,N(Tasks[[#This Row],[Story Points]]),0)</f>
        <v>0</v>
      </c>
      <c r="GS124" s="43" t="str">
        <f aca="false">""</f>
        <v/>
      </c>
      <c r="GT124" s="90" t="b">
        <f aca="false">IF(Tasks[[#This Row],[Task Name]]="",FALSE(),AND(Tasks[[#This Row],[_IsLeaf]]=1,N(Tasks[[#This Row],[_Days]])=0))</f>
        <v>0</v>
      </c>
      <c r="GU124" s="91" t="n">
        <f aca="false">IF(Tasks[[#This Row],[Task Name]]="",0,IF(AND(Tasks[[#This Row],[_IsLeaf]]=1,NOT(Tasks[[#This Row],[_IsMilestone]]),N(Tasks[[#This Row],[Progress]])&gt;0),Tasks[[#This Row],[Start]],0))</f>
        <v>0</v>
      </c>
      <c r="GV124" s="91" t="n">
        <f aca="false">IF(Tasks[[#This Row],[_DoneFrom]]=0,0,IF(Tasks[[#This Row],[Progress]]&gt;=1,Tasks[[#This Row],[Finish]],MAX(Tasks[[#This Row],[_DoneFrom]],Tasks[[#This Row],[Start]]+ROUND((Tasks[[#This Row],[Finish]]-Tasks[[#This Row],[Start]]+1)*Tasks[[#This Row],[Progress]],0)-1)))</f>
        <v>0</v>
      </c>
      <c r="GW124" s="91" t="n">
        <f aca="false">IF(Tasks[[#This Row],[Task Name]]="",0,IF(OR(NOT(Tasks[[#This Row],[_IsLeaf]]=1),Tasks[[#This Row],[_IsMilestone]],N(Tasks[[#This Row],[Progress]])&gt;=1),0,IF(Tasks[[#This Row],[_DoneTo]]&gt;0,Tasks[[#This Row],[_DoneTo]]+1,Tasks[[#This Row],[Start]])))</f>
        <v>0</v>
      </c>
      <c r="GX124" s="91" t="n">
        <f aca="false">IF(Tasks[[#This Row],[_RemFrom]]=0,0,Tasks[[#This Row],[Finish]])</f>
        <v>0</v>
      </c>
      <c r="GY124" s="90" t="b">
        <f aca="false">IF(Tasks[[#This Row],[Task Name]]="",FALSE(),OR(NOT(BaselineSet),N(Tasks[[#This Row],[Baseline Start]])&gt;0))</f>
        <v>0</v>
      </c>
      <c r="GZ12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4" s="92" t="str">
        <f aca="false">IF(Tasks[[#This Row],[_IsLeaf]]=1,Tasks[[#This Row],[_Row]],"")</f>
        <v/>
      </c>
      <c r="HD124" s="92" t="str">
        <f aca="false">IFERROR(INDEX(Tasks[UID],SMALL(Tasks[_PickKey],Tasks[[#This Row],[_Row]]))&amp;" "&amp;INDEX(Tasks[Task Name],SMALL(Tasks[_PickKey],Tasks[[#This Row],[_Row]])),"")</f>
        <v/>
      </c>
      <c r="HE124" s="43" t="str">
        <f aca="false">IF(Tasks[[#This Row],[Task Name]]="","",IF(Tasks[[#This Row],[_IsSummary]],NETWORKDAYS.INTL(Tasks[[#This Row],[Start]],Tasks[[#This Row],[Finish]],WorkWeek,Holidays),N(Tasks[[#This Row],[_Days]])))</f>
        <v/>
      </c>
      <c r="HF124" s="43" t="n">
        <f aca="false">IF(Tasks[[#This Row],[Expected]]="",0,((Tasks[[#This Row],[Pessimistic]]-Tasks[[#This Row],[Optimistic]])/6)^2)</f>
        <v>0</v>
      </c>
      <c r="HG124" s="43" t="n">
        <f aca="false">IF(Tasks[[#This Row],[Expected]]="",0,Tasks[[#This Row],[Expected]]-N(Tasks[[#This Row],[_Days]]))</f>
        <v>0</v>
      </c>
    </row>
    <row r="125" customFormat="false" ht="15" hidden="false" customHeight="false" outlineLevel="0" collapsed="false">
      <c r="A125" s="21" t="str">
        <f aca="false">IF(Tasks[[#This Row],[Task Name]]="","",COUNTA(Tasks[[#Headers],[Task Name]]:Tasks[[#This Row],[Task Name]])-1)</f>
        <v/>
      </c>
      <c r="B125" s="22" t="n">
        <v>133</v>
      </c>
      <c r="C125" s="22"/>
      <c r="D125" s="23"/>
      <c r="E125" s="22"/>
      <c r="F125" s="23"/>
      <c r="G125" s="22"/>
      <c r="H125" s="22"/>
      <c r="I125" s="23"/>
      <c r="J125" s="22"/>
      <c r="K125" s="22"/>
      <c r="L125" s="23"/>
      <c r="M125" s="22"/>
      <c r="N125" s="22"/>
      <c r="O125" s="23"/>
      <c r="P125" s="22"/>
      <c r="Q125" s="22"/>
      <c r="R125" s="23"/>
      <c r="S125" s="23"/>
      <c r="T125" s="84"/>
      <c r="U125" s="23"/>
      <c r="V125" s="84"/>
      <c r="W125" s="23"/>
      <c r="X125" s="84"/>
      <c r="Y125" s="23"/>
      <c r="Z125" s="84"/>
      <c r="AA125" s="23"/>
      <c r="AB125" s="23"/>
      <c r="AC125" s="7"/>
      <c r="AD125" s="7"/>
      <c r="AE125" s="63" t="str">
        <f aca="false">IF(Tasks[[#This Row],[Task Name]]="","",IF(Tasks[[#This Row],[_IsSummary]],MIN(INDEX(Tasks[_ShownFcstStart],Tasks[[#This Row],[_Row]]+1):INDEX(Tasks[_ShownFcstStart],Tasks[[#This Row],[_Row]]+Tasks[[#This Row],[_Descendants]])),Tasks[[#This Row],[_ShownFcstStart]]))</f>
        <v/>
      </c>
      <c r="AF125" s="63" t="str">
        <f aca="false">IF(Tasks[[#This Row],[Task Name]]="","",IF(Tasks[[#This Row],[_IsSummary]],MAX(INDEX(Tasks[_ShownFcstFinish],Tasks[[#This Row],[_Row]]+1):INDEX(Tasks[_ShownFcstFinish],Tasks[[#This Row],[_Row]]+Tasks[[#This Row],[_Descendants]])),Tasks[[#This Row],[_ShownFcstFinish]]))</f>
        <v/>
      </c>
      <c r="AG125" s="21" t="str">
        <f aca="false">""</f>
        <v/>
      </c>
      <c r="AH125" s="23"/>
      <c r="AI1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5" s="7"/>
      <c r="AK125" s="22"/>
      <c r="AL125" s="23"/>
      <c r="AM125" s="7"/>
      <c r="AN125" s="47" t="str">
        <f aca="false">IF(Tasks[[#This Row],[Task Name]]="","",IF(Tasks[[#This Row],[Finish]]&gt;=Tasks[[#This Row],[Planned Finish]],NETWORKDAYS.INTL(Tasks[[#This Row],[Planned Finish]],Tasks[[#This Row],[Finish]],WorkWeek,Holidays)-1,1-NETWORKDAYS.INTL(Tasks[[#This Row],[Finish]],Tasks[[#This Row],[Planned Finish]],WorkWeek,Holidays)))</f>
        <v/>
      </c>
      <c r="AO125" s="21" t="str">
        <f aca="false">IF(Tasks[[#This Row],[Task Name]]="","",IF(Tasks[[#This Row],[Progress]]&gt;=1,"Complete",IF(OR(N(Tasks[[#This Row],[Actual Start]])&gt;0,Tasks[[#This Row],[Progress]]&gt;0),IF(Tasks[[#This Row],[Finish Var]]&gt;0,"Behind","In Progress"),IF(Tasks[[#This Row],[Planned Start]]&lt;StatusDate,"Late Start","Not Started"))))</f>
        <v/>
      </c>
      <c r="AP125" s="21" t="str">
        <f aca="false">IF(Tasks[[#This Row],[Task Name]]="","",IF(IF(Tasks[[#This Row],[_IsSummary]],COUNTIF(INDEX(Tasks[_LeafCritical],Tasks[[#This Row],[_Row]]+1):INDEX(Tasks[_LeafCritical],Tasks[[#This Row],[_Row]]+Tasks[[#This Row],[_Descendants]]),TRUE())&gt;0,Tasks[[#This Row],[_LeafCritical]]),"Yes",""))</f>
        <v/>
      </c>
      <c r="AQ125" s="63" t="str">
        <f aca="false">IF(Tasks[[#This Row],[Task Name]]="","",IF(N(Tasks[[#This Row],[Baseline Start]])&gt;0,Tasks[[#This Row],[Baseline Start]],Tasks[[#This Row],[_CalcStart]]))</f>
        <v/>
      </c>
      <c r="AR125" s="63" t="str">
        <f aca="false">IF(Tasks[[#This Row],[Task Name]]="","",IF(N(Tasks[[#This Row],[Baseline Finish]])&gt;0,Tasks[[#This Row],[Baseline Finish]],Tasks[[#This Row],[_CalcFinish]]))</f>
        <v/>
      </c>
      <c r="AS125" s="47" t="str">
        <f aca="false">IF(Tasks[[#This Row],[Task Name]]="","",IF(Tasks[[#This Row],[Start]]&gt;=Tasks[[#This Row],[Planned Start]],NETWORKDAYS.INTL(Tasks[[#This Row],[Planned Start]],Tasks[[#This Row],[Start]],WorkWeek,Holidays)-1,1-NETWORKDAYS.INTL(Tasks[[#This Row],[Start]],Tasks[[#This Row],[Planned Start]],WorkWeek,Holidays)))</f>
        <v/>
      </c>
      <c r="AT125" s="63" t="str">
        <f aca="false">IF(Tasks[[#This Row],[Task Name]]="","",IF(Tasks[[#This Row],[_IsSummary]],MIN(INDEX(Tasks[_LeafLateStart],Tasks[[#This Row],[_Row]]+1):INDEX(Tasks[_LeafLateStart],Tasks[[#This Row],[_Row]]+Tasks[[#This Row],[_Descendants]])),Tasks[[#This Row],[_LeafLateStart]]))</f>
        <v/>
      </c>
      <c r="AU125" s="63" t="str">
        <f aca="false">IF(Tasks[[#This Row],[Task Name]]="","",IF(Tasks[[#This Row],[_IsSummary]],MAX(INDEX(Tasks[_LeafLateFinish],Tasks[[#This Row],[_Row]]+1):INDEX(Tasks[_LeafLateFinish],Tasks[[#This Row],[_Row]]+Tasks[[#This Row],[_Descendants]])),Tasks[[#This Row],[_LeafLateFinish]]))</f>
        <v/>
      </c>
      <c r="AV125" s="47" t="str">
        <f aca="false">IF(Tasks[[#This Row],[Task Name]]="","",IF(Tasks[[#This Row],[_IsSummary]],MIN(INDEX(Tasks[_LeafTotalSlack],Tasks[[#This Row],[_Row]]+1):INDEX(Tasks[_LeafTotalSlack],Tasks[[#This Row],[_Row]]+Tasks[[#This Row],[_Descendants]])),Tasks[[#This Row],[_LeafTotalSlack]]))</f>
        <v/>
      </c>
      <c r="AW1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5"/>
      <c r="BA12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1" t="str">
        <f aca="false">IF(Tasks[[#This Row],[Task Name]]="","",IF(Tasks[[#This Row],[_Level]]&lt;=OutlineShowLevel,"Yes","No"))</f>
        <v/>
      </c>
      <c r="BE125" s="86" t="str">
        <f aca="false">IF(Tasks[[#This Row],[Task Name]]="","",IF(Tasks[[#This Row],[_IsSummary]],SUM(INDEX(Tasks[_LeafTotalWork],Tasks[[#This Row],[_Row]]+1):INDEX(Tasks[_LeafTotalWork],Tasks[[#This Row],[_Row]]+Tasks[[#This Row],[_Descendants]])),Tasks[[#This Row],[_LeafTotalWork]]))</f>
        <v/>
      </c>
      <c r="BF125" s="23"/>
      <c r="BG1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5" s="21" t="str">
        <f aca="false">""</f>
        <v/>
      </c>
      <c r="BI125" s="87"/>
      <c r="BJ125" s="22"/>
      <c r="BK125" s="47" t="str">
        <f aca="false">IF(OR(Tasks[[#This Row],[Task Name]]="",Tasks[[#This Row],[Baseline Duration]]=""),"",Tasks[[#This Row],[_SpanDays]]-N(Tasks[[#This Row],[Baseline Duration]]))</f>
        <v/>
      </c>
      <c r="BL125" s="86" t="str">
        <f aca="false">IF(OR(Tasks[[#This Row],[Task Name]]="",Tasks[[#This Row],[Baseline Work]]=""),"",Tasks[[#This Row],[Work]]-N(Tasks[[#This Row],[Baseline Work]]))</f>
        <v/>
      </c>
      <c r="BM125" s="63" t="str">
        <f aca="false">IF(Tasks[[#This Row],[Task Name]]="","",IF(OR(TakeBaseline="Yes",N(Tasks[[#This Row],[Baseline Start]])=0),Tasks[[#This Row],[Start]],Tasks[[#This Row],[Baseline Start]]))</f>
        <v/>
      </c>
      <c r="BN125" s="63" t="str">
        <f aca="false">IF(Tasks[[#This Row],[Task Name]]="","",IF(OR(TakeBaseline="Yes",N(Tasks[[#This Row],[Baseline Finish]])=0),Tasks[[#This Row],[Finish]],Tasks[[#This Row],[Baseline Finish]]))</f>
        <v/>
      </c>
      <c r="BO125" s="21" t="str">
        <f aca="false">IF(Tasks[[#This Row],[Task Name]]="","",IF(OR(TakeBaseline="Yes",N(Tasks[[#This Row],[Baseline Duration]])=0),Tasks[[#This Row],[_SpanDays]],Tasks[[#This Row],[Baseline Duration]]))</f>
        <v/>
      </c>
      <c r="BP125" s="86" t="str">
        <f aca="false">IF(Tasks[[#This Row],[Task Name]]="","",IF(OR(TakeBaseline="Yes",N(Tasks[[#This Row],[Baseline Work]])=0),Tasks[[#This Row],[Work]],Tasks[[#This Row],[Baseline Work]]))</f>
        <v/>
      </c>
      <c r="BQ125" s="7"/>
      <c r="BR125" s="7"/>
      <c r="BS125" s="22"/>
      <c r="BT125" s="88"/>
      <c r="BU125" s="23"/>
      <c r="BV125" s="23"/>
      <c r="BW125" s="23"/>
      <c r="BX125" s="89" t="str">
        <f aca="false">IF(AND(Tasks[[#This Row],[_IsLeaf]]=1,ISNUMBER(Tasks[[#This Row],[Optimistic]]),ISNUMBER(Tasks[[#This Row],[Pessimistic]])),ROUND((Tasks[[#This Row],[Optimistic]]+4*N(Tasks[[#This Row],[_Days]])+Tasks[[#This Row],[Pessimistic]])/6,1),"")</f>
        <v/>
      </c>
      <c r="BY125" s="87"/>
      <c r="BZ125" s="87"/>
      <c r="CA125" s="22"/>
      <c r="CB125" s="43" t="str">
        <f aca="false">IF(Tasks[[#This Row],[Task Name]]="","",MAX(1,N(Tasks[[#This Row],[Level]])))</f>
        <v/>
      </c>
      <c r="CC125" s="43" t="n">
        <f aca="false">ROW()-ROW(Tasks[[#Headers],[ID]])</f>
        <v>120</v>
      </c>
      <c r="CD125" s="43" t="n">
        <f aca="false">IF(OR(Tasks[[#This Row],[Task Name]]="",Tasks[[#This Row],[_Level]]&lt;=1),0,IFERROR(LOOKUP(2,1/(Tasks[[#Headers],[_Level]]:Tasks[[#This Row],[_Level]]=Tasks[[#This Row],[_Level]]-1),ROW(Tasks[[#Headers],[_Level]]:Tasks[[#This Row],[_Level]])),0))</f>
        <v>0</v>
      </c>
      <c r="CE125" s="43" t="n">
        <f aca="false">IFERROR(N(INDEX(Tasks[_Level],Tasks[[#This Row],[_Row]]+1)),0)</f>
        <v>0</v>
      </c>
      <c r="CF125" s="90" t="b">
        <f aca="false">AND(Tasks[[#This Row],[Task Name]]&lt;&gt;"",Tasks[[#This Row],[_NextLevel]]&gt;Tasks[[#This Row],[_Level]])</f>
        <v>0</v>
      </c>
      <c r="CG125" s="43" t="n">
        <f aca="false">IF(Tasks[[#This Row],[_IsSummary]],COUNTIF(Tasks[WBS],Tasks[[#This Row],[WBS]]&amp;".*"),0)</f>
        <v>0</v>
      </c>
      <c r="CH125" s="43" t="n">
        <f aca="false">IF(AND(Tasks[[#This Row],[Task Name]]&lt;&gt;"",NOT(Tasks[[#This Row],[_IsSummary]])),1,0)</f>
        <v>0</v>
      </c>
      <c r="CI125" s="43" t="n">
        <f aca="false">IF(N(Tasks[[#This Row],[_Pred1UID]])=0,0,IFERROR(MATCH(Tasks[[#This Row],[_Pred1UID]],Tasks[UID],0),-1))</f>
        <v>0</v>
      </c>
      <c r="CJ125" s="43" t="n">
        <f aca="false">IF(N(Tasks[[#This Row],[_Pred2UID]])=0,0,IFERROR(MATCH(Tasks[[#This Row],[_Pred2UID]],Tasks[UID],0),-1))</f>
        <v>0</v>
      </c>
      <c r="CK125" s="43" t="n">
        <f aca="false">IF(N(Tasks[[#This Row],[_Pred3UID]])=0,0,IFERROR(MATCH(Tasks[[#This Row],[_Pred3UID]],Tasks[UID],0),-1))</f>
        <v>0</v>
      </c>
      <c r="CL125" s="43" t="n">
        <f aca="false">IF(N(Tasks[[#This Row],[_Pred4UID]])=0,0,IFERROR(MATCH(Tasks[[#This Row],[_Pred4UID]],Tasks[UID],0),-1))</f>
        <v>0</v>
      </c>
      <c r="CM12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5" s="91" t="n">
        <f aca="false">IF(OR(Tasks[[#This Row],[_ConstraintCode]]=2,Tasks[[#This Row],[_ConstraintCode]]=3,Tasks[[#This Row],[_ConstraintCode]]=4,Tasks[[#This Row],[_ConstraintCode]]=6),Tasks[[#This Row],[_ConstraintStart]],0)</f>
        <v>0</v>
      </c>
      <c r="CP125" s="91" t="n">
        <f aca="false">IF(OR(Tasks[[#This Row],[_ConstraintCode]]=2,Tasks[[#This Row],[_ConstraintCode]]=3,Tasks[[#This Row],[_ConstraintCode]]=5,Tasks[[#This Row],[_ConstraintCode]]=7),Tasks[[#This Row],[_ConstraintStart]],2958465)</f>
        <v>2958465</v>
      </c>
      <c r="CQ12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5" s="91" t="str">
        <f aca="false">IF(NOT(Tasks[[#This Row],[_IsLeaf]]=1),"",IF(N(Tasks[[#This Row],[_Days]])&lt;=0,Tasks[[#This Row],[_LeafCalcStart]],WORKDAY.INTL(Tasks[[#This Row],[_LeafCalcStart]],Tasks[[#This Row],[_Days]]-1,WorkWeek,Holidays)))</f>
        <v/>
      </c>
      <c r="CS12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5" s="43" t="str">
        <f aca="false">IF(Tasks[[#This Row],[_Predecessors]]="","",TRIM(MID(SUBSTITUTE(SUBSTITUTE(SUBSTITUTE(UPPER(Tasks[[#This Row],[_Predecessors]]),";",",")," ",""),",",REPT(" ",99)),1,99)))</f>
        <v/>
      </c>
      <c r="CV125" s="43" t="str">
        <f aca="false">IF(Tasks[[#This Row],[_Pred1Text]]="","",IFERROR(VALUE(LEFT(Tasks[[#This Row],[_Pred1Text]],MIN(FIND("F",Tasks[[#This Row],[_Pred1Text]]&amp;"F"),FIND("S",Tasks[[#This Row],[_Pred1Text]]&amp;"S"),FIND("+",Tasks[[#This Row],[_Pred1Text]]&amp;"+"),FIND("-",Tasks[[#This Row],[_Pred1Text]]&amp;"-"))-1)),""))</f>
        <v/>
      </c>
      <c r="CW12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5" s="43" t="str">
        <f aca="false">IF(Tasks[[#This Row],[_Pred1Text]]="","",TRIM(MID(SUBSTITUTE(SUBSTITUTE(SUBSTITUTE(UPPER(Tasks[[#This Row],[_Predecessors]]),";",",")," ",""),",",REPT(" ",99)),100,99)))</f>
        <v/>
      </c>
      <c r="CZ125" s="43" t="str">
        <f aca="false">IF(Tasks[[#This Row],[_Pred2Text]]="","",IFERROR(VALUE(LEFT(Tasks[[#This Row],[_Pred2Text]],MIN(FIND("F",Tasks[[#This Row],[_Pred2Text]]&amp;"F"),FIND("S",Tasks[[#This Row],[_Pred2Text]]&amp;"S"),FIND("+",Tasks[[#This Row],[_Pred2Text]]&amp;"+"),FIND("-",Tasks[[#This Row],[_Pred2Text]]&amp;"-"))-1)),""))</f>
        <v/>
      </c>
      <c r="DA12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5" s="43" t="str">
        <f aca="false">IF(Tasks[[#This Row],[_Pred2Text]]="","",TRIM(MID(SUBSTITUTE(SUBSTITUTE(SUBSTITUTE(UPPER(Tasks[[#This Row],[_Predecessors]]),";",",")," ",""),",",REPT(" ",99)),199,99)))</f>
        <v/>
      </c>
      <c r="DD125" s="43" t="str">
        <f aca="false">IF(Tasks[[#This Row],[_Pred3Text]]="","",IFERROR(VALUE(LEFT(Tasks[[#This Row],[_Pred3Text]],MIN(FIND("F",Tasks[[#This Row],[_Pred3Text]]&amp;"F"),FIND("S",Tasks[[#This Row],[_Pred3Text]]&amp;"S"),FIND("+",Tasks[[#This Row],[_Pred3Text]]&amp;"+"),FIND("-",Tasks[[#This Row],[_Pred3Text]]&amp;"-"))-1)),""))</f>
        <v/>
      </c>
      <c r="DE12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5" s="43" t="str">
        <f aca="false">IF(Tasks[[#This Row],[_Pred3Text]]="","",TRIM(MID(SUBSTITUTE(SUBSTITUTE(SUBSTITUTE(UPPER(Tasks[[#This Row],[_Predecessors]]),";",",")," ",""),",",REPT(" ",99)),298,99)))</f>
        <v/>
      </c>
      <c r="DH125" s="43" t="str">
        <f aca="false">IF(Tasks[[#This Row],[_Pred4Text]]="","",IFERROR(VALUE(LEFT(Tasks[[#This Row],[_Pred4Text]],MIN(FIND("F",Tasks[[#This Row],[_Pred4Text]]&amp;"F"),FIND("S",Tasks[[#This Row],[_Pred4Text]]&amp;"S"),FIND("+",Tasks[[#This Row],[_Pred4Text]]&amp;"+"),FIND("-",Tasks[[#This Row],[_Pred4Text]]&amp;"-"))-1)),""))</f>
        <v/>
      </c>
      <c r="DI12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5" s="43" t="str">
        <f aca="false">IF(OR(Tasks[[#This Row],[Task Name]]="",Tasks[[#This Row],[_Resources]]=""),"",TRIM(MID(SUBSTITUTE(Tasks[[#This Row],[_Resources]],",",REPT(" ",99)),1,99)))</f>
        <v/>
      </c>
      <c r="DL125" s="43" t="str">
        <f aca="false">IF(Tasks[[#This Row],[_Res1Text]]="","",TRIM(MID(SUBSTITUTE(Tasks[[#This Row],[_Resources]],",",REPT(" ",99)),100,99)))</f>
        <v/>
      </c>
      <c r="DM125" s="43" t="str">
        <f aca="false">IF(Tasks[[#This Row],[_Res2Text]]="","",TRIM(MID(SUBSTITUTE(Tasks[[#This Row],[_Resources]],",",REPT(" ",99)),199,99)))</f>
        <v/>
      </c>
      <c r="DN125" s="43" t="str">
        <f aca="false">IF(Tasks[[#This Row],[_Res3Text]]="","",TRIM(MID(SUBSTITUTE(Tasks[[#This Row],[_Resources]],",",REPT(" ",99)),298,99)))</f>
        <v/>
      </c>
      <c r="DO125" s="43" t="n">
        <f aca="false">IF(Tasks[[#This Row],[_Res1Text]]="",0,IFERROR(MATCH(TRIM(LEFT(Tasks[[#This Row],[_Res1Text]],FIND("[",Tasks[[#This Row],[_Res1Text]]&amp;"[")-1)),res_Name,0),IFERROR(MATCH(TRIM(LEFT(Tasks[[#This Row],[_Res1Text]],FIND("[",Tasks[[#This Row],[_Res1Text]]&amp;"[")-1)),res_Initials,0),0)))</f>
        <v>0</v>
      </c>
      <c r="DP125" s="43" t="n">
        <f aca="false">IF(Tasks[[#This Row],[_Res2Text]]="",0,IFERROR(MATCH(TRIM(LEFT(Tasks[[#This Row],[_Res2Text]],FIND("[",Tasks[[#This Row],[_Res2Text]]&amp;"[")-1)),res_Name,0),IFERROR(MATCH(TRIM(LEFT(Tasks[[#This Row],[_Res2Text]],FIND("[",Tasks[[#This Row],[_Res2Text]]&amp;"[")-1)),res_Initials,0),0)))</f>
        <v>0</v>
      </c>
      <c r="DQ125" s="43" t="n">
        <f aca="false">IF(Tasks[[#This Row],[_Res3Text]]="",0,IFERROR(MATCH(TRIM(LEFT(Tasks[[#This Row],[_Res3Text]],FIND("[",Tasks[[#This Row],[_Res3Text]]&amp;"[")-1)),res_Name,0),IFERROR(MATCH(TRIM(LEFT(Tasks[[#This Row],[_Res3Text]],FIND("[",Tasks[[#This Row],[_Res3Text]]&amp;"[")-1)),res_Initials,0),0)))</f>
        <v>0</v>
      </c>
      <c r="DR125" s="43" t="n">
        <f aca="false">IF(Tasks[[#This Row],[_Res4Text]]="",0,IFERROR(MATCH(TRIM(LEFT(Tasks[[#This Row],[_Res4Text]],FIND("[",Tasks[[#This Row],[_Res4Text]]&amp;"[")-1)),res_Name,0),IFERROR(MATCH(TRIM(LEFT(Tasks[[#This Row],[_Res4Text]],FIND("[",Tasks[[#This Row],[_Res4Text]]&amp;"[")-1)),res_Initials,0),0)))</f>
        <v>0</v>
      </c>
      <c r="DS125" s="43" t="str">
        <f aca="false">IF(Tasks[[#This Row],[_Res1Text]]="","",IF(Tasks[[#This Row],[_Res1Row]]&gt;0,INDEX(res_Name,Tasks[[#This Row],[_Res1Row]]),TRIM(LEFT(Tasks[[#This Row],[_Res1Text]],FIND("[",Tasks[[#This Row],[_Res1Text]]&amp;"[")-1))))</f>
        <v/>
      </c>
      <c r="DT12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5" s="43" t="n">
        <f aca="false">IF(NOT(Tasks[[#This Row],[_IsLeaf]]=1),0,(Tasks[[#This Row],[_Resource1]]&lt;&gt;"")+(Tasks[[#This Row],[_Res2]]&lt;&gt;"")+(Tasks[[#This Row],[_Res3]]&lt;&gt;"")+(Tasks[[#This Row],[_Res4]]&lt;&gt;""))</f>
        <v>0</v>
      </c>
      <c r="DV125" s="43" t="str">
        <f aca="false">IF(Tasks[[#This Row],[_Res2Text]]="","",IF(Tasks[[#This Row],[_Res2Row]]&gt;0,INDEX(res_Name,Tasks[[#This Row],[_Res2Row]]),TRIM(LEFT(Tasks[[#This Row],[_Res2Text]],FIND("[",Tasks[[#This Row],[_Res2Text]]&amp;"[")-1))))</f>
        <v/>
      </c>
      <c r="DW12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5" s="43" t="n">
        <f aca="false">IF(OR(NOT(Tasks[[#This Row],[_IsLeaf]]=1),Tasks[[#This Row],[_Res2Row]]=0),0,N(Tasks[[#This Row],[_Days]])*HoursPerDay*IF(Tasks[[#This Row],[_Res2Units]]="",DefaultUnits,Tasks[[#This Row],[_Res2Units]]))</f>
        <v>0</v>
      </c>
      <c r="DY125" s="43" t="n">
        <f aca="false">IF(AND(AND(Tasks[[#This Row],[_IsLeaf]]=1,Tasks[[#This Row],[_LeafTotalWork]]&gt;0),Tasks[[#This Row],[_Res2Work]]&gt;0),Tasks[[#This Row],[_Res2Work]]/(Tasks[[#This Row],[_FinishWorkday]]-Tasks[[#This Row],[_StartWorkday]]+1),0)</f>
        <v>0</v>
      </c>
      <c r="DZ125" s="43" t="n">
        <f aca="false">Tasks[[#This Row],[_Res2WorkPerWD]]*MAX(0,Tasks[[#This Row],[_StartWorkday]]-1)</f>
        <v>0</v>
      </c>
      <c r="EA125" s="43" t="n">
        <f aca="false">Tasks[[#This Row],[_Res2Work]]*Tasks[[#This Row],[_LeafProgress]]</f>
        <v>0</v>
      </c>
      <c r="EB125" s="43" t="str">
        <f aca="false">IF(Tasks[[#This Row],[_Res3Text]]="","",IF(Tasks[[#This Row],[_Res3Row]]&gt;0,INDEX(res_Name,Tasks[[#This Row],[_Res3Row]]),TRIM(LEFT(Tasks[[#This Row],[_Res3Text]],FIND("[",Tasks[[#This Row],[_Res3Text]]&amp;"[")-1))))</f>
        <v/>
      </c>
      <c r="EC12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5" s="43" t="n">
        <f aca="false">IF(OR(NOT(Tasks[[#This Row],[_IsLeaf]]=1),Tasks[[#This Row],[_Res3Row]]=0),0,N(Tasks[[#This Row],[_Days]])*HoursPerDay*IF(Tasks[[#This Row],[_Res3Units]]="",DefaultUnits,Tasks[[#This Row],[_Res3Units]]))</f>
        <v>0</v>
      </c>
      <c r="EE125" s="43" t="n">
        <f aca="false">IF(AND(AND(Tasks[[#This Row],[_IsLeaf]]=1,Tasks[[#This Row],[_LeafTotalWork]]&gt;0),Tasks[[#This Row],[_Res3Work]]&gt;0),Tasks[[#This Row],[_Res3Work]]/(Tasks[[#This Row],[_FinishWorkday]]-Tasks[[#This Row],[_StartWorkday]]+1),0)</f>
        <v>0</v>
      </c>
      <c r="EF125" s="43" t="n">
        <f aca="false">Tasks[[#This Row],[_Res3WorkPerWD]]*MAX(0,Tasks[[#This Row],[_StartWorkday]]-1)</f>
        <v>0</v>
      </c>
      <c r="EG125" s="43" t="n">
        <f aca="false">Tasks[[#This Row],[_Res3Work]]*Tasks[[#This Row],[_LeafProgress]]</f>
        <v>0</v>
      </c>
      <c r="EH125" s="43" t="str">
        <f aca="false">IF(Tasks[[#This Row],[_Res4Text]]="","",IF(Tasks[[#This Row],[_Res4Row]]&gt;0,INDEX(res_Name,Tasks[[#This Row],[_Res4Row]]),TRIM(LEFT(Tasks[[#This Row],[_Res4Text]],FIND("[",Tasks[[#This Row],[_Res4Text]]&amp;"[")-1))))</f>
        <v/>
      </c>
      <c r="EI12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5" s="43" t="n">
        <f aca="false">IF(OR(NOT(Tasks[[#This Row],[_IsLeaf]]=1),Tasks[[#This Row],[_Res4Row]]=0),0,N(Tasks[[#This Row],[_Days]])*HoursPerDay*IF(Tasks[[#This Row],[_Res4Units]]="",DefaultUnits,Tasks[[#This Row],[_Res4Units]]))</f>
        <v>0</v>
      </c>
      <c r="EK125" s="43" t="n">
        <f aca="false">IF(AND(AND(Tasks[[#This Row],[_IsLeaf]]=1,Tasks[[#This Row],[_LeafTotalWork]]&gt;0),Tasks[[#This Row],[_Res4Work]]&gt;0),Tasks[[#This Row],[_Res4Work]]/(Tasks[[#This Row],[_FinishWorkday]]-Tasks[[#This Row],[_StartWorkday]]+1),0)</f>
        <v>0</v>
      </c>
      <c r="EL125" s="43" t="n">
        <f aca="false">Tasks[[#This Row],[_Res4WorkPerWD]]*MAX(0,Tasks[[#This Row],[_StartWorkday]]-1)</f>
        <v>0</v>
      </c>
      <c r="EM125" s="43" t="n">
        <f aca="false">Tasks[[#This Row],[_Res4Work]]*Tasks[[#This Row],[_LeafProgress]]</f>
        <v>0</v>
      </c>
      <c r="EN125" s="43" t="n">
        <f aca="false">IF(ISNUMBER(Tasks[[#This Row],[% Complete]]),Tasks[[#This Row],[% Complete]],IF(Tasks[[#This Row],[Stage]]="",0,IFERROR(INDEX(stg_Pct,MATCH(Tasks[[#This Row],[Stage]],stg_Name,0)),0)))</f>
        <v>0</v>
      </c>
      <c r="EO125" s="43" t="n">
        <f aca="false">IF(NOT(Tasks[[#This Row],[_IsLeaf]]=1),0,IF(N(Tasks[[#This Row],[Actual Finish]])&gt;0,1,MIN(1,Tasks[[#This Row],[_Pct]])))</f>
        <v>0</v>
      </c>
      <c r="EP125" s="43" t="n">
        <f aca="false">IF(OR(NOT(Tasks[[#This Row],[_IsLeaf]]=1),Tasks[[#This Row],[_Res1Row]]=0),0,N(Tasks[[#This Row],[_Days]])*HoursPerDay*IF(Tasks[[#This Row],[_Units1]]="",DefaultUnits,Tasks[[#This Row],[_Units1]]))</f>
        <v>0</v>
      </c>
      <c r="EQ125" s="43" t="n">
        <f aca="false">Tasks[[#This Row],[_LeafWork]]+Tasks[[#This Row],[_Res2Work]]+Tasks[[#This Row],[_Res3Work]]+Tasks[[#This Row],[_Res4Work]]</f>
        <v>0</v>
      </c>
      <c r="ER12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5" s="43" t="n">
        <f aca="false">IF(NOT(Tasks[[#This Row],[_IsLeaf]]=1),0,MAX(_xlfn.MAXIFS(Tasks[_Row],Tasks[_Pred1UID],Tasks[[#This Row],[UID]]),_xlfn.MAXIFS(Tasks[_Row],Tasks[_Pred2UID],Tasks[[#This Row],[UID]]),_xlfn.MAXIFS(Tasks[_Row],Tasks[_Pred3UID],Tasks[[#This Row],[UID]]),_xlfn.MAXIFS(Tasks[_Row],Tasks[_Pred4UID],Tasks[[#This Row],[UID]])))</f>
        <v>0</v>
      </c>
      <c r="FA12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5" s="91" t="str">
        <f aca="false">IF(NOT(Tasks[[#This Row],[_IsLeaf]]=1),"",IF(N(Tasks[[#This Row],[_Days]])&lt;=0,Tasks[[#This Row],[_LeafLateFinish]],WORKDAY.INTL(Tasks[[#This Row],[_LeafLateFinish]],-(Tasks[[#This Row],[_Days]]-1),WorkWeek,Holidays)))</f>
        <v/>
      </c>
      <c r="FD12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5" s="90" t="b">
        <f aca="false">AND(Tasks[[#This Row],[_IsLeaf]]=1,Tasks[[#This Row],[_LeafProgress]]&lt;1,N(Tasks[[#This Row],[_LeafTotalSlack]])&lt;=CriticalSlackDays)</f>
        <v>0</v>
      </c>
      <c r="FF125" s="43" t="n">
        <f aca="false">IF(AND(Tasks[[#This Row],[_IsLeaf]]=1,Tasks[[#This Row],[_ConstraintCode]]=1,Tasks[[#This Row],[Mode]]&lt;&gt;"Manual",N(Tasks[[#This Row],[Actual Start]])=0),MAX(0,N(Tasks[[#This Row],[Free Slack]])),0)</f>
        <v>0</v>
      </c>
      <c r="FG125" s="91" t="str">
        <f aca="false">IF(NOT(Tasks[[#This Row],[_IsLeaf]]=1),"",IF(Tasks[[#This Row],[_AlapShift]]=0,Tasks[[#This Row],[_LeafCalcStart]],WORKDAY.INTL(Tasks[[#This Row],[_LeafCalcStart]],Tasks[[#This Row],[_AlapShift]],WorkWeek,Holidays)))</f>
        <v/>
      </c>
      <c r="FH125" s="91" t="str">
        <f aca="false">IF(NOT(Tasks[[#This Row],[_IsLeaf]]=1),"",IF(Tasks[[#This Row],[_AlapShift]]=0,Tasks[[#This Row],[_LeafCalcFinish]],WORKDAY.INTL(Tasks[[#This Row],[_LeafCalcFinish]],Tasks[[#This Row],[_AlapShift]],WorkWeek,Holidays)))</f>
        <v/>
      </c>
      <c r="FI125" s="91" t="str">
        <f aca="false">IF(NOT(Tasks[[#This Row],[_IsLeaf]]=1),"",IF(Tasks[[#This Row],[_AlapShift]]=0,Tasks[[#This Row],[_LeafFcstStart]],WORKDAY.INTL(Tasks[[#This Row],[_LeafFcstStart]],Tasks[[#This Row],[_AlapShift]],WorkWeek,Holidays)))</f>
        <v/>
      </c>
      <c r="FJ125" s="91" t="str">
        <f aca="false">IF(NOT(Tasks[[#This Row],[_IsLeaf]]=1),"",IF(Tasks[[#This Row],[_AlapShift]]=0,Tasks[[#This Row],[_LeafFcstFinish]],WORKDAY.INTL(Tasks[[#This Row],[_LeafFcstFinish]],Tasks[[#This Row],[_AlapShift]],WorkWeek,Holidays)))</f>
        <v/>
      </c>
      <c r="FK125" s="91" t="str">
        <f aca="false">IF(Tasks[[#This Row],[Task Name]]="","",IF(Tasks[[#This Row],[_IsSummary]],MIN(INDEX(Tasks[_ShownCalcStart],Tasks[[#This Row],[_Row]]+1):INDEX(Tasks[_ShownCalcStart],Tasks[[#This Row],[_Row]]+Tasks[[#This Row],[_Descendants]])),Tasks[[#This Row],[_ShownCalcStart]]))</f>
        <v/>
      </c>
      <c r="FL125" s="91" t="str">
        <f aca="false">IF(Tasks[[#This Row],[Task Name]]="","",IF(Tasks[[#This Row],[_IsSummary]],MAX(INDEX(Tasks[_ShownCalcFinish],Tasks[[#This Row],[_Row]]+1):INDEX(Tasks[_ShownCalcFinish],Tasks[[#This Row],[_Row]]+Tasks[[#This Row],[_Descendants]])),Tasks[[#This Row],[_ShownCalcFinish]]))</f>
        <v/>
      </c>
      <c r="FM12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5" s="43" t="n">
        <f aca="false">IF(AND(Tasks[[#This Row],[_IsLeaf]]=1,Tasks[[#This Row],[_LeafTotalWork]]&gt;0),NETWORKDAYS.INTL(ProjectStart,Tasks[[#This Row],[_ShownFcstStart]],WorkWeek,Holidays),0)</f>
        <v>0</v>
      </c>
      <c r="FZ125" s="43" t="n">
        <f aca="false">IF(AND(Tasks[[#This Row],[_IsLeaf]]=1,Tasks[[#This Row],[_LeafTotalWork]]&gt;0),MAX(Tasks[[#This Row],[_StartWorkday]],NETWORKDAYS.INTL(ProjectStart,Tasks[[#This Row],[_ShownFcstFinish]],WorkWeek,Holidays)),0)</f>
        <v>0</v>
      </c>
      <c r="GA125" s="43" t="n">
        <f aca="false">IF(AND(Tasks[[#This Row],[_IsLeaf]]=1,Tasks[[#This Row],[_LeafTotalWork]]&gt;0),Tasks[[#This Row],[_LeafWork]]/(Tasks[[#This Row],[_FinishWorkday]]-Tasks[[#This Row],[_StartWorkday]]+1),0)</f>
        <v>0</v>
      </c>
      <c r="GB125" s="43" t="n">
        <f aca="false">Tasks[[#This Row],[_WorkPerWorkday]]*(Tasks[[#This Row],[_StartWorkday]]-1)</f>
        <v>-0</v>
      </c>
      <c r="GC125" s="43" t="n">
        <f aca="false">IF(Tasks[[#This Row],[_IsLeaf]]=1,MAX(N(Tasks[[#This Row],[_Days]]),0.1),0)</f>
        <v>0</v>
      </c>
      <c r="GD125" s="43" t="n">
        <f aca="false">Tasks[[#This Row],[_WeightDur]]*Tasks[[#This Row],[_LeafProgress]]</f>
        <v>0</v>
      </c>
      <c r="GE125" s="43" t="n">
        <f aca="false">Tasks[[#This Row],[_WeightDur]]*Tasks[[#This Row],[_PlannedPct]]</f>
        <v>0</v>
      </c>
      <c r="GF12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5" s="43" t="str">
        <f aca="false">IF(AND(Tasks[[#This Row],[_IsLeaf]]=1,N(Tasks[[#This Row],[_Days]])=0,Tasks[[#This Row],[_LeafProgress]]&lt;1),Tasks[[#This Row],[_ShownFcstFinish]]+Tasks[[#This Row],[_Row]]/100000,"")</f>
        <v/>
      </c>
      <c r="GH12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5" s="43" t="str">
        <f aca="false">IF(Tasks[[#This Row],[Task Name]]="","",LEFT(Tasks[[#This Row],[WBS]],FIND(".",Tasks[[#This Row],[WBS]]&amp;".")-1))</f>
        <v/>
      </c>
      <c r="GJ125" s="43" t="str">
        <f aca="false">IF(AND(Tasks[[#This Row],[Task Name]]&lt;&gt;"",Tasks[[#This Row],[_Level]]=1),Tasks[[#This Row],[_Row]],"")</f>
        <v/>
      </c>
      <c r="GK125" s="43" t="str">
        <f aca="false">IF(AND(Tasks[[#This Row],[_IsLeaf]]=1,N(Tasks[[#This Row],[_Days]])=0),Tasks[[#This Row],[Planned Finish]]+Tasks[[#This Row],[_Row]]/100000,"")</f>
        <v/>
      </c>
      <c r="GL125" s="43" t="str">
        <f aca="false">IF(AND(Tasks[[#This Row],[_IsLeaf]]=1,Tasks[[#This Row],[_LeafProgress]]&lt;1,OR(N(Tasks[[#This Row],[Finish Var]])&gt;0,Tasks[[#This Row],[Status]]="Late Start")),MAX(0,Tasks[[#This Row],[Finish Var]])+1-Tasks[[#This Row],[_Row]]/1000000,"")</f>
        <v/>
      </c>
      <c r="GM125" s="43" t="str">
        <f aca="false">IF(AND(Tasks[[#This Row],[_IsLeaf]]=1,N(Tasks[[#This Row],[Actual Start]])=0,Tasks[[#This Row],[_ShownFcstStart]]&gt;=StatusDate,Tasks[[#This Row],[_ShownFcstStart]]&lt;=LookaheadEnd),Tasks[[#This Row],[_ShownFcstStart]]+Tasks[[#This Row],[_Row]]/100000,"")</f>
        <v/>
      </c>
      <c r="GN125" s="43" t="str">
        <f aca="false">IF(AND(Tasks[[#This Row],[_IsLeaf]]=1,Tasks[[#This Row],[_LeafProgress]]&lt;1,Tasks[[#This Row],[_ShownFcstFinish]]&gt;=StatusDate,Tasks[[#This Row],[_ShownFcstFinish]]&lt;=LookaheadEnd),Tasks[[#This Row],[_ShownFcstFinish]]+Tasks[[#This Row],[_Row]]/100000,"")</f>
        <v/>
      </c>
      <c r="GO125" s="43" t="str">
        <f aca="false">IF(Tasks[[#This Row],[_LeafCritical]],Tasks[[#This Row],[_ShownFcstStart]]+Tasks[[#This Row],[_Row]]/100000,"")</f>
        <v/>
      </c>
      <c r="GP125" s="43" t="n">
        <f aca="false">Tasks[[#This Row],[_LeafWork]]*Tasks[[#This Row],[_LeafProgress]]</f>
        <v>0</v>
      </c>
      <c r="GQ125" s="91" t="str">
        <f aca="false">IF(AND(Tasks[[#This Row],[_IsLeaf]]=1,Tasks[[#This Row],[_LeafProgress]]&gt;=1),IF(N(Tasks[[#This Row],[Actual Finish]])&gt;0,Tasks[[#This Row],[Actual Finish]],Tasks[[#This Row],[_ShownFcstFinish]]),"")</f>
        <v/>
      </c>
      <c r="GR125" s="43" t="n">
        <f aca="false">IF(Tasks[[#This Row],[_IsLeaf]]=1,N(Tasks[[#This Row],[Story Points]]),0)</f>
        <v>0</v>
      </c>
      <c r="GS125" s="43" t="str">
        <f aca="false">""</f>
        <v/>
      </c>
      <c r="GT125" s="90" t="b">
        <f aca="false">IF(Tasks[[#This Row],[Task Name]]="",FALSE(),AND(Tasks[[#This Row],[_IsLeaf]]=1,N(Tasks[[#This Row],[_Days]])=0))</f>
        <v>0</v>
      </c>
      <c r="GU125" s="91" t="n">
        <f aca="false">IF(Tasks[[#This Row],[Task Name]]="",0,IF(AND(Tasks[[#This Row],[_IsLeaf]]=1,NOT(Tasks[[#This Row],[_IsMilestone]]),N(Tasks[[#This Row],[Progress]])&gt;0),Tasks[[#This Row],[Start]],0))</f>
        <v>0</v>
      </c>
      <c r="GV125" s="91" t="n">
        <f aca="false">IF(Tasks[[#This Row],[_DoneFrom]]=0,0,IF(Tasks[[#This Row],[Progress]]&gt;=1,Tasks[[#This Row],[Finish]],MAX(Tasks[[#This Row],[_DoneFrom]],Tasks[[#This Row],[Start]]+ROUND((Tasks[[#This Row],[Finish]]-Tasks[[#This Row],[Start]]+1)*Tasks[[#This Row],[Progress]],0)-1)))</f>
        <v>0</v>
      </c>
      <c r="GW125" s="91" t="n">
        <f aca="false">IF(Tasks[[#This Row],[Task Name]]="",0,IF(OR(NOT(Tasks[[#This Row],[_IsLeaf]]=1),Tasks[[#This Row],[_IsMilestone]],N(Tasks[[#This Row],[Progress]])&gt;=1),0,IF(Tasks[[#This Row],[_DoneTo]]&gt;0,Tasks[[#This Row],[_DoneTo]]+1,Tasks[[#This Row],[Start]])))</f>
        <v>0</v>
      </c>
      <c r="GX125" s="91" t="n">
        <f aca="false">IF(Tasks[[#This Row],[_RemFrom]]=0,0,Tasks[[#This Row],[Finish]])</f>
        <v>0</v>
      </c>
      <c r="GY125" s="90" t="b">
        <f aca="false">IF(Tasks[[#This Row],[Task Name]]="",FALSE(),OR(NOT(BaselineSet),N(Tasks[[#This Row],[Baseline Start]])&gt;0))</f>
        <v>0</v>
      </c>
      <c r="GZ12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5" s="92" t="str">
        <f aca="false">IF(Tasks[[#This Row],[_IsLeaf]]=1,Tasks[[#This Row],[_Row]],"")</f>
        <v/>
      </c>
      <c r="HD125" s="92" t="str">
        <f aca="false">IFERROR(INDEX(Tasks[UID],SMALL(Tasks[_PickKey],Tasks[[#This Row],[_Row]]))&amp;" "&amp;INDEX(Tasks[Task Name],SMALL(Tasks[_PickKey],Tasks[[#This Row],[_Row]])),"")</f>
        <v/>
      </c>
      <c r="HE125" s="43" t="str">
        <f aca="false">IF(Tasks[[#This Row],[Task Name]]="","",IF(Tasks[[#This Row],[_IsSummary]],NETWORKDAYS.INTL(Tasks[[#This Row],[Start]],Tasks[[#This Row],[Finish]],WorkWeek,Holidays),N(Tasks[[#This Row],[_Days]])))</f>
        <v/>
      </c>
      <c r="HF125" s="43" t="n">
        <f aca="false">IF(Tasks[[#This Row],[Expected]]="",0,((Tasks[[#This Row],[Pessimistic]]-Tasks[[#This Row],[Optimistic]])/6)^2)</f>
        <v>0</v>
      </c>
      <c r="HG125" s="43" t="n">
        <f aca="false">IF(Tasks[[#This Row],[Expected]]="",0,Tasks[[#This Row],[Expected]]-N(Tasks[[#This Row],[_Days]]))</f>
        <v>0</v>
      </c>
    </row>
    <row r="126" customFormat="false" ht="15" hidden="false" customHeight="false" outlineLevel="0" collapsed="false">
      <c r="A126" s="21" t="str">
        <f aca="false">IF(Tasks[[#This Row],[Task Name]]="","",COUNTA(Tasks[[#Headers],[Task Name]]:Tasks[[#This Row],[Task Name]])-1)</f>
        <v/>
      </c>
      <c r="B126" s="22" t="n">
        <v>134</v>
      </c>
      <c r="C126" s="22"/>
      <c r="D126" s="23"/>
      <c r="E126" s="22"/>
      <c r="F126" s="23"/>
      <c r="G126" s="22"/>
      <c r="H126" s="22"/>
      <c r="I126" s="23"/>
      <c r="J126" s="22"/>
      <c r="K126" s="22"/>
      <c r="L126" s="23"/>
      <c r="M126" s="22"/>
      <c r="N126" s="22"/>
      <c r="O126" s="23"/>
      <c r="P126" s="22"/>
      <c r="Q126" s="22"/>
      <c r="R126" s="23"/>
      <c r="S126" s="23"/>
      <c r="T126" s="84"/>
      <c r="U126" s="23"/>
      <c r="V126" s="84"/>
      <c r="W126" s="23"/>
      <c r="X126" s="84"/>
      <c r="Y126" s="23"/>
      <c r="Z126" s="84"/>
      <c r="AA126" s="23"/>
      <c r="AB126" s="23"/>
      <c r="AC126" s="7"/>
      <c r="AD126" s="7"/>
      <c r="AE126" s="63" t="str">
        <f aca="false">IF(Tasks[[#This Row],[Task Name]]="","",IF(Tasks[[#This Row],[_IsSummary]],MIN(INDEX(Tasks[_ShownFcstStart],Tasks[[#This Row],[_Row]]+1):INDEX(Tasks[_ShownFcstStart],Tasks[[#This Row],[_Row]]+Tasks[[#This Row],[_Descendants]])),Tasks[[#This Row],[_ShownFcstStart]]))</f>
        <v/>
      </c>
      <c r="AF126" s="63" t="str">
        <f aca="false">IF(Tasks[[#This Row],[Task Name]]="","",IF(Tasks[[#This Row],[_IsSummary]],MAX(INDEX(Tasks[_ShownFcstFinish],Tasks[[#This Row],[_Row]]+1):INDEX(Tasks[_ShownFcstFinish],Tasks[[#This Row],[_Row]]+Tasks[[#This Row],[_Descendants]])),Tasks[[#This Row],[_ShownFcstFinish]]))</f>
        <v/>
      </c>
      <c r="AG126" s="21" t="str">
        <f aca="false">""</f>
        <v/>
      </c>
      <c r="AH126" s="23"/>
      <c r="AI1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6" s="7"/>
      <c r="AK126" s="22"/>
      <c r="AL126" s="23"/>
      <c r="AM126" s="7"/>
      <c r="AN126" s="47" t="str">
        <f aca="false">IF(Tasks[[#This Row],[Task Name]]="","",IF(Tasks[[#This Row],[Finish]]&gt;=Tasks[[#This Row],[Planned Finish]],NETWORKDAYS.INTL(Tasks[[#This Row],[Planned Finish]],Tasks[[#This Row],[Finish]],WorkWeek,Holidays)-1,1-NETWORKDAYS.INTL(Tasks[[#This Row],[Finish]],Tasks[[#This Row],[Planned Finish]],WorkWeek,Holidays)))</f>
        <v/>
      </c>
      <c r="AO126" s="21" t="str">
        <f aca="false">IF(Tasks[[#This Row],[Task Name]]="","",IF(Tasks[[#This Row],[Progress]]&gt;=1,"Complete",IF(OR(N(Tasks[[#This Row],[Actual Start]])&gt;0,Tasks[[#This Row],[Progress]]&gt;0),IF(Tasks[[#This Row],[Finish Var]]&gt;0,"Behind","In Progress"),IF(Tasks[[#This Row],[Planned Start]]&lt;StatusDate,"Late Start","Not Started"))))</f>
        <v/>
      </c>
      <c r="AP126" s="21" t="str">
        <f aca="false">IF(Tasks[[#This Row],[Task Name]]="","",IF(IF(Tasks[[#This Row],[_IsSummary]],COUNTIF(INDEX(Tasks[_LeafCritical],Tasks[[#This Row],[_Row]]+1):INDEX(Tasks[_LeafCritical],Tasks[[#This Row],[_Row]]+Tasks[[#This Row],[_Descendants]]),TRUE())&gt;0,Tasks[[#This Row],[_LeafCritical]]),"Yes",""))</f>
        <v/>
      </c>
      <c r="AQ126" s="63" t="str">
        <f aca="false">IF(Tasks[[#This Row],[Task Name]]="","",IF(N(Tasks[[#This Row],[Baseline Start]])&gt;0,Tasks[[#This Row],[Baseline Start]],Tasks[[#This Row],[_CalcStart]]))</f>
        <v/>
      </c>
      <c r="AR126" s="63" t="str">
        <f aca="false">IF(Tasks[[#This Row],[Task Name]]="","",IF(N(Tasks[[#This Row],[Baseline Finish]])&gt;0,Tasks[[#This Row],[Baseline Finish]],Tasks[[#This Row],[_CalcFinish]]))</f>
        <v/>
      </c>
      <c r="AS126" s="47" t="str">
        <f aca="false">IF(Tasks[[#This Row],[Task Name]]="","",IF(Tasks[[#This Row],[Start]]&gt;=Tasks[[#This Row],[Planned Start]],NETWORKDAYS.INTL(Tasks[[#This Row],[Planned Start]],Tasks[[#This Row],[Start]],WorkWeek,Holidays)-1,1-NETWORKDAYS.INTL(Tasks[[#This Row],[Start]],Tasks[[#This Row],[Planned Start]],WorkWeek,Holidays)))</f>
        <v/>
      </c>
      <c r="AT126" s="63" t="str">
        <f aca="false">IF(Tasks[[#This Row],[Task Name]]="","",IF(Tasks[[#This Row],[_IsSummary]],MIN(INDEX(Tasks[_LeafLateStart],Tasks[[#This Row],[_Row]]+1):INDEX(Tasks[_LeafLateStart],Tasks[[#This Row],[_Row]]+Tasks[[#This Row],[_Descendants]])),Tasks[[#This Row],[_LeafLateStart]]))</f>
        <v/>
      </c>
      <c r="AU126" s="63" t="str">
        <f aca="false">IF(Tasks[[#This Row],[Task Name]]="","",IF(Tasks[[#This Row],[_IsSummary]],MAX(INDEX(Tasks[_LeafLateFinish],Tasks[[#This Row],[_Row]]+1):INDEX(Tasks[_LeafLateFinish],Tasks[[#This Row],[_Row]]+Tasks[[#This Row],[_Descendants]])),Tasks[[#This Row],[_LeafLateFinish]]))</f>
        <v/>
      </c>
      <c r="AV126" s="47" t="str">
        <f aca="false">IF(Tasks[[#This Row],[Task Name]]="","",IF(Tasks[[#This Row],[_IsSummary]],MIN(INDEX(Tasks[_LeafTotalSlack],Tasks[[#This Row],[_Row]]+1):INDEX(Tasks[_LeafTotalSlack],Tasks[[#This Row],[_Row]]+Tasks[[#This Row],[_Descendants]])),Tasks[[#This Row],[_LeafTotalSlack]]))</f>
        <v/>
      </c>
      <c r="AW1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5"/>
      <c r="BA12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1" t="str">
        <f aca="false">IF(Tasks[[#This Row],[Task Name]]="","",IF(Tasks[[#This Row],[_Level]]&lt;=OutlineShowLevel,"Yes","No"))</f>
        <v/>
      </c>
      <c r="BE126" s="86" t="str">
        <f aca="false">IF(Tasks[[#This Row],[Task Name]]="","",IF(Tasks[[#This Row],[_IsSummary]],SUM(INDEX(Tasks[_LeafTotalWork],Tasks[[#This Row],[_Row]]+1):INDEX(Tasks[_LeafTotalWork],Tasks[[#This Row],[_Row]]+Tasks[[#This Row],[_Descendants]])),Tasks[[#This Row],[_LeafTotalWork]]))</f>
        <v/>
      </c>
      <c r="BF126" s="23"/>
      <c r="BG1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6" s="21" t="str">
        <f aca="false">""</f>
        <v/>
      </c>
      <c r="BI126" s="87"/>
      <c r="BJ126" s="22"/>
      <c r="BK126" s="47" t="str">
        <f aca="false">IF(OR(Tasks[[#This Row],[Task Name]]="",Tasks[[#This Row],[Baseline Duration]]=""),"",Tasks[[#This Row],[_SpanDays]]-N(Tasks[[#This Row],[Baseline Duration]]))</f>
        <v/>
      </c>
      <c r="BL126" s="86" t="str">
        <f aca="false">IF(OR(Tasks[[#This Row],[Task Name]]="",Tasks[[#This Row],[Baseline Work]]=""),"",Tasks[[#This Row],[Work]]-N(Tasks[[#This Row],[Baseline Work]]))</f>
        <v/>
      </c>
      <c r="BM126" s="63" t="str">
        <f aca="false">IF(Tasks[[#This Row],[Task Name]]="","",IF(OR(TakeBaseline="Yes",N(Tasks[[#This Row],[Baseline Start]])=0),Tasks[[#This Row],[Start]],Tasks[[#This Row],[Baseline Start]]))</f>
        <v/>
      </c>
      <c r="BN126" s="63" t="str">
        <f aca="false">IF(Tasks[[#This Row],[Task Name]]="","",IF(OR(TakeBaseline="Yes",N(Tasks[[#This Row],[Baseline Finish]])=0),Tasks[[#This Row],[Finish]],Tasks[[#This Row],[Baseline Finish]]))</f>
        <v/>
      </c>
      <c r="BO126" s="21" t="str">
        <f aca="false">IF(Tasks[[#This Row],[Task Name]]="","",IF(OR(TakeBaseline="Yes",N(Tasks[[#This Row],[Baseline Duration]])=0),Tasks[[#This Row],[_SpanDays]],Tasks[[#This Row],[Baseline Duration]]))</f>
        <v/>
      </c>
      <c r="BP126" s="86" t="str">
        <f aca="false">IF(Tasks[[#This Row],[Task Name]]="","",IF(OR(TakeBaseline="Yes",N(Tasks[[#This Row],[Baseline Work]])=0),Tasks[[#This Row],[Work]],Tasks[[#This Row],[Baseline Work]]))</f>
        <v/>
      </c>
      <c r="BQ126" s="7"/>
      <c r="BR126" s="7"/>
      <c r="BS126" s="22"/>
      <c r="BT126" s="88"/>
      <c r="BU126" s="23"/>
      <c r="BV126" s="23"/>
      <c r="BW126" s="23"/>
      <c r="BX126" s="89" t="str">
        <f aca="false">IF(AND(Tasks[[#This Row],[_IsLeaf]]=1,ISNUMBER(Tasks[[#This Row],[Optimistic]]),ISNUMBER(Tasks[[#This Row],[Pessimistic]])),ROUND((Tasks[[#This Row],[Optimistic]]+4*N(Tasks[[#This Row],[_Days]])+Tasks[[#This Row],[Pessimistic]])/6,1),"")</f>
        <v/>
      </c>
      <c r="BY126" s="87"/>
      <c r="BZ126" s="87"/>
      <c r="CA126" s="22"/>
      <c r="CB126" s="43" t="str">
        <f aca="false">IF(Tasks[[#This Row],[Task Name]]="","",MAX(1,N(Tasks[[#This Row],[Level]])))</f>
        <v/>
      </c>
      <c r="CC126" s="43" t="n">
        <f aca="false">ROW()-ROW(Tasks[[#Headers],[ID]])</f>
        <v>121</v>
      </c>
      <c r="CD126" s="43" t="n">
        <f aca="false">IF(OR(Tasks[[#This Row],[Task Name]]="",Tasks[[#This Row],[_Level]]&lt;=1),0,IFERROR(LOOKUP(2,1/(Tasks[[#Headers],[_Level]]:Tasks[[#This Row],[_Level]]=Tasks[[#This Row],[_Level]]-1),ROW(Tasks[[#Headers],[_Level]]:Tasks[[#This Row],[_Level]])),0))</f>
        <v>0</v>
      </c>
      <c r="CE126" s="43" t="n">
        <f aca="false">IFERROR(N(INDEX(Tasks[_Level],Tasks[[#This Row],[_Row]]+1)),0)</f>
        <v>0</v>
      </c>
      <c r="CF126" s="90" t="b">
        <f aca="false">AND(Tasks[[#This Row],[Task Name]]&lt;&gt;"",Tasks[[#This Row],[_NextLevel]]&gt;Tasks[[#This Row],[_Level]])</f>
        <v>0</v>
      </c>
      <c r="CG126" s="43" t="n">
        <f aca="false">IF(Tasks[[#This Row],[_IsSummary]],COUNTIF(Tasks[WBS],Tasks[[#This Row],[WBS]]&amp;".*"),0)</f>
        <v>0</v>
      </c>
      <c r="CH126" s="43" t="n">
        <f aca="false">IF(AND(Tasks[[#This Row],[Task Name]]&lt;&gt;"",NOT(Tasks[[#This Row],[_IsSummary]])),1,0)</f>
        <v>0</v>
      </c>
      <c r="CI126" s="43" t="n">
        <f aca="false">IF(N(Tasks[[#This Row],[_Pred1UID]])=0,0,IFERROR(MATCH(Tasks[[#This Row],[_Pred1UID]],Tasks[UID],0),-1))</f>
        <v>0</v>
      </c>
      <c r="CJ126" s="43" t="n">
        <f aca="false">IF(N(Tasks[[#This Row],[_Pred2UID]])=0,0,IFERROR(MATCH(Tasks[[#This Row],[_Pred2UID]],Tasks[UID],0),-1))</f>
        <v>0</v>
      </c>
      <c r="CK126" s="43" t="n">
        <f aca="false">IF(N(Tasks[[#This Row],[_Pred3UID]])=0,0,IFERROR(MATCH(Tasks[[#This Row],[_Pred3UID]],Tasks[UID],0),-1))</f>
        <v>0</v>
      </c>
      <c r="CL126" s="43" t="n">
        <f aca="false">IF(N(Tasks[[#This Row],[_Pred4UID]])=0,0,IFERROR(MATCH(Tasks[[#This Row],[_Pred4UID]],Tasks[UID],0),-1))</f>
        <v>0</v>
      </c>
      <c r="CM12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6" s="91" t="n">
        <f aca="false">IF(OR(Tasks[[#This Row],[_ConstraintCode]]=2,Tasks[[#This Row],[_ConstraintCode]]=3,Tasks[[#This Row],[_ConstraintCode]]=4,Tasks[[#This Row],[_ConstraintCode]]=6),Tasks[[#This Row],[_ConstraintStart]],0)</f>
        <v>0</v>
      </c>
      <c r="CP126" s="91" t="n">
        <f aca="false">IF(OR(Tasks[[#This Row],[_ConstraintCode]]=2,Tasks[[#This Row],[_ConstraintCode]]=3,Tasks[[#This Row],[_ConstraintCode]]=5,Tasks[[#This Row],[_ConstraintCode]]=7),Tasks[[#This Row],[_ConstraintStart]],2958465)</f>
        <v>2958465</v>
      </c>
      <c r="CQ12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6" s="91" t="str">
        <f aca="false">IF(NOT(Tasks[[#This Row],[_IsLeaf]]=1),"",IF(N(Tasks[[#This Row],[_Days]])&lt;=0,Tasks[[#This Row],[_LeafCalcStart]],WORKDAY.INTL(Tasks[[#This Row],[_LeafCalcStart]],Tasks[[#This Row],[_Days]]-1,WorkWeek,Holidays)))</f>
        <v/>
      </c>
      <c r="CS12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6" s="43" t="str">
        <f aca="false">IF(Tasks[[#This Row],[_Predecessors]]="","",TRIM(MID(SUBSTITUTE(SUBSTITUTE(SUBSTITUTE(UPPER(Tasks[[#This Row],[_Predecessors]]),";",",")," ",""),",",REPT(" ",99)),1,99)))</f>
        <v/>
      </c>
      <c r="CV126" s="43" t="str">
        <f aca="false">IF(Tasks[[#This Row],[_Pred1Text]]="","",IFERROR(VALUE(LEFT(Tasks[[#This Row],[_Pred1Text]],MIN(FIND("F",Tasks[[#This Row],[_Pred1Text]]&amp;"F"),FIND("S",Tasks[[#This Row],[_Pred1Text]]&amp;"S"),FIND("+",Tasks[[#This Row],[_Pred1Text]]&amp;"+"),FIND("-",Tasks[[#This Row],[_Pred1Text]]&amp;"-"))-1)),""))</f>
        <v/>
      </c>
      <c r="CW12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6" s="43" t="str">
        <f aca="false">IF(Tasks[[#This Row],[_Pred1Text]]="","",TRIM(MID(SUBSTITUTE(SUBSTITUTE(SUBSTITUTE(UPPER(Tasks[[#This Row],[_Predecessors]]),";",",")," ",""),",",REPT(" ",99)),100,99)))</f>
        <v/>
      </c>
      <c r="CZ126" s="43" t="str">
        <f aca="false">IF(Tasks[[#This Row],[_Pred2Text]]="","",IFERROR(VALUE(LEFT(Tasks[[#This Row],[_Pred2Text]],MIN(FIND("F",Tasks[[#This Row],[_Pred2Text]]&amp;"F"),FIND("S",Tasks[[#This Row],[_Pred2Text]]&amp;"S"),FIND("+",Tasks[[#This Row],[_Pred2Text]]&amp;"+"),FIND("-",Tasks[[#This Row],[_Pred2Text]]&amp;"-"))-1)),""))</f>
        <v/>
      </c>
      <c r="DA12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6" s="43" t="str">
        <f aca="false">IF(Tasks[[#This Row],[_Pred2Text]]="","",TRIM(MID(SUBSTITUTE(SUBSTITUTE(SUBSTITUTE(UPPER(Tasks[[#This Row],[_Predecessors]]),";",",")," ",""),",",REPT(" ",99)),199,99)))</f>
        <v/>
      </c>
      <c r="DD126" s="43" t="str">
        <f aca="false">IF(Tasks[[#This Row],[_Pred3Text]]="","",IFERROR(VALUE(LEFT(Tasks[[#This Row],[_Pred3Text]],MIN(FIND("F",Tasks[[#This Row],[_Pred3Text]]&amp;"F"),FIND("S",Tasks[[#This Row],[_Pred3Text]]&amp;"S"),FIND("+",Tasks[[#This Row],[_Pred3Text]]&amp;"+"),FIND("-",Tasks[[#This Row],[_Pred3Text]]&amp;"-"))-1)),""))</f>
        <v/>
      </c>
      <c r="DE12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6" s="43" t="str">
        <f aca="false">IF(Tasks[[#This Row],[_Pred3Text]]="","",TRIM(MID(SUBSTITUTE(SUBSTITUTE(SUBSTITUTE(UPPER(Tasks[[#This Row],[_Predecessors]]),";",",")," ",""),",",REPT(" ",99)),298,99)))</f>
        <v/>
      </c>
      <c r="DH126" s="43" t="str">
        <f aca="false">IF(Tasks[[#This Row],[_Pred4Text]]="","",IFERROR(VALUE(LEFT(Tasks[[#This Row],[_Pred4Text]],MIN(FIND("F",Tasks[[#This Row],[_Pred4Text]]&amp;"F"),FIND("S",Tasks[[#This Row],[_Pred4Text]]&amp;"S"),FIND("+",Tasks[[#This Row],[_Pred4Text]]&amp;"+"),FIND("-",Tasks[[#This Row],[_Pred4Text]]&amp;"-"))-1)),""))</f>
        <v/>
      </c>
      <c r="DI12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6" s="43" t="str">
        <f aca="false">IF(OR(Tasks[[#This Row],[Task Name]]="",Tasks[[#This Row],[_Resources]]=""),"",TRIM(MID(SUBSTITUTE(Tasks[[#This Row],[_Resources]],",",REPT(" ",99)),1,99)))</f>
        <v/>
      </c>
      <c r="DL126" s="43" t="str">
        <f aca="false">IF(Tasks[[#This Row],[_Res1Text]]="","",TRIM(MID(SUBSTITUTE(Tasks[[#This Row],[_Resources]],",",REPT(" ",99)),100,99)))</f>
        <v/>
      </c>
      <c r="DM126" s="43" t="str">
        <f aca="false">IF(Tasks[[#This Row],[_Res2Text]]="","",TRIM(MID(SUBSTITUTE(Tasks[[#This Row],[_Resources]],",",REPT(" ",99)),199,99)))</f>
        <v/>
      </c>
      <c r="DN126" s="43" t="str">
        <f aca="false">IF(Tasks[[#This Row],[_Res3Text]]="","",TRIM(MID(SUBSTITUTE(Tasks[[#This Row],[_Resources]],",",REPT(" ",99)),298,99)))</f>
        <v/>
      </c>
      <c r="DO126" s="43" t="n">
        <f aca="false">IF(Tasks[[#This Row],[_Res1Text]]="",0,IFERROR(MATCH(TRIM(LEFT(Tasks[[#This Row],[_Res1Text]],FIND("[",Tasks[[#This Row],[_Res1Text]]&amp;"[")-1)),res_Name,0),IFERROR(MATCH(TRIM(LEFT(Tasks[[#This Row],[_Res1Text]],FIND("[",Tasks[[#This Row],[_Res1Text]]&amp;"[")-1)),res_Initials,0),0)))</f>
        <v>0</v>
      </c>
      <c r="DP126" s="43" t="n">
        <f aca="false">IF(Tasks[[#This Row],[_Res2Text]]="",0,IFERROR(MATCH(TRIM(LEFT(Tasks[[#This Row],[_Res2Text]],FIND("[",Tasks[[#This Row],[_Res2Text]]&amp;"[")-1)),res_Name,0),IFERROR(MATCH(TRIM(LEFT(Tasks[[#This Row],[_Res2Text]],FIND("[",Tasks[[#This Row],[_Res2Text]]&amp;"[")-1)),res_Initials,0),0)))</f>
        <v>0</v>
      </c>
      <c r="DQ126" s="43" t="n">
        <f aca="false">IF(Tasks[[#This Row],[_Res3Text]]="",0,IFERROR(MATCH(TRIM(LEFT(Tasks[[#This Row],[_Res3Text]],FIND("[",Tasks[[#This Row],[_Res3Text]]&amp;"[")-1)),res_Name,0),IFERROR(MATCH(TRIM(LEFT(Tasks[[#This Row],[_Res3Text]],FIND("[",Tasks[[#This Row],[_Res3Text]]&amp;"[")-1)),res_Initials,0),0)))</f>
        <v>0</v>
      </c>
      <c r="DR126" s="43" t="n">
        <f aca="false">IF(Tasks[[#This Row],[_Res4Text]]="",0,IFERROR(MATCH(TRIM(LEFT(Tasks[[#This Row],[_Res4Text]],FIND("[",Tasks[[#This Row],[_Res4Text]]&amp;"[")-1)),res_Name,0),IFERROR(MATCH(TRIM(LEFT(Tasks[[#This Row],[_Res4Text]],FIND("[",Tasks[[#This Row],[_Res4Text]]&amp;"[")-1)),res_Initials,0),0)))</f>
        <v>0</v>
      </c>
      <c r="DS126" s="43" t="str">
        <f aca="false">IF(Tasks[[#This Row],[_Res1Text]]="","",IF(Tasks[[#This Row],[_Res1Row]]&gt;0,INDEX(res_Name,Tasks[[#This Row],[_Res1Row]]),TRIM(LEFT(Tasks[[#This Row],[_Res1Text]],FIND("[",Tasks[[#This Row],[_Res1Text]]&amp;"[")-1))))</f>
        <v/>
      </c>
      <c r="DT12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6" s="43" t="n">
        <f aca="false">IF(NOT(Tasks[[#This Row],[_IsLeaf]]=1),0,(Tasks[[#This Row],[_Resource1]]&lt;&gt;"")+(Tasks[[#This Row],[_Res2]]&lt;&gt;"")+(Tasks[[#This Row],[_Res3]]&lt;&gt;"")+(Tasks[[#This Row],[_Res4]]&lt;&gt;""))</f>
        <v>0</v>
      </c>
      <c r="DV126" s="43" t="str">
        <f aca="false">IF(Tasks[[#This Row],[_Res2Text]]="","",IF(Tasks[[#This Row],[_Res2Row]]&gt;0,INDEX(res_Name,Tasks[[#This Row],[_Res2Row]]),TRIM(LEFT(Tasks[[#This Row],[_Res2Text]],FIND("[",Tasks[[#This Row],[_Res2Text]]&amp;"[")-1))))</f>
        <v/>
      </c>
      <c r="DW12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6" s="43" t="n">
        <f aca="false">IF(OR(NOT(Tasks[[#This Row],[_IsLeaf]]=1),Tasks[[#This Row],[_Res2Row]]=0),0,N(Tasks[[#This Row],[_Days]])*HoursPerDay*IF(Tasks[[#This Row],[_Res2Units]]="",DefaultUnits,Tasks[[#This Row],[_Res2Units]]))</f>
        <v>0</v>
      </c>
      <c r="DY126" s="43" t="n">
        <f aca="false">IF(AND(AND(Tasks[[#This Row],[_IsLeaf]]=1,Tasks[[#This Row],[_LeafTotalWork]]&gt;0),Tasks[[#This Row],[_Res2Work]]&gt;0),Tasks[[#This Row],[_Res2Work]]/(Tasks[[#This Row],[_FinishWorkday]]-Tasks[[#This Row],[_StartWorkday]]+1),0)</f>
        <v>0</v>
      </c>
      <c r="DZ126" s="43" t="n">
        <f aca="false">Tasks[[#This Row],[_Res2WorkPerWD]]*MAX(0,Tasks[[#This Row],[_StartWorkday]]-1)</f>
        <v>0</v>
      </c>
      <c r="EA126" s="43" t="n">
        <f aca="false">Tasks[[#This Row],[_Res2Work]]*Tasks[[#This Row],[_LeafProgress]]</f>
        <v>0</v>
      </c>
      <c r="EB126" s="43" t="str">
        <f aca="false">IF(Tasks[[#This Row],[_Res3Text]]="","",IF(Tasks[[#This Row],[_Res3Row]]&gt;0,INDEX(res_Name,Tasks[[#This Row],[_Res3Row]]),TRIM(LEFT(Tasks[[#This Row],[_Res3Text]],FIND("[",Tasks[[#This Row],[_Res3Text]]&amp;"[")-1))))</f>
        <v/>
      </c>
      <c r="EC12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6" s="43" t="n">
        <f aca="false">IF(OR(NOT(Tasks[[#This Row],[_IsLeaf]]=1),Tasks[[#This Row],[_Res3Row]]=0),0,N(Tasks[[#This Row],[_Days]])*HoursPerDay*IF(Tasks[[#This Row],[_Res3Units]]="",DefaultUnits,Tasks[[#This Row],[_Res3Units]]))</f>
        <v>0</v>
      </c>
      <c r="EE126" s="43" t="n">
        <f aca="false">IF(AND(AND(Tasks[[#This Row],[_IsLeaf]]=1,Tasks[[#This Row],[_LeafTotalWork]]&gt;0),Tasks[[#This Row],[_Res3Work]]&gt;0),Tasks[[#This Row],[_Res3Work]]/(Tasks[[#This Row],[_FinishWorkday]]-Tasks[[#This Row],[_StartWorkday]]+1),0)</f>
        <v>0</v>
      </c>
      <c r="EF126" s="43" t="n">
        <f aca="false">Tasks[[#This Row],[_Res3WorkPerWD]]*MAX(0,Tasks[[#This Row],[_StartWorkday]]-1)</f>
        <v>0</v>
      </c>
      <c r="EG126" s="43" t="n">
        <f aca="false">Tasks[[#This Row],[_Res3Work]]*Tasks[[#This Row],[_LeafProgress]]</f>
        <v>0</v>
      </c>
      <c r="EH126" s="43" t="str">
        <f aca="false">IF(Tasks[[#This Row],[_Res4Text]]="","",IF(Tasks[[#This Row],[_Res4Row]]&gt;0,INDEX(res_Name,Tasks[[#This Row],[_Res4Row]]),TRIM(LEFT(Tasks[[#This Row],[_Res4Text]],FIND("[",Tasks[[#This Row],[_Res4Text]]&amp;"[")-1))))</f>
        <v/>
      </c>
      <c r="EI12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6" s="43" t="n">
        <f aca="false">IF(OR(NOT(Tasks[[#This Row],[_IsLeaf]]=1),Tasks[[#This Row],[_Res4Row]]=0),0,N(Tasks[[#This Row],[_Days]])*HoursPerDay*IF(Tasks[[#This Row],[_Res4Units]]="",DefaultUnits,Tasks[[#This Row],[_Res4Units]]))</f>
        <v>0</v>
      </c>
      <c r="EK126" s="43" t="n">
        <f aca="false">IF(AND(AND(Tasks[[#This Row],[_IsLeaf]]=1,Tasks[[#This Row],[_LeafTotalWork]]&gt;0),Tasks[[#This Row],[_Res4Work]]&gt;0),Tasks[[#This Row],[_Res4Work]]/(Tasks[[#This Row],[_FinishWorkday]]-Tasks[[#This Row],[_StartWorkday]]+1),0)</f>
        <v>0</v>
      </c>
      <c r="EL126" s="43" t="n">
        <f aca="false">Tasks[[#This Row],[_Res4WorkPerWD]]*MAX(0,Tasks[[#This Row],[_StartWorkday]]-1)</f>
        <v>0</v>
      </c>
      <c r="EM126" s="43" t="n">
        <f aca="false">Tasks[[#This Row],[_Res4Work]]*Tasks[[#This Row],[_LeafProgress]]</f>
        <v>0</v>
      </c>
      <c r="EN126" s="43" t="n">
        <f aca="false">IF(ISNUMBER(Tasks[[#This Row],[% Complete]]),Tasks[[#This Row],[% Complete]],IF(Tasks[[#This Row],[Stage]]="",0,IFERROR(INDEX(stg_Pct,MATCH(Tasks[[#This Row],[Stage]],stg_Name,0)),0)))</f>
        <v>0</v>
      </c>
      <c r="EO126" s="43" t="n">
        <f aca="false">IF(NOT(Tasks[[#This Row],[_IsLeaf]]=1),0,IF(N(Tasks[[#This Row],[Actual Finish]])&gt;0,1,MIN(1,Tasks[[#This Row],[_Pct]])))</f>
        <v>0</v>
      </c>
      <c r="EP126" s="43" t="n">
        <f aca="false">IF(OR(NOT(Tasks[[#This Row],[_IsLeaf]]=1),Tasks[[#This Row],[_Res1Row]]=0),0,N(Tasks[[#This Row],[_Days]])*HoursPerDay*IF(Tasks[[#This Row],[_Units1]]="",DefaultUnits,Tasks[[#This Row],[_Units1]]))</f>
        <v>0</v>
      </c>
      <c r="EQ126" s="43" t="n">
        <f aca="false">Tasks[[#This Row],[_LeafWork]]+Tasks[[#This Row],[_Res2Work]]+Tasks[[#This Row],[_Res3Work]]+Tasks[[#This Row],[_Res4Work]]</f>
        <v>0</v>
      </c>
      <c r="ER12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6" s="43" t="n">
        <f aca="false">IF(NOT(Tasks[[#This Row],[_IsLeaf]]=1),0,MAX(_xlfn.MAXIFS(Tasks[_Row],Tasks[_Pred1UID],Tasks[[#This Row],[UID]]),_xlfn.MAXIFS(Tasks[_Row],Tasks[_Pred2UID],Tasks[[#This Row],[UID]]),_xlfn.MAXIFS(Tasks[_Row],Tasks[_Pred3UID],Tasks[[#This Row],[UID]]),_xlfn.MAXIFS(Tasks[_Row],Tasks[_Pred4UID],Tasks[[#This Row],[UID]])))</f>
        <v>0</v>
      </c>
      <c r="FA12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6" s="91" t="str">
        <f aca="false">IF(NOT(Tasks[[#This Row],[_IsLeaf]]=1),"",IF(N(Tasks[[#This Row],[_Days]])&lt;=0,Tasks[[#This Row],[_LeafLateFinish]],WORKDAY.INTL(Tasks[[#This Row],[_LeafLateFinish]],-(Tasks[[#This Row],[_Days]]-1),WorkWeek,Holidays)))</f>
        <v/>
      </c>
      <c r="FD12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6" s="90" t="b">
        <f aca="false">AND(Tasks[[#This Row],[_IsLeaf]]=1,Tasks[[#This Row],[_LeafProgress]]&lt;1,N(Tasks[[#This Row],[_LeafTotalSlack]])&lt;=CriticalSlackDays)</f>
        <v>0</v>
      </c>
      <c r="FF126" s="43" t="n">
        <f aca="false">IF(AND(Tasks[[#This Row],[_IsLeaf]]=1,Tasks[[#This Row],[_ConstraintCode]]=1,Tasks[[#This Row],[Mode]]&lt;&gt;"Manual",N(Tasks[[#This Row],[Actual Start]])=0),MAX(0,N(Tasks[[#This Row],[Free Slack]])),0)</f>
        <v>0</v>
      </c>
      <c r="FG126" s="91" t="str">
        <f aca="false">IF(NOT(Tasks[[#This Row],[_IsLeaf]]=1),"",IF(Tasks[[#This Row],[_AlapShift]]=0,Tasks[[#This Row],[_LeafCalcStart]],WORKDAY.INTL(Tasks[[#This Row],[_LeafCalcStart]],Tasks[[#This Row],[_AlapShift]],WorkWeek,Holidays)))</f>
        <v/>
      </c>
      <c r="FH126" s="91" t="str">
        <f aca="false">IF(NOT(Tasks[[#This Row],[_IsLeaf]]=1),"",IF(Tasks[[#This Row],[_AlapShift]]=0,Tasks[[#This Row],[_LeafCalcFinish]],WORKDAY.INTL(Tasks[[#This Row],[_LeafCalcFinish]],Tasks[[#This Row],[_AlapShift]],WorkWeek,Holidays)))</f>
        <v/>
      </c>
      <c r="FI126" s="91" t="str">
        <f aca="false">IF(NOT(Tasks[[#This Row],[_IsLeaf]]=1),"",IF(Tasks[[#This Row],[_AlapShift]]=0,Tasks[[#This Row],[_LeafFcstStart]],WORKDAY.INTL(Tasks[[#This Row],[_LeafFcstStart]],Tasks[[#This Row],[_AlapShift]],WorkWeek,Holidays)))</f>
        <v/>
      </c>
      <c r="FJ126" s="91" t="str">
        <f aca="false">IF(NOT(Tasks[[#This Row],[_IsLeaf]]=1),"",IF(Tasks[[#This Row],[_AlapShift]]=0,Tasks[[#This Row],[_LeafFcstFinish]],WORKDAY.INTL(Tasks[[#This Row],[_LeafFcstFinish]],Tasks[[#This Row],[_AlapShift]],WorkWeek,Holidays)))</f>
        <v/>
      </c>
      <c r="FK126" s="91" t="str">
        <f aca="false">IF(Tasks[[#This Row],[Task Name]]="","",IF(Tasks[[#This Row],[_IsSummary]],MIN(INDEX(Tasks[_ShownCalcStart],Tasks[[#This Row],[_Row]]+1):INDEX(Tasks[_ShownCalcStart],Tasks[[#This Row],[_Row]]+Tasks[[#This Row],[_Descendants]])),Tasks[[#This Row],[_ShownCalcStart]]))</f>
        <v/>
      </c>
      <c r="FL126" s="91" t="str">
        <f aca="false">IF(Tasks[[#This Row],[Task Name]]="","",IF(Tasks[[#This Row],[_IsSummary]],MAX(INDEX(Tasks[_ShownCalcFinish],Tasks[[#This Row],[_Row]]+1):INDEX(Tasks[_ShownCalcFinish],Tasks[[#This Row],[_Row]]+Tasks[[#This Row],[_Descendants]])),Tasks[[#This Row],[_ShownCalcFinish]]))</f>
        <v/>
      </c>
      <c r="FM12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6" s="43" t="n">
        <f aca="false">IF(AND(Tasks[[#This Row],[_IsLeaf]]=1,Tasks[[#This Row],[_LeafTotalWork]]&gt;0),NETWORKDAYS.INTL(ProjectStart,Tasks[[#This Row],[_ShownFcstStart]],WorkWeek,Holidays),0)</f>
        <v>0</v>
      </c>
      <c r="FZ126" s="43" t="n">
        <f aca="false">IF(AND(Tasks[[#This Row],[_IsLeaf]]=1,Tasks[[#This Row],[_LeafTotalWork]]&gt;0),MAX(Tasks[[#This Row],[_StartWorkday]],NETWORKDAYS.INTL(ProjectStart,Tasks[[#This Row],[_ShownFcstFinish]],WorkWeek,Holidays)),0)</f>
        <v>0</v>
      </c>
      <c r="GA126" s="43" t="n">
        <f aca="false">IF(AND(Tasks[[#This Row],[_IsLeaf]]=1,Tasks[[#This Row],[_LeafTotalWork]]&gt;0),Tasks[[#This Row],[_LeafWork]]/(Tasks[[#This Row],[_FinishWorkday]]-Tasks[[#This Row],[_StartWorkday]]+1),0)</f>
        <v>0</v>
      </c>
      <c r="GB126" s="43" t="n">
        <f aca="false">Tasks[[#This Row],[_WorkPerWorkday]]*(Tasks[[#This Row],[_StartWorkday]]-1)</f>
        <v>-0</v>
      </c>
      <c r="GC126" s="43" t="n">
        <f aca="false">IF(Tasks[[#This Row],[_IsLeaf]]=1,MAX(N(Tasks[[#This Row],[_Days]]),0.1),0)</f>
        <v>0</v>
      </c>
      <c r="GD126" s="43" t="n">
        <f aca="false">Tasks[[#This Row],[_WeightDur]]*Tasks[[#This Row],[_LeafProgress]]</f>
        <v>0</v>
      </c>
      <c r="GE126" s="43" t="n">
        <f aca="false">Tasks[[#This Row],[_WeightDur]]*Tasks[[#This Row],[_PlannedPct]]</f>
        <v>0</v>
      </c>
      <c r="GF12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6" s="43" t="str">
        <f aca="false">IF(AND(Tasks[[#This Row],[_IsLeaf]]=1,N(Tasks[[#This Row],[_Days]])=0,Tasks[[#This Row],[_LeafProgress]]&lt;1),Tasks[[#This Row],[_ShownFcstFinish]]+Tasks[[#This Row],[_Row]]/100000,"")</f>
        <v/>
      </c>
      <c r="GH12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6" s="43" t="str">
        <f aca="false">IF(Tasks[[#This Row],[Task Name]]="","",LEFT(Tasks[[#This Row],[WBS]],FIND(".",Tasks[[#This Row],[WBS]]&amp;".")-1))</f>
        <v/>
      </c>
      <c r="GJ126" s="43" t="str">
        <f aca="false">IF(AND(Tasks[[#This Row],[Task Name]]&lt;&gt;"",Tasks[[#This Row],[_Level]]=1),Tasks[[#This Row],[_Row]],"")</f>
        <v/>
      </c>
      <c r="GK126" s="43" t="str">
        <f aca="false">IF(AND(Tasks[[#This Row],[_IsLeaf]]=1,N(Tasks[[#This Row],[_Days]])=0),Tasks[[#This Row],[Planned Finish]]+Tasks[[#This Row],[_Row]]/100000,"")</f>
        <v/>
      </c>
      <c r="GL126" s="43" t="str">
        <f aca="false">IF(AND(Tasks[[#This Row],[_IsLeaf]]=1,Tasks[[#This Row],[_LeafProgress]]&lt;1,OR(N(Tasks[[#This Row],[Finish Var]])&gt;0,Tasks[[#This Row],[Status]]="Late Start")),MAX(0,Tasks[[#This Row],[Finish Var]])+1-Tasks[[#This Row],[_Row]]/1000000,"")</f>
        <v/>
      </c>
      <c r="GM126" s="43" t="str">
        <f aca="false">IF(AND(Tasks[[#This Row],[_IsLeaf]]=1,N(Tasks[[#This Row],[Actual Start]])=0,Tasks[[#This Row],[_ShownFcstStart]]&gt;=StatusDate,Tasks[[#This Row],[_ShownFcstStart]]&lt;=LookaheadEnd),Tasks[[#This Row],[_ShownFcstStart]]+Tasks[[#This Row],[_Row]]/100000,"")</f>
        <v/>
      </c>
      <c r="GN126" s="43" t="str">
        <f aca="false">IF(AND(Tasks[[#This Row],[_IsLeaf]]=1,Tasks[[#This Row],[_LeafProgress]]&lt;1,Tasks[[#This Row],[_ShownFcstFinish]]&gt;=StatusDate,Tasks[[#This Row],[_ShownFcstFinish]]&lt;=LookaheadEnd),Tasks[[#This Row],[_ShownFcstFinish]]+Tasks[[#This Row],[_Row]]/100000,"")</f>
        <v/>
      </c>
      <c r="GO126" s="43" t="str">
        <f aca="false">IF(Tasks[[#This Row],[_LeafCritical]],Tasks[[#This Row],[_ShownFcstStart]]+Tasks[[#This Row],[_Row]]/100000,"")</f>
        <v/>
      </c>
      <c r="GP126" s="43" t="n">
        <f aca="false">Tasks[[#This Row],[_LeafWork]]*Tasks[[#This Row],[_LeafProgress]]</f>
        <v>0</v>
      </c>
      <c r="GQ126" s="91" t="str">
        <f aca="false">IF(AND(Tasks[[#This Row],[_IsLeaf]]=1,Tasks[[#This Row],[_LeafProgress]]&gt;=1),IF(N(Tasks[[#This Row],[Actual Finish]])&gt;0,Tasks[[#This Row],[Actual Finish]],Tasks[[#This Row],[_ShownFcstFinish]]),"")</f>
        <v/>
      </c>
      <c r="GR126" s="43" t="n">
        <f aca="false">IF(Tasks[[#This Row],[_IsLeaf]]=1,N(Tasks[[#This Row],[Story Points]]),0)</f>
        <v>0</v>
      </c>
      <c r="GS126" s="43" t="str">
        <f aca="false">""</f>
        <v/>
      </c>
      <c r="GT126" s="90" t="b">
        <f aca="false">IF(Tasks[[#This Row],[Task Name]]="",FALSE(),AND(Tasks[[#This Row],[_IsLeaf]]=1,N(Tasks[[#This Row],[_Days]])=0))</f>
        <v>0</v>
      </c>
      <c r="GU126" s="91" t="n">
        <f aca="false">IF(Tasks[[#This Row],[Task Name]]="",0,IF(AND(Tasks[[#This Row],[_IsLeaf]]=1,NOT(Tasks[[#This Row],[_IsMilestone]]),N(Tasks[[#This Row],[Progress]])&gt;0),Tasks[[#This Row],[Start]],0))</f>
        <v>0</v>
      </c>
      <c r="GV126" s="91" t="n">
        <f aca="false">IF(Tasks[[#This Row],[_DoneFrom]]=0,0,IF(Tasks[[#This Row],[Progress]]&gt;=1,Tasks[[#This Row],[Finish]],MAX(Tasks[[#This Row],[_DoneFrom]],Tasks[[#This Row],[Start]]+ROUND((Tasks[[#This Row],[Finish]]-Tasks[[#This Row],[Start]]+1)*Tasks[[#This Row],[Progress]],0)-1)))</f>
        <v>0</v>
      </c>
      <c r="GW126" s="91" t="n">
        <f aca="false">IF(Tasks[[#This Row],[Task Name]]="",0,IF(OR(NOT(Tasks[[#This Row],[_IsLeaf]]=1),Tasks[[#This Row],[_IsMilestone]],N(Tasks[[#This Row],[Progress]])&gt;=1),0,IF(Tasks[[#This Row],[_DoneTo]]&gt;0,Tasks[[#This Row],[_DoneTo]]+1,Tasks[[#This Row],[Start]])))</f>
        <v>0</v>
      </c>
      <c r="GX126" s="91" t="n">
        <f aca="false">IF(Tasks[[#This Row],[_RemFrom]]=0,0,Tasks[[#This Row],[Finish]])</f>
        <v>0</v>
      </c>
      <c r="GY126" s="90" t="b">
        <f aca="false">IF(Tasks[[#This Row],[Task Name]]="",FALSE(),OR(NOT(BaselineSet),N(Tasks[[#This Row],[Baseline Start]])&gt;0))</f>
        <v>0</v>
      </c>
      <c r="GZ12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6" s="92" t="str">
        <f aca="false">IF(Tasks[[#This Row],[_IsLeaf]]=1,Tasks[[#This Row],[_Row]],"")</f>
        <v/>
      </c>
      <c r="HD126" s="92" t="str">
        <f aca="false">IFERROR(INDEX(Tasks[UID],SMALL(Tasks[_PickKey],Tasks[[#This Row],[_Row]]))&amp;" "&amp;INDEX(Tasks[Task Name],SMALL(Tasks[_PickKey],Tasks[[#This Row],[_Row]])),"")</f>
        <v/>
      </c>
      <c r="HE126" s="43" t="str">
        <f aca="false">IF(Tasks[[#This Row],[Task Name]]="","",IF(Tasks[[#This Row],[_IsSummary]],NETWORKDAYS.INTL(Tasks[[#This Row],[Start]],Tasks[[#This Row],[Finish]],WorkWeek,Holidays),N(Tasks[[#This Row],[_Days]])))</f>
        <v/>
      </c>
      <c r="HF126" s="43" t="n">
        <f aca="false">IF(Tasks[[#This Row],[Expected]]="",0,((Tasks[[#This Row],[Pessimistic]]-Tasks[[#This Row],[Optimistic]])/6)^2)</f>
        <v>0</v>
      </c>
      <c r="HG126" s="43" t="n">
        <f aca="false">IF(Tasks[[#This Row],[Expected]]="",0,Tasks[[#This Row],[Expected]]-N(Tasks[[#This Row],[_Days]]))</f>
        <v>0</v>
      </c>
    </row>
    <row r="127" customFormat="false" ht="15" hidden="false" customHeight="false" outlineLevel="0" collapsed="false">
      <c r="A127" s="21" t="str">
        <f aca="false">IF(Tasks[[#This Row],[Task Name]]="","",COUNTA(Tasks[[#Headers],[Task Name]]:Tasks[[#This Row],[Task Name]])-1)</f>
        <v/>
      </c>
      <c r="B127" s="22" t="n">
        <v>135</v>
      </c>
      <c r="C127" s="22"/>
      <c r="D127" s="23"/>
      <c r="E127" s="22"/>
      <c r="F127" s="23"/>
      <c r="G127" s="22"/>
      <c r="H127" s="22"/>
      <c r="I127" s="23"/>
      <c r="J127" s="22"/>
      <c r="K127" s="22"/>
      <c r="L127" s="23"/>
      <c r="M127" s="22"/>
      <c r="N127" s="22"/>
      <c r="O127" s="23"/>
      <c r="P127" s="22"/>
      <c r="Q127" s="22"/>
      <c r="R127" s="23"/>
      <c r="S127" s="23"/>
      <c r="T127" s="84"/>
      <c r="U127" s="23"/>
      <c r="V127" s="84"/>
      <c r="W127" s="23"/>
      <c r="X127" s="84"/>
      <c r="Y127" s="23"/>
      <c r="Z127" s="84"/>
      <c r="AA127" s="23"/>
      <c r="AB127" s="23"/>
      <c r="AC127" s="7"/>
      <c r="AD127" s="7"/>
      <c r="AE127" s="63" t="str">
        <f aca="false">IF(Tasks[[#This Row],[Task Name]]="","",IF(Tasks[[#This Row],[_IsSummary]],MIN(INDEX(Tasks[_ShownFcstStart],Tasks[[#This Row],[_Row]]+1):INDEX(Tasks[_ShownFcstStart],Tasks[[#This Row],[_Row]]+Tasks[[#This Row],[_Descendants]])),Tasks[[#This Row],[_ShownFcstStart]]))</f>
        <v/>
      </c>
      <c r="AF127" s="63" t="str">
        <f aca="false">IF(Tasks[[#This Row],[Task Name]]="","",IF(Tasks[[#This Row],[_IsSummary]],MAX(INDEX(Tasks[_ShownFcstFinish],Tasks[[#This Row],[_Row]]+1):INDEX(Tasks[_ShownFcstFinish],Tasks[[#This Row],[_Row]]+Tasks[[#This Row],[_Descendants]])),Tasks[[#This Row],[_ShownFcstFinish]]))</f>
        <v/>
      </c>
      <c r="AG127" s="21" t="str">
        <f aca="false">""</f>
        <v/>
      </c>
      <c r="AH127" s="23"/>
      <c r="AI1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7" s="7"/>
      <c r="AK127" s="22"/>
      <c r="AL127" s="23"/>
      <c r="AM127" s="7"/>
      <c r="AN127" s="47" t="str">
        <f aca="false">IF(Tasks[[#This Row],[Task Name]]="","",IF(Tasks[[#This Row],[Finish]]&gt;=Tasks[[#This Row],[Planned Finish]],NETWORKDAYS.INTL(Tasks[[#This Row],[Planned Finish]],Tasks[[#This Row],[Finish]],WorkWeek,Holidays)-1,1-NETWORKDAYS.INTL(Tasks[[#This Row],[Finish]],Tasks[[#This Row],[Planned Finish]],WorkWeek,Holidays)))</f>
        <v/>
      </c>
      <c r="AO127" s="21" t="str">
        <f aca="false">IF(Tasks[[#This Row],[Task Name]]="","",IF(Tasks[[#This Row],[Progress]]&gt;=1,"Complete",IF(OR(N(Tasks[[#This Row],[Actual Start]])&gt;0,Tasks[[#This Row],[Progress]]&gt;0),IF(Tasks[[#This Row],[Finish Var]]&gt;0,"Behind","In Progress"),IF(Tasks[[#This Row],[Planned Start]]&lt;StatusDate,"Late Start","Not Started"))))</f>
        <v/>
      </c>
      <c r="AP127" s="21" t="str">
        <f aca="false">IF(Tasks[[#This Row],[Task Name]]="","",IF(IF(Tasks[[#This Row],[_IsSummary]],COUNTIF(INDEX(Tasks[_LeafCritical],Tasks[[#This Row],[_Row]]+1):INDEX(Tasks[_LeafCritical],Tasks[[#This Row],[_Row]]+Tasks[[#This Row],[_Descendants]]),TRUE())&gt;0,Tasks[[#This Row],[_LeafCritical]]),"Yes",""))</f>
        <v/>
      </c>
      <c r="AQ127" s="63" t="str">
        <f aca="false">IF(Tasks[[#This Row],[Task Name]]="","",IF(N(Tasks[[#This Row],[Baseline Start]])&gt;0,Tasks[[#This Row],[Baseline Start]],Tasks[[#This Row],[_CalcStart]]))</f>
        <v/>
      </c>
      <c r="AR127" s="63" t="str">
        <f aca="false">IF(Tasks[[#This Row],[Task Name]]="","",IF(N(Tasks[[#This Row],[Baseline Finish]])&gt;0,Tasks[[#This Row],[Baseline Finish]],Tasks[[#This Row],[_CalcFinish]]))</f>
        <v/>
      </c>
      <c r="AS127" s="47" t="str">
        <f aca="false">IF(Tasks[[#This Row],[Task Name]]="","",IF(Tasks[[#This Row],[Start]]&gt;=Tasks[[#This Row],[Planned Start]],NETWORKDAYS.INTL(Tasks[[#This Row],[Planned Start]],Tasks[[#This Row],[Start]],WorkWeek,Holidays)-1,1-NETWORKDAYS.INTL(Tasks[[#This Row],[Start]],Tasks[[#This Row],[Planned Start]],WorkWeek,Holidays)))</f>
        <v/>
      </c>
      <c r="AT127" s="63" t="str">
        <f aca="false">IF(Tasks[[#This Row],[Task Name]]="","",IF(Tasks[[#This Row],[_IsSummary]],MIN(INDEX(Tasks[_LeafLateStart],Tasks[[#This Row],[_Row]]+1):INDEX(Tasks[_LeafLateStart],Tasks[[#This Row],[_Row]]+Tasks[[#This Row],[_Descendants]])),Tasks[[#This Row],[_LeafLateStart]]))</f>
        <v/>
      </c>
      <c r="AU127" s="63" t="str">
        <f aca="false">IF(Tasks[[#This Row],[Task Name]]="","",IF(Tasks[[#This Row],[_IsSummary]],MAX(INDEX(Tasks[_LeafLateFinish],Tasks[[#This Row],[_Row]]+1):INDEX(Tasks[_LeafLateFinish],Tasks[[#This Row],[_Row]]+Tasks[[#This Row],[_Descendants]])),Tasks[[#This Row],[_LeafLateFinish]]))</f>
        <v/>
      </c>
      <c r="AV127" s="47" t="str">
        <f aca="false">IF(Tasks[[#This Row],[Task Name]]="","",IF(Tasks[[#This Row],[_IsSummary]],MIN(INDEX(Tasks[_LeafTotalSlack],Tasks[[#This Row],[_Row]]+1):INDEX(Tasks[_LeafTotalSlack],Tasks[[#This Row],[_Row]]+Tasks[[#This Row],[_Descendants]])),Tasks[[#This Row],[_LeafTotalSlack]]))</f>
        <v/>
      </c>
      <c r="AW1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5"/>
      <c r="BA12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1" t="str">
        <f aca="false">IF(Tasks[[#This Row],[Task Name]]="","",IF(Tasks[[#This Row],[_Level]]&lt;=OutlineShowLevel,"Yes","No"))</f>
        <v/>
      </c>
      <c r="BE127" s="86" t="str">
        <f aca="false">IF(Tasks[[#This Row],[Task Name]]="","",IF(Tasks[[#This Row],[_IsSummary]],SUM(INDEX(Tasks[_LeafTotalWork],Tasks[[#This Row],[_Row]]+1):INDEX(Tasks[_LeafTotalWork],Tasks[[#This Row],[_Row]]+Tasks[[#This Row],[_Descendants]])),Tasks[[#This Row],[_LeafTotalWork]]))</f>
        <v/>
      </c>
      <c r="BF127" s="23"/>
      <c r="BG1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7" s="21" t="str">
        <f aca="false">""</f>
        <v/>
      </c>
      <c r="BI127" s="87"/>
      <c r="BJ127" s="22"/>
      <c r="BK127" s="47" t="str">
        <f aca="false">IF(OR(Tasks[[#This Row],[Task Name]]="",Tasks[[#This Row],[Baseline Duration]]=""),"",Tasks[[#This Row],[_SpanDays]]-N(Tasks[[#This Row],[Baseline Duration]]))</f>
        <v/>
      </c>
      <c r="BL127" s="86" t="str">
        <f aca="false">IF(OR(Tasks[[#This Row],[Task Name]]="",Tasks[[#This Row],[Baseline Work]]=""),"",Tasks[[#This Row],[Work]]-N(Tasks[[#This Row],[Baseline Work]]))</f>
        <v/>
      </c>
      <c r="BM127" s="63" t="str">
        <f aca="false">IF(Tasks[[#This Row],[Task Name]]="","",IF(OR(TakeBaseline="Yes",N(Tasks[[#This Row],[Baseline Start]])=0),Tasks[[#This Row],[Start]],Tasks[[#This Row],[Baseline Start]]))</f>
        <v/>
      </c>
      <c r="BN127" s="63" t="str">
        <f aca="false">IF(Tasks[[#This Row],[Task Name]]="","",IF(OR(TakeBaseline="Yes",N(Tasks[[#This Row],[Baseline Finish]])=0),Tasks[[#This Row],[Finish]],Tasks[[#This Row],[Baseline Finish]]))</f>
        <v/>
      </c>
      <c r="BO127" s="21" t="str">
        <f aca="false">IF(Tasks[[#This Row],[Task Name]]="","",IF(OR(TakeBaseline="Yes",N(Tasks[[#This Row],[Baseline Duration]])=0),Tasks[[#This Row],[_SpanDays]],Tasks[[#This Row],[Baseline Duration]]))</f>
        <v/>
      </c>
      <c r="BP127" s="86" t="str">
        <f aca="false">IF(Tasks[[#This Row],[Task Name]]="","",IF(OR(TakeBaseline="Yes",N(Tasks[[#This Row],[Baseline Work]])=0),Tasks[[#This Row],[Work]],Tasks[[#This Row],[Baseline Work]]))</f>
        <v/>
      </c>
      <c r="BQ127" s="7"/>
      <c r="BR127" s="7"/>
      <c r="BS127" s="22"/>
      <c r="BT127" s="88"/>
      <c r="BU127" s="23"/>
      <c r="BV127" s="23"/>
      <c r="BW127" s="23"/>
      <c r="BX127" s="89" t="str">
        <f aca="false">IF(AND(Tasks[[#This Row],[_IsLeaf]]=1,ISNUMBER(Tasks[[#This Row],[Optimistic]]),ISNUMBER(Tasks[[#This Row],[Pessimistic]])),ROUND((Tasks[[#This Row],[Optimistic]]+4*N(Tasks[[#This Row],[_Days]])+Tasks[[#This Row],[Pessimistic]])/6,1),"")</f>
        <v/>
      </c>
      <c r="BY127" s="87"/>
      <c r="BZ127" s="87"/>
      <c r="CA127" s="22"/>
      <c r="CB127" s="43" t="str">
        <f aca="false">IF(Tasks[[#This Row],[Task Name]]="","",MAX(1,N(Tasks[[#This Row],[Level]])))</f>
        <v/>
      </c>
      <c r="CC127" s="43" t="n">
        <f aca="false">ROW()-ROW(Tasks[[#Headers],[ID]])</f>
        <v>122</v>
      </c>
      <c r="CD127" s="43" t="n">
        <f aca="false">IF(OR(Tasks[[#This Row],[Task Name]]="",Tasks[[#This Row],[_Level]]&lt;=1),0,IFERROR(LOOKUP(2,1/(Tasks[[#Headers],[_Level]]:Tasks[[#This Row],[_Level]]=Tasks[[#This Row],[_Level]]-1),ROW(Tasks[[#Headers],[_Level]]:Tasks[[#This Row],[_Level]])),0))</f>
        <v>0</v>
      </c>
      <c r="CE127" s="43" t="n">
        <f aca="false">IFERROR(N(INDEX(Tasks[_Level],Tasks[[#This Row],[_Row]]+1)),0)</f>
        <v>0</v>
      </c>
      <c r="CF127" s="90" t="b">
        <f aca="false">AND(Tasks[[#This Row],[Task Name]]&lt;&gt;"",Tasks[[#This Row],[_NextLevel]]&gt;Tasks[[#This Row],[_Level]])</f>
        <v>0</v>
      </c>
      <c r="CG127" s="43" t="n">
        <f aca="false">IF(Tasks[[#This Row],[_IsSummary]],COUNTIF(Tasks[WBS],Tasks[[#This Row],[WBS]]&amp;".*"),0)</f>
        <v>0</v>
      </c>
      <c r="CH127" s="43" t="n">
        <f aca="false">IF(AND(Tasks[[#This Row],[Task Name]]&lt;&gt;"",NOT(Tasks[[#This Row],[_IsSummary]])),1,0)</f>
        <v>0</v>
      </c>
      <c r="CI127" s="43" t="n">
        <f aca="false">IF(N(Tasks[[#This Row],[_Pred1UID]])=0,0,IFERROR(MATCH(Tasks[[#This Row],[_Pred1UID]],Tasks[UID],0),-1))</f>
        <v>0</v>
      </c>
      <c r="CJ127" s="43" t="n">
        <f aca="false">IF(N(Tasks[[#This Row],[_Pred2UID]])=0,0,IFERROR(MATCH(Tasks[[#This Row],[_Pred2UID]],Tasks[UID],0),-1))</f>
        <v>0</v>
      </c>
      <c r="CK127" s="43" t="n">
        <f aca="false">IF(N(Tasks[[#This Row],[_Pred3UID]])=0,0,IFERROR(MATCH(Tasks[[#This Row],[_Pred3UID]],Tasks[UID],0),-1))</f>
        <v>0</v>
      </c>
      <c r="CL127" s="43" t="n">
        <f aca="false">IF(N(Tasks[[#This Row],[_Pred4UID]])=0,0,IFERROR(MATCH(Tasks[[#This Row],[_Pred4UID]],Tasks[UID],0),-1))</f>
        <v>0</v>
      </c>
      <c r="CM12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7" s="91" t="n">
        <f aca="false">IF(OR(Tasks[[#This Row],[_ConstraintCode]]=2,Tasks[[#This Row],[_ConstraintCode]]=3,Tasks[[#This Row],[_ConstraintCode]]=4,Tasks[[#This Row],[_ConstraintCode]]=6),Tasks[[#This Row],[_ConstraintStart]],0)</f>
        <v>0</v>
      </c>
      <c r="CP127" s="91" t="n">
        <f aca="false">IF(OR(Tasks[[#This Row],[_ConstraintCode]]=2,Tasks[[#This Row],[_ConstraintCode]]=3,Tasks[[#This Row],[_ConstraintCode]]=5,Tasks[[#This Row],[_ConstraintCode]]=7),Tasks[[#This Row],[_ConstraintStart]],2958465)</f>
        <v>2958465</v>
      </c>
      <c r="CQ12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7" s="91" t="str">
        <f aca="false">IF(NOT(Tasks[[#This Row],[_IsLeaf]]=1),"",IF(N(Tasks[[#This Row],[_Days]])&lt;=0,Tasks[[#This Row],[_LeafCalcStart]],WORKDAY.INTL(Tasks[[#This Row],[_LeafCalcStart]],Tasks[[#This Row],[_Days]]-1,WorkWeek,Holidays)))</f>
        <v/>
      </c>
      <c r="CS12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7" s="43" t="str">
        <f aca="false">IF(Tasks[[#This Row],[_Predecessors]]="","",TRIM(MID(SUBSTITUTE(SUBSTITUTE(SUBSTITUTE(UPPER(Tasks[[#This Row],[_Predecessors]]),";",",")," ",""),",",REPT(" ",99)),1,99)))</f>
        <v/>
      </c>
      <c r="CV127" s="43" t="str">
        <f aca="false">IF(Tasks[[#This Row],[_Pred1Text]]="","",IFERROR(VALUE(LEFT(Tasks[[#This Row],[_Pred1Text]],MIN(FIND("F",Tasks[[#This Row],[_Pred1Text]]&amp;"F"),FIND("S",Tasks[[#This Row],[_Pred1Text]]&amp;"S"),FIND("+",Tasks[[#This Row],[_Pred1Text]]&amp;"+"),FIND("-",Tasks[[#This Row],[_Pred1Text]]&amp;"-"))-1)),""))</f>
        <v/>
      </c>
      <c r="CW12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7" s="43" t="str">
        <f aca="false">IF(Tasks[[#This Row],[_Pred1Text]]="","",TRIM(MID(SUBSTITUTE(SUBSTITUTE(SUBSTITUTE(UPPER(Tasks[[#This Row],[_Predecessors]]),";",",")," ",""),",",REPT(" ",99)),100,99)))</f>
        <v/>
      </c>
      <c r="CZ127" s="43" t="str">
        <f aca="false">IF(Tasks[[#This Row],[_Pred2Text]]="","",IFERROR(VALUE(LEFT(Tasks[[#This Row],[_Pred2Text]],MIN(FIND("F",Tasks[[#This Row],[_Pred2Text]]&amp;"F"),FIND("S",Tasks[[#This Row],[_Pred2Text]]&amp;"S"),FIND("+",Tasks[[#This Row],[_Pred2Text]]&amp;"+"),FIND("-",Tasks[[#This Row],[_Pred2Text]]&amp;"-"))-1)),""))</f>
        <v/>
      </c>
      <c r="DA12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7" s="43" t="str">
        <f aca="false">IF(Tasks[[#This Row],[_Pred2Text]]="","",TRIM(MID(SUBSTITUTE(SUBSTITUTE(SUBSTITUTE(UPPER(Tasks[[#This Row],[_Predecessors]]),";",",")," ",""),",",REPT(" ",99)),199,99)))</f>
        <v/>
      </c>
      <c r="DD127" s="43" t="str">
        <f aca="false">IF(Tasks[[#This Row],[_Pred3Text]]="","",IFERROR(VALUE(LEFT(Tasks[[#This Row],[_Pred3Text]],MIN(FIND("F",Tasks[[#This Row],[_Pred3Text]]&amp;"F"),FIND("S",Tasks[[#This Row],[_Pred3Text]]&amp;"S"),FIND("+",Tasks[[#This Row],[_Pred3Text]]&amp;"+"),FIND("-",Tasks[[#This Row],[_Pred3Text]]&amp;"-"))-1)),""))</f>
        <v/>
      </c>
      <c r="DE12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7" s="43" t="str">
        <f aca="false">IF(Tasks[[#This Row],[_Pred3Text]]="","",TRIM(MID(SUBSTITUTE(SUBSTITUTE(SUBSTITUTE(UPPER(Tasks[[#This Row],[_Predecessors]]),";",",")," ",""),",",REPT(" ",99)),298,99)))</f>
        <v/>
      </c>
      <c r="DH127" s="43" t="str">
        <f aca="false">IF(Tasks[[#This Row],[_Pred4Text]]="","",IFERROR(VALUE(LEFT(Tasks[[#This Row],[_Pred4Text]],MIN(FIND("F",Tasks[[#This Row],[_Pred4Text]]&amp;"F"),FIND("S",Tasks[[#This Row],[_Pred4Text]]&amp;"S"),FIND("+",Tasks[[#This Row],[_Pred4Text]]&amp;"+"),FIND("-",Tasks[[#This Row],[_Pred4Text]]&amp;"-"))-1)),""))</f>
        <v/>
      </c>
      <c r="DI12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7" s="43" t="str">
        <f aca="false">IF(OR(Tasks[[#This Row],[Task Name]]="",Tasks[[#This Row],[_Resources]]=""),"",TRIM(MID(SUBSTITUTE(Tasks[[#This Row],[_Resources]],",",REPT(" ",99)),1,99)))</f>
        <v/>
      </c>
      <c r="DL127" s="43" t="str">
        <f aca="false">IF(Tasks[[#This Row],[_Res1Text]]="","",TRIM(MID(SUBSTITUTE(Tasks[[#This Row],[_Resources]],",",REPT(" ",99)),100,99)))</f>
        <v/>
      </c>
      <c r="DM127" s="43" t="str">
        <f aca="false">IF(Tasks[[#This Row],[_Res2Text]]="","",TRIM(MID(SUBSTITUTE(Tasks[[#This Row],[_Resources]],",",REPT(" ",99)),199,99)))</f>
        <v/>
      </c>
      <c r="DN127" s="43" t="str">
        <f aca="false">IF(Tasks[[#This Row],[_Res3Text]]="","",TRIM(MID(SUBSTITUTE(Tasks[[#This Row],[_Resources]],",",REPT(" ",99)),298,99)))</f>
        <v/>
      </c>
      <c r="DO127" s="43" t="n">
        <f aca="false">IF(Tasks[[#This Row],[_Res1Text]]="",0,IFERROR(MATCH(TRIM(LEFT(Tasks[[#This Row],[_Res1Text]],FIND("[",Tasks[[#This Row],[_Res1Text]]&amp;"[")-1)),res_Name,0),IFERROR(MATCH(TRIM(LEFT(Tasks[[#This Row],[_Res1Text]],FIND("[",Tasks[[#This Row],[_Res1Text]]&amp;"[")-1)),res_Initials,0),0)))</f>
        <v>0</v>
      </c>
      <c r="DP127" s="43" t="n">
        <f aca="false">IF(Tasks[[#This Row],[_Res2Text]]="",0,IFERROR(MATCH(TRIM(LEFT(Tasks[[#This Row],[_Res2Text]],FIND("[",Tasks[[#This Row],[_Res2Text]]&amp;"[")-1)),res_Name,0),IFERROR(MATCH(TRIM(LEFT(Tasks[[#This Row],[_Res2Text]],FIND("[",Tasks[[#This Row],[_Res2Text]]&amp;"[")-1)),res_Initials,0),0)))</f>
        <v>0</v>
      </c>
      <c r="DQ127" s="43" t="n">
        <f aca="false">IF(Tasks[[#This Row],[_Res3Text]]="",0,IFERROR(MATCH(TRIM(LEFT(Tasks[[#This Row],[_Res3Text]],FIND("[",Tasks[[#This Row],[_Res3Text]]&amp;"[")-1)),res_Name,0),IFERROR(MATCH(TRIM(LEFT(Tasks[[#This Row],[_Res3Text]],FIND("[",Tasks[[#This Row],[_Res3Text]]&amp;"[")-1)),res_Initials,0),0)))</f>
        <v>0</v>
      </c>
      <c r="DR127" s="43" t="n">
        <f aca="false">IF(Tasks[[#This Row],[_Res4Text]]="",0,IFERROR(MATCH(TRIM(LEFT(Tasks[[#This Row],[_Res4Text]],FIND("[",Tasks[[#This Row],[_Res4Text]]&amp;"[")-1)),res_Name,0),IFERROR(MATCH(TRIM(LEFT(Tasks[[#This Row],[_Res4Text]],FIND("[",Tasks[[#This Row],[_Res4Text]]&amp;"[")-1)),res_Initials,0),0)))</f>
        <v>0</v>
      </c>
      <c r="DS127" s="43" t="str">
        <f aca="false">IF(Tasks[[#This Row],[_Res1Text]]="","",IF(Tasks[[#This Row],[_Res1Row]]&gt;0,INDEX(res_Name,Tasks[[#This Row],[_Res1Row]]),TRIM(LEFT(Tasks[[#This Row],[_Res1Text]],FIND("[",Tasks[[#This Row],[_Res1Text]]&amp;"[")-1))))</f>
        <v/>
      </c>
      <c r="DT12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7" s="43" t="n">
        <f aca="false">IF(NOT(Tasks[[#This Row],[_IsLeaf]]=1),0,(Tasks[[#This Row],[_Resource1]]&lt;&gt;"")+(Tasks[[#This Row],[_Res2]]&lt;&gt;"")+(Tasks[[#This Row],[_Res3]]&lt;&gt;"")+(Tasks[[#This Row],[_Res4]]&lt;&gt;""))</f>
        <v>0</v>
      </c>
      <c r="DV127" s="43" t="str">
        <f aca="false">IF(Tasks[[#This Row],[_Res2Text]]="","",IF(Tasks[[#This Row],[_Res2Row]]&gt;0,INDEX(res_Name,Tasks[[#This Row],[_Res2Row]]),TRIM(LEFT(Tasks[[#This Row],[_Res2Text]],FIND("[",Tasks[[#This Row],[_Res2Text]]&amp;"[")-1))))</f>
        <v/>
      </c>
      <c r="DW12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7" s="43" t="n">
        <f aca="false">IF(OR(NOT(Tasks[[#This Row],[_IsLeaf]]=1),Tasks[[#This Row],[_Res2Row]]=0),0,N(Tasks[[#This Row],[_Days]])*HoursPerDay*IF(Tasks[[#This Row],[_Res2Units]]="",DefaultUnits,Tasks[[#This Row],[_Res2Units]]))</f>
        <v>0</v>
      </c>
      <c r="DY127" s="43" t="n">
        <f aca="false">IF(AND(AND(Tasks[[#This Row],[_IsLeaf]]=1,Tasks[[#This Row],[_LeafTotalWork]]&gt;0),Tasks[[#This Row],[_Res2Work]]&gt;0),Tasks[[#This Row],[_Res2Work]]/(Tasks[[#This Row],[_FinishWorkday]]-Tasks[[#This Row],[_StartWorkday]]+1),0)</f>
        <v>0</v>
      </c>
      <c r="DZ127" s="43" t="n">
        <f aca="false">Tasks[[#This Row],[_Res2WorkPerWD]]*MAX(0,Tasks[[#This Row],[_StartWorkday]]-1)</f>
        <v>0</v>
      </c>
      <c r="EA127" s="43" t="n">
        <f aca="false">Tasks[[#This Row],[_Res2Work]]*Tasks[[#This Row],[_LeafProgress]]</f>
        <v>0</v>
      </c>
      <c r="EB127" s="43" t="str">
        <f aca="false">IF(Tasks[[#This Row],[_Res3Text]]="","",IF(Tasks[[#This Row],[_Res3Row]]&gt;0,INDEX(res_Name,Tasks[[#This Row],[_Res3Row]]),TRIM(LEFT(Tasks[[#This Row],[_Res3Text]],FIND("[",Tasks[[#This Row],[_Res3Text]]&amp;"[")-1))))</f>
        <v/>
      </c>
      <c r="EC12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7" s="43" t="n">
        <f aca="false">IF(OR(NOT(Tasks[[#This Row],[_IsLeaf]]=1),Tasks[[#This Row],[_Res3Row]]=0),0,N(Tasks[[#This Row],[_Days]])*HoursPerDay*IF(Tasks[[#This Row],[_Res3Units]]="",DefaultUnits,Tasks[[#This Row],[_Res3Units]]))</f>
        <v>0</v>
      </c>
      <c r="EE127" s="43" t="n">
        <f aca="false">IF(AND(AND(Tasks[[#This Row],[_IsLeaf]]=1,Tasks[[#This Row],[_LeafTotalWork]]&gt;0),Tasks[[#This Row],[_Res3Work]]&gt;0),Tasks[[#This Row],[_Res3Work]]/(Tasks[[#This Row],[_FinishWorkday]]-Tasks[[#This Row],[_StartWorkday]]+1),0)</f>
        <v>0</v>
      </c>
      <c r="EF127" s="43" t="n">
        <f aca="false">Tasks[[#This Row],[_Res3WorkPerWD]]*MAX(0,Tasks[[#This Row],[_StartWorkday]]-1)</f>
        <v>0</v>
      </c>
      <c r="EG127" s="43" t="n">
        <f aca="false">Tasks[[#This Row],[_Res3Work]]*Tasks[[#This Row],[_LeafProgress]]</f>
        <v>0</v>
      </c>
      <c r="EH127" s="43" t="str">
        <f aca="false">IF(Tasks[[#This Row],[_Res4Text]]="","",IF(Tasks[[#This Row],[_Res4Row]]&gt;0,INDEX(res_Name,Tasks[[#This Row],[_Res4Row]]),TRIM(LEFT(Tasks[[#This Row],[_Res4Text]],FIND("[",Tasks[[#This Row],[_Res4Text]]&amp;"[")-1))))</f>
        <v/>
      </c>
      <c r="EI12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7" s="43" t="n">
        <f aca="false">IF(OR(NOT(Tasks[[#This Row],[_IsLeaf]]=1),Tasks[[#This Row],[_Res4Row]]=0),0,N(Tasks[[#This Row],[_Days]])*HoursPerDay*IF(Tasks[[#This Row],[_Res4Units]]="",DefaultUnits,Tasks[[#This Row],[_Res4Units]]))</f>
        <v>0</v>
      </c>
      <c r="EK127" s="43" t="n">
        <f aca="false">IF(AND(AND(Tasks[[#This Row],[_IsLeaf]]=1,Tasks[[#This Row],[_LeafTotalWork]]&gt;0),Tasks[[#This Row],[_Res4Work]]&gt;0),Tasks[[#This Row],[_Res4Work]]/(Tasks[[#This Row],[_FinishWorkday]]-Tasks[[#This Row],[_StartWorkday]]+1),0)</f>
        <v>0</v>
      </c>
      <c r="EL127" s="43" t="n">
        <f aca="false">Tasks[[#This Row],[_Res4WorkPerWD]]*MAX(0,Tasks[[#This Row],[_StartWorkday]]-1)</f>
        <v>0</v>
      </c>
      <c r="EM127" s="43" t="n">
        <f aca="false">Tasks[[#This Row],[_Res4Work]]*Tasks[[#This Row],[_LeafProgress]]</f>
        <v>0</v>
      </c>
      <c r="EN127" s="43" t="n">
        <f aca="false">IF(ISNUMBER(Tasks[[#This Row],[% Complete]]),Tasks[[#This Row],[% Complete]],IF(Tasks[[#This Row],[Stage]]="",0,IFERROR(INDEX(stg_Pct,MATCH(Tasks[[#This Row],[Stage]],stg_Name,0)),0)))</f>
        <v>0</v>
      </c>
      <c r="EO127" s="43" t="n">
        <f aca="false">IF(NOT(Tasks[[#This Row],[_IsLeaf]]=1),0,IF(N(Tasks[[#This Row],[Actual Finish]])&gt;0,1,MIN(1,Tasks[[#This Row],[_Pct]])))</f>
        <v>0</v>
      </c>
      <c r="EP127" s="43" t="n">
        <f aca="false">IF(OR(NOT(Tasks[[#This Row],[_IsLeaf]]=1),Tasks[[#This Row],[_Res1Row]]=0),0,N(Tasks[[#This Row],[_Days]])*HoursPerDay*IF(Tasks[[#This Row],[_Units1]]="",DefaultUnits,Tasks[[#This Row],[_Units1]]))</f>
        <v>0</v>
      </c>
      <c r="EQ127" s="43" t="n">
        <f aca="false">Tasks[[#This Row],[_LeafWork]]+Tasks[[#This Row],[_Res2Work]]+Tasks[[#This Row],[_Res3Work]]+Tasks[[#This Row],[_Res4Work]]</f>
        <v>0</v>
      </c>
      <c r="ER12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7" s="43" t="n">
        <f aca="false">IF(NOT(Tasks[[#This Row],[_IsLeaf]]=1),0,MAX(_xlfn.MAXIFS(Tasks[_Row],Tasks[_Pred1UID],Tasks[[#This Row],[UID]]),_xlfn.MAXIFS(Tasks[_Row],Tasks[_Pred2UID],Tasks[[#This Row],[UID]]),_xlfn.MAXIFS(Tasks[_Row],Tasks[_Pred3UID],Tasks[[#This Row],[UID]]),_xlfn.MAXIFS(Tasks[_Row],Tasks[_Pred4UID],Tasks[[#This Row],[UID]])))</f>
        <v>0</v>
      </c>
      <c r="FA12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7" s="91" t="str">
        <f aca="false">IF(NOT(Tasks[[#This Row],[_IsLeaf]]=1),"",IF(N(Tasks[[#This Row],[_Days]])&lt;=0,Tasks[[#This Row],[_LeafLateFinish]],WORKDAY.INTL(Tasks[[#This Row],[_LeafLateFinish]],-(Tasks[[#This Row],[_Days]]-1),WorkWeek,Holidays)))</f>
        <v/>
      </c>
      <c r="FD12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7" s="90" t="b">
        <f aca="false">AND(Tasks[[#This Row],[_IsLeaf]]=1,Tasks[[#This Row],[_LeafProgress]]&lt;1,N(Tasks[[#This Row],[_LeafTotalSlack]])&lt;=CriticalSlackDays)</f>
        <v>0</v>
      </c>
      <c r="FF127" s="43" t="n">
        <f aca="false">IF(AND(Tasks[[#This Row],[_IsLeaf]]=1,Tasks[[#This Row],[_ConstraintCode]]=1,Tasks[[#This Row],[Mode]]&lt;&gt;"Manual",N(Tasks[[#This Row],[Actual Start]])=0),MAX(0,N(Tasks[[#This Row],[Free Slack]])),0)</f>
        <v>0</v>
      </c>
      <c r="FG127" s="91" t="str">
        <f aca="false">IF(NOT(Tasks[[#This Row],[_IsLeaf]]=1),"",IF(Tasks[[#This Row],[_AlapShift]]=0,Tasks[[#This Row],[_LeafCalcStart]],WORKDAY.INTL(Tasks[[#This Row],[_LeafCalcStart]],Tasks[[#This Row],[_AlapShift]],WorkWeek,Holidays)))</f>
        <v/>
      </c>
      <c r="FH127" s="91" t="str">
        <f aca="false">IF(NOT(Tasks[[#This Row],[_IsLeaf]]=1),"",IF(Tasks[[#This Row],[_AlapShift]]=0,Tasks[[#This Row],[_LeafCalcFinish]],WORKDAY.INTL(Tasks[[#This Row],[_LeafCalcFinish]],Tasks[[#This Row],[_AlapShift]],WorkWeek,Holidays)))</f>
        <v/>
      </c>
      <c r="FI127" s="91" t="str">
        <f aca="false">IF(NOT(Tasks[[#This Row],[_IsLeaf]]=1),"",IF(Tasks[[#This Row],[_AlapShift]]=0,Tasks[[#This Row],[_LeafFcstStart]],WORKDAY.INTL(Tasks[[#This Row],[_LeafFcstStart]],Tasks[[#This Row],[_AlapShift]],WorkWeek,Holidays)))</f>
        <v/>
      </c>
      <c r="FJ127" s="91" t="str">
        <f aca="false">IF(NOT(Tasks[[#This Row],[_IsLeaf]]=1),"",IF(Tasks[[#This Row],[_AlapShift]]=0,Tasks[[#This Row],[_LeafFcstFinish]],WORKDAY.INTL(Tasks[[#This Row],[_LeafFcstFinish]],Tasks[[#This Row],[_AlapShift]],WorkWeek,Holidays)))</f>
        <v/>
      </c>
      <c r="FK127" s="91" t="str">
        <f aca="false">IF(Tasks[[#This Row],[Task Name]]="","",IF(Tasks[[#This Row],[_IsSummary]],MIN(INDEX(Tasks[_ShownCalcStart],Tasks[[#This Row],[_Row]]+1):INDEX(Tasks[_ShownCalcStart],Tasks[[#This Row],[_Row]]+Tasks[[#This Row],[_Descendants]])),Tasks[[#This Row],[_ShownCalcStart]]))</f>
        <v/>
      </c>
      <c r="FL127" s="91" t="str">
        <f aca="false">IF(Tasks[[#This Row],[Task Name]]="","",IF(Tasks[[#This Row],[_IsSummary]],MAX(INDEX(Tasks[_ShownCalcFinish],Tasks[[#This Row],[_Row]]+1):INDEX(Tasks[_ShownCalcFinish],Tasks[[#This Row],[_Row]]+Tasks[[#This Row],[_Descendants]])),Tasks[[#This Row],[_ShownCalcFinish]]))</f>
        <v/>
      </c>
      <c r="FM12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7" s="43" t="n">
        <f aca="false">IF(AND(Tasks[[#This Row],[_IsLeaf]]=1,Tasks[[#This Row],[_LeafTotalWork]]&gt;0),NETWORKDAYS.INTL(ProjectStart,Tasks[[#This Row],[_ShownFcstStart]],WorkWeek,Holidays),0)</f>
        <v>0</v>
      </c>
      <c r="FZ127" s="43" t="n">
        <f aca="false">IF(AND(Tasks[[#This Row],[_IsLeaf]]=1,Tasks[[#This Row],[_LeafTotalWork]]&gt;0),MAX(Tasks[[#This Row],[_StartWorkday]],NETWORKDAYS.INTL(ProjectStart,Tasks[[#This Row],[_ShownFcstFinish]],WorkWeek,Holidays)),0)</f>
        <v>0</v>
      </c>
      <c r="GA127" s="43" t="n">
        <f aca="false">IF(AND(Tasks[[#This Row],[_IsLeaf]]=1,Tasks[[#This Row],[_LeafTotalWork]]&gt;0),Tasks[[#This Row],[_LeafWork]]/(Tasks[[#This Row],[_FinishWorkday]]-Tasks[[#This Row],[_StartWorkday]]+1),0)</f>
        <v>0</v>
      </c>
      <c r="GB127" s="43" t="n">
        <f aca="false">Tasks[[#This Row],[_WorkPerWorkday]]*(Tasks[[#This Row],[_StartWorkday]]-1)</f>
        <v>-0</v>
      </c>
      <c r="GC127" s="43" t="n">
        <f aca="false">IF(Tasks[[#This Row],[_IsLeaf]]=1,MAX(N(Tasks[[#This Row],[_Days]]),0.1),0)</f>
        <v>0</v>
      </c>
      <c r="GD127" s="43" t="n">
        <f aca="false">Tasks[[#This Row],[_WeightDur]]*Tasks[[#This Row],[_LeafProgress]]</f>
        <v>0</v>
      </c>
      <c r="GE127" s="43" t="n">
        <f aca="false">Tasks[[#This Row],[_WeightDur]]*Tasks[[#This Row],[_PlannedPct]]</f>
        <v>0</v>
      </c>
      <c r="GF12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7" s="43" t="str">
        <f aca="false">IF(AND(Tasks[[#This Row],[_IsLeaf]]=1,N(Tasks[[#This Row],[_Days]])=0,Tasks[[#This Row],[_LeafProgress]]&lt;1),Tasks[[#This Row],[_ShownFcstFinish]]+Tasks[[#This Row],[_Row]]/100000,"")</f>
        <v/>
      </c>
      <c r="GH12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7" s="43" t="str">
        <f aca="false">IF(Tasks[[#This Row],[Task Name]]="","",LEFT(Tasks[[#This Row],[WBS]],FIND(".",Tasks[[#This Row],[WBS]]&amp;".")-1))</f>
        <v/>
      </c>
      <c r="GJ127" s="43" t="str">
        <f aca="false">IF(AND(Tasks[[#This Row],[Task Name]]&lt;&gt;"",Tasks[[#This Row],[_Level]]=1),Tasks[[#This Row],[_Row]],"")</f>
        <v/>
      </c>
      <c r="GK127" s="43" t="str">
        <f aca="false">IF(AND(Tasks[[#This Row],[_IsLeaf]]=1,N(Tasks[[#This Row],[_Days]])=0),Tasks[[#This Row],[Planned Finish]]+Tasks[[#This Row],[_Row]]/100000,"")</f>
        <v/>
      </c>
      <c r="GL127" s="43" t="str">
        <f aca="false">IF(AND(Tasks[[#This Row],[_IsLeaf]]=1,Tasks[[#This Row],[_LeafProgress]]&lt;1,OR(N(Tasks[[#This Row],[Finish Var]])&gt;0,Tasks[[#This Row],[Status]]="Late Start")),MAX(0,Tasks[[#This Row],[Finish Var]])+1-Tasks[[#This Row],[_Row]]/1000000,"")</f>
        <v/>
      </c>
      <c r="GM127" s="43" t="str">
        <f aca="false">IF(AND(Tasks[[#This Row],[_IsLeaf]]=1,N(Tasks[[#This Row],[Actual Start]])=0,Tasks[[#This Row],[_ShownFcstStart]]&gt;=StatusDate,Tasks[[#This Row],[_ShownFcstStart]]&lt;=LookaheadEnd),Tasks[[#This Row],[_ShownFcstStart]]+Tasks[[#This Row],[_Row]]/100000,"")</f>
        <v/>
      </c>
      <c r="GN127" s="43" t="str">
        <f aca="false">IF(AND(Tasks[[#This Row],[_IsLeaf]]=1,Tasks[[#This Row],[_LeafProgress]]&lt;1,Tasks[[#This Row],[_ShownFcstFinish]]&gt;=StatusDate,Tasks[[#This Row],[_ShownFcstFinish]]&lt;=LookaheadEnd),Tasks[[#This Row],[_ShownFcstFinish]]+Tasks[[#This Row],[_Row]]/100000,"")</f>
        <v/>
      </c>
      <c r="GO127" s="43" t="str">
        <f aca="false">IF(Tasks[[#This Row],[_LeafCritical]],Tasks[[#This Row],[_ShownFcstStart]]+Tasks[[#This Row],[_Row]]/100000,"")</f>
        <v/>
      </c>
      <c r="GP127" s="43" t="n">
        <f aca="false">Tasks[[#This Row],[_LeafWork]]*Tasks[[#This Row],[_LeafProgress]]</f>
        <v>0</v>
      </c>
      <c r="GQ127" s="91" t="str">
        <f aca="false">IF(AND(Tasks[[#This Row],[_IsLeaf]]=1,Tasks[[#This Row],[_LeafProgress]]&gt;=1),IF(N(Tasks[[#This Row],[Actual Finish]])&gt;0,Tasks[[#This Row],[Actual Finish]],Tasks[[#This Row],[_ShownFcstFinish]]),"")</f>
        <v/>
      </c>
      <c r="GR127" s="43" t="n">
        <f aca="false">IF(Tasks[[#This Row],[_IsLeaf]]=1,N(Tasks[[#This Row],[Story Points]]),0)</f>
        <v>0</v>
      </c>
      <c r="GS127" s="43" t="str">
        <f aca="false">""</f>
        <v/>
      </c>
      <c r="GT127" s="90" t="b">
        <f aca="false">IF(Tasks[[#This Row],[Task Name]]="",FALSE(),AND(Tasks[[#This Row],[_IsLeaf]]=1,N(Tasks[[#This Row],[_Days]])=0))</f>
        <v>0</v>
      </c>
      <c r="GU127" s="91" t="n">
        <f aca="false">IF(Tasks[[#This Row],[Task Name]]="",0,IF(AND(Tasks[[#This Row],[_IsLeaf]]=1,NOT(Tasks[[#This Row],[_IsMilestone]]),N(Tasks[[#This Row],[Progress]])&gt;0),Tasks[[#This Row],[Start]],0))</f>
        <v>0</v>
      </c>
      <c r="GV127" s="91" t="n">
        <f aca="false">IF(Tasks[[#This Row],[_DoneFrom]]=0,0,IF(Tasks[[#This Row],[Progress]]&gt;=1,Tasks[[#This Row],[Finish]],MAX(Tasks[[#This Row],[_DoneFrom]],Tasks[[#This Row],[Start]]+ROUND((Tasks[[#This Row],[Finish]]-Tasks[[#This Row],[Start]]+1)*Tasks[[#This Row],[Progress]],0)-1)))</f>
        <v>0</v>
      </c>
      <c r="GW127" s="91" t="n">
        <f aca="false">IF(Tasks[[#This Row],[Task Name]]="",0,IF(OR(NOT(Tasks[[#This Row],[_IsLeaf]]=1),Tasks[[#This Row],[_IsMilestone]],N(Tasks[[#This Row],[Progress]])&gt;=1),0,IF(Tasks[[#This Row],[_DoneTo]]&gt;0,Tasks[[#This Row],[_DoneTo]]+1,Tasks[[#This Row],[Start]])))</f>
        <v>0</v>
      </c>
      <c r="GX127" s="91" t="n">
        <f aca="false">IF(Tasks[[#This Row],[_RemFrom]]=0,0,Tasks[[#This Row],[Finish]])</f>
        <v>0</v>
      </c>
      <c r="GY127" s="90" t="b">
        <f aca="false">IF(Tasks[[#This Row],[Task Name]]="",FALSE(),OR(NOT(BaselineSet),N(Tasks[[#This Row],[Baseline Start]])&gt;0))</f>
        <v>0</v>
      </c>
      <c r="GZ12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7" s="92" t="str">
        <f aca="false">IF(Tasks[[#This Row],[_IsLeaf]]=1,Tasks[[#This Row],[_Row]],"")</f>
        <v/>
      </c>
      <c r="HD127" s="92" t="str">
        <f aca="false">IFERROR(INDEX(Tasks[UID],SMALL(Tasks[_PickKey],Tasks[[#This Row],[_Row]]))&amp;" "&amp;INDEX(Tasks[Task Name],SMALL(Tasks[_PickKey],Tasks[[#This Row],[_Row]])),"")</f>
        <v/>
      </c>
      <c r="HE127" s="43" t="str">
        <f aca="false">IF(Tasks[[#This Row],[Task Name]]="","",IF(Tasks[[#This Row],[_IsSummary]],NETWORKDAYS.INTL(Tasks[[#This Row],[Start]],Tasks[[#This Row],[Finish]],WorkWeek,Holidays),N(Tasks[[#This Row],[_Days]])))</f>
        <v/>
      </c>
      <c r="HF127" s="43" t="n">
        <f aca="false">IF(Tasks[[#This Row],[Expected]]="",0,((Tasks[[#This Row],[Pessimistic]]-Tasks[[#This Row],[Optimistic]])/6)^2)</f>
        <v>0</v>
      </c>
      <c r="HG127" s="43" t="n">
        <f aca="false">IF(Tasks[[#This Row],[Expected]]="",0,Tasks[[#This Row],[Expected]]-N(Tasks[[#This Row],[_Days]]))</f>
        <v>0</v>
      </c>
    </row>
    <row r="128" customFormat="false" ht="15" hidden="false" customHeight="false" outlineLevel="0" collapsed="false">
      <c r="A128" s="21" t="str">
        <f aca="false">IF(Tasks[[#This Row],[Task Name]]="","",COUNTA(Tasks[[#Headers],[Task Name]]:Tasks[[#This Row],[Task Name]])-1)</f>
        <v/>
      </c>
      <c r="B128" s="22" t="n">
        <v>136</v>
      </c>
      <c r="C128" s="22"/>
      <c r="D128" s="23"/>
      <c r="E128" s="22"/>
      <c r="F128" s="23"/>
      <c r="G128" s="22"/>
      <c r="H128" s="22"/>
      <c r="I128" s="23"/>
      <c r="J128" s="22"/>
      <c r="K128" s="22"/>
      <c r="L128" s="23"/>
      <c r="M128" s="22"/>
      <c r="N128" s="22"/>
      <c r="O128" s="23"/>
      <c r="P128" s="22"/>
      <c r="Q128" s="22"/>
      <c r="R128" s="23"/>
      <c r="S128" s="23"/>
      <c r="T128" s="84"/>
      <c r="U128" s="23"/>
      <c r="V128" s="84"/>
      <c r="W128" s="23"/>
      <c r="X128" s="84"/>
      <c r="Y128" s="23"/>
      <c r="Z128" s="84"/>
      <c r="AA128" s="23"/>
      <c r="AB128" s="23"/>
      <c r="AC128" s="7"/>
      <c r="AD128" s="7"/>
      <c r="AE128" s="63" t="str">
        <f aca="false">IF(Tasks[[#This Row],[Task Name]]="","",IF(Tasks[[#This Row],[_IsSummary]],MIN(INDEX(Tasks[_ShownFcstStart],Tasks[[#This Row],[_Row]]+1):INDEX(Tasks[_ShownFcstStart],Tasks[[#This Row],[_Row]]+Tasks[[#This Row],[_Descendants]])),Tasks[[#This Row],[_ShownFcstStart]]))</f>
        <v/>
      </c>
      <c r="AF128" s="63" t="str">
        <f aca="false">IF(Tasks[[#This Row],[Task Name]]="","",IF(Tasks[[#This Row],[_IsSummary]],MAX(INDEX(Tasks[_ShownFcstFinish],Tasks[[#This Row],[_Row]]+1):INDEX(Tasks[_ShownFcstFinish],Tasks[[#This Row],[_Row]]+Tasks[[#This Row],[_Descendants]])),Tasks[[#This Row],[_ShownFcstFinish]]))</f>
        <v/>
      </c>
      <c r="AG128" s="21" t="str">
        <f aca="false">""</f>
        <v/>
      </c>
      <c r="AH128" s="23"/>
      <c r="AI1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8" s="7"/>
      <c r="AK128" s="22"/>
      <c r="AL128" s="23"/>
      <c r="AM128" s="7"/>
      <c r="AN128" s="47" t="str">
        <f aca="false">IF(Tasks[[#This Row],[Task Name]]="","",IF(Tasks[[#This Row],[Finish]]&gt;=Tasks[[#This Row],[Planned Finish]],NETWORKDAYS.INTL(Tasks[[#This Row],[Planned Finish]],Tasks[[#This Row],[Finish]],WorkWeek,Holidays)-1,1-NETWORKDAYS.INTL(Tasks[[#This Row],[Finish]],Tasks[[#This Row],[Planned Finish]],WorkWeek,Holidays)))</f>
        <v/>
      </c>
      <c r="AO128" s="21" t="str">
        <f aca="false">IF(Tasks[[#This Row],[Task Name]]="","",IF(Tasks[[#This Row],[Progress]]&gt;=1,"Complete",IF(OR(N(Tasks[[#This Row],[Actual Start]])&gt;0,Tasks[[#This Row],[Progress]]&gt;0),IF(Tasks[[#This Row],[Finish Var]]&gt;0,"Behind","In Progress"),IF(Tasks[[#This Row],[Planned Start]]&lt;StatusDate,"Late Start","Not Started"))))</f>
        <v/>
      </c>
      <c r="AP128" s="21" t="str">
        <f aca="false">IF(Tasks[[#This Row],[Task Name]]="","",IF(IF(Tasks[[#This Row],[_IsSummary]],COUNTIF(INDEX(Tasks[_LeafCritical],Tasks[[#This Row],[_Row]]+1):INDEX(Tasks[_LeafCritical],Tasks[[#This Row],[_Row]]+Tasks[[#This Row],[_Descendants]]),TRUE())&gt;0,Tasks[[#This Row],[_LeafCritical]]),"Yes",""))</f>
        <v/>
      </c>
      <c r="AQ128" s="63" t="str">
        <f aca="false">IF(Tasks[[#This Row],[Task Name]]="","",IF(N(Tasks[[#This Row],[Baseline Start]])&gt;0,Tasks[[#This Row],[Baseline Start]],Tasks[[#This Row],[_CalcStart]]))</f>
        <v/>
      </c>
      <c r="AR128" s="63" t="str">
        <f aca="false">IF(Tasks[[#This Row],[Task Name]]="","",IF(N(Tasks[[#This Row],[Baseline Finish]])&gt;0,Tasks[[#This Row],[Baseline Finish]],Tasks[[#This Row],[_CalcFinish]]))</f>
        <v/>
      </c>
      <c r="AS128" s="47" t="str">
        <f aca="false">IF(Tasks[[#This Row],[Task Name]]="","",IF(Tasks[[#This Row],[Start]]&gt;=Tasks[[#This Row],[Planned Start]],NETWORKDAYS.INTL(Tasks[[#This Row],[Planned Start]],Tasks[[#This Row],[Start]],WorkWeek,Holidays)-1,1-NETWORKDAYS.INTL(Tasks[[#This Row],[Start]],Tasks[[#This Row],[Planned Start]],WorkWeek,Holidays)))</f>
        <v/>
      </c>
      <c r="AT128" s="63" t="str">
        <f aca="false">IF(Tasks[[#This Row],[Task Name]]="","",IF(Tasks[[#This Row],[_IsSummary]],MIN(INDEX(Tasks[_LeafLateStart],Tasks[[#This Row],[_Row]]+1):INDEX(Tasks[_LeafLateStart],Tasks[[#This Row],[_Row]]+Tasks[[#This Row],[_Descendants]])),Tasks[[#This Row],[_LeafLateStart]]))</f>
        <v/>
      </c>
      <c r="AU128" s="63" t="str">
        <f aca="false">IF(Tasks[[#This Row],[Task Name]]="","",IF(Tasks[[#This Row],[_IsSummary]],MAX(INDEX(Tasks[_LeafLateFinish],Tasks[[#This Row],[_Row]]+1):INDEX(Tasks[_LeafLateFinish],Tasks[[#This Row],[_Row]]+Tasks[[#This Row],[_Descendants]])),Tasks[[#This Row],[_LeafLateFinish]]))</f>
        <v/>
      </c>
      <c r="AV128" s="47" t="str">
        <f aca="false">IF(Tasks[[#This Row],[Task Name]]="","",IF(Tasks[[#This Row],[_IsSummary]],MIN(INDEX(Tasks[_LeafTotalSlack],Tasks[[#This Row],[_Row]]+1):INDEX(Tasks[_LeafTotalSlack],Tasks[[#This Row],[_Row]]+Tasks[[#This Row],[_Descendants]])),Tasks[[#This Row],[_LeafTotalSlack]]))</f>
        <v/>
      </c>
      <c r="AW1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5"/>
      <c r="BA12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1" t="str">
        <f aca="false">IF(Tasks[[#This Row],[Task Name]]="","",IF(Tasks[[#This Row],[_Level]]&lt;=OutlineShowLevel,"Yes","No"))</f>
        <v/>
      </c>
      <c r="BE128" s="86" t="str">
        <f aca="false">IF(Tasks[[#This Row],[Task Name]]="","",IF(Tasks[[#This Row],[_IsSummary]],SUM(INDEX(Tasks[_LeafTotalWork],Tasks[[#This Row],[_Row]]+1):INDEX(Tasks[_LeafTotalWork],Tasks[[#This Row],[_Row]]+Tasks[[#This Row],[_Descendants]])),Tasks[[#This Row],[_LeafTotalWork]]))</f>
        <v/>
      </c>
      <c r="BF128" s="23"/>
      <c r="BG1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8" s="21" t="str">
        <f aca="false">""</f>
        <v/>
      </c>
      <c r="BI128" s="87"/>
      <c r="BJ128" s="22"/>
      <c r="BK128" s="47" t="str">
        <f aca="false">IF(OR(Tasks[[#This Row],[Task Name]]="",Tasks[[#This Row],[Baseline Duration]]=""),"",Tasks[[#This Row],[_SpanDays]]-N(Tasks[[#This Row],[Baseline Duration]]))</f>
        <v/>
      </c>
      <c r="BL128" s="86" t="str">
        <f aca="false">IF(OR(Tasks[[#This Row],[Task Name]]="",Tasks[[#This Row],[Baseline Work]]=""),"",Tasks[[#This Row],[Work]]-N(Tasks[[#This Row],[Baseline Work]]))</f>
        <v/>
      </c>
      <c r="BM128" s="63" t="str">
        <f aca="false">IF(Tasks[[#This Row],[Task Name]]="","",IF(OR(TakeBaseline="Yes",N(Tasks[[#This Row],[Baseline Start]])=0),Tasks[[#This Row],[Start]],Tasks[[#This Row],[Baseline Start]]))</f>
        <v/>
      </c>
      <c r="BN128" s="63" t="str">
        <f aca="false">IF(Tasks[[#This Row],[Task Name]]="","",IF(OR(TakeBaseline="Yes",N(Tasks[[#This Row],[Baseline Finish]])=0),Tasks[[#This Row],[Finish]],Tasks[[#This Row],[Baseline Finish]]))</f>
        <v/>
      </c>
      <c r="BO128" s="21" t="str">
        <f aca="false">IF(Tasks[[#This Row],[Task Name]]="","",IF(OR(TakeBaseline="Yes",N(Tasks[[#This Row],[Baseline Duration]])=0),Tasks[[#This Row],[_SpanDays]],Tasks[[#This Row],[Baseline Duration]]))</f>
        <v/>
      </c>
      <c r="BP128" s="86" t="str">
        <f aca="false">IF(Tasks[[#This Row],[Task Name]]="","",IF(OR(TakeBaseline="Yes",N(Tasks[[#This Row],[Baseline Work]])=0),Tasks[[#This Row],[Work]],Tasks[[#This Row],[Baseline Work]]))</f>
        <v/>
      </c>
      <c r="BQ128" s="7"/>
      <c r="BR128" s="7"/>
      <c r="BS128" s="22"/>
      <c r="BT128" s="88"/>
      <c r="BU128" s="23"/>
      <c r="BV128" s="23"/>
      <c r="BW128" s="23"/>
      <c r="BX128" s="89" t="str">
        <f aca="false">IF(AND(Tasks[[#This Row],[_IsLeaf]]=1,ISNUMBER(Tasks[[#This Row],[Optimistic]]),ISNUMBER(Tasks[[#This Row],[Pessimistic]])),ROUND((Tasks[[#This Row],[Optimistic]]+4*N(Tasks[[#This Row],[_Days]])+Tasks[[#This Row],[Pessimistic]])/6,1),"")</f>
        <v/>
      </c>
      <c r="BY128" s="87"/>
      <c r="BZ128" s="87"/>
      <c r="CA128" s="22"/>
      <c r="CB128" s="43" t="str">
        <f aca="false">IF(Tasks[[#This Row],[Task Name]]="","",MAX(1,N(Tasks[[#This Row],[Level]])))</f>
        <v/>
      </c>
      <c r="CC128" s="43" t="n">
        <f aca="false">ROW()-ROW(Tasks[[#Headers],[ID]])</f>
        <v>123</v>
      </c>
      <c r="CD128" s="43" t="n">
        <f aca="false">IF(OR(Tasks[[#This Row],[Task Name]]="",Tasks[[#This Row],[_Level]]&lt;=1),0,IFERROR(LOOKUP(2,1/(Tasks[[#Headers],[_Level]]:Tasks[[#This Row],[_Level]]=Tasks[[#This Row],[_Level]]-1),ROW(Tasks[[#Headers],[_Level]]:Tasks[[#This Row],[_Level]])),0))</f>
        <v>0</v>
      </c>
      <c r="CE128" s="43" t="n">
        <f aca="false">IFERROR(N(INDEX(Tasks[_Level],Tasks[[#This Row],[_Row]]+1)),0)</f>
        <v>0</v>
      </c>
      <c r="CF128" s="90" t="b">
        <f aca="false">AND(Tasks[[#This Row],[Task Name]]&lt;&gt;"",Tasks[[#This Row],[_NextLevel]]&gt;Tasks[[#This Row],[_Level]])</f>
        <v>0</v>
      </c>
      <c r="CG128" s="43" t="n">
        <f aca="false">IF(Tasks[[#This Row],[_IsSummary]],COUNTIF(Tasks[WBS],Tasks[[#This Row],[WBS]]&amp;".*"),0)</f>
        <v>0</v>
      </c>
      <c r="CH128" s="43" t="n">
        <f aca="false">IF(AND(Tasks[[#This Row],[Task Name]]&lt;&gt;"",NOT(Tasks[[#This Row],[_IsSummary]])),1,0)</f>
        <v>0</v>
      </c>
      <c r="CI128" s="43" t="n">
        <f aca="false">IF(N(Tasks[[#This Row],[_Pred1UID]])=0,0,IFERROR(MATCH(Tasks[[#This Row],[_Pred1UID]],Tasks[UID],0),-1))</f>
        <v>0</v>
      </c>
      <c r="CJ128" s="43" t="n">
        <f aca="false">IF(N(Tasks[[#This Row],[_Pred2UID]])=0,0,IFERROR(MATCH(Tasks[[#This Row],[_Pred2UID]],Tasks[UID],0),-1))</f>
        <v>0</v>
      </c>
      <c r="CK128" s="43" t="n">
        <f aca="false">IF(N(Tasks[[#This Row],[_Pred3UID]])=0,0,IFERROR(MATCH(Tasks[[#This Row],[_Pred3UID]],Tasks[UID],0),-1))</f>
        <v>0</v>
      </c>
      <c r="CL128" s="43" t="n">
        <f aca="false">IF(N(Tasks[[#This Row],[_Pred4UID]])=0,0,IFERROR(MATCH(Tasks[[#This Row],[_Pred4UID]],Tasks[UID],0),-1))</f>
        <v>0</v>
      </c>
      <c r="CM12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8" s="91" t="n">
        <f aca="false">IF(OR(Tasks[[#This Row],[_ConstraintCode]]=2,Tasks[[#This Row],[_ConstraintCode]]=3,Tasks[[#This Row],[_ConstraintCode]]=4,Tasks[[#This Row],[_ConstraintCode]]=6),Tasks[[#This Row],[_ConstraintStart]],0)</f>
        <v>0</v>
      </c>
      <c r="CP128" s="91" t="n">
        <f aca="false">IF(OR(Tasks[[#This Row],[_ConstraintCode]]=2,Tasks[[#This Row],[_ConstraintCode]]=3,Tasks[[#This Row],[_ConstraintCode]]=5,Tasks[[#This Row],[_ConstraintCode]]=7),Tasks[[#This Row],[_ConstraintStart]],2958465)</f>
        <v>2958465</v>
      </c>
      <c r="CQ12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8" s="91" t="str">
        <f aca="false">IF(NOT(Tasks[[#This Row],[_IsLeaf]]=1),"",IF(N(Tasks[[#This Row],[_Days]])&lt;=0,Tasks[[#This Row],[_LeafCalcStart]],WORKDAY.INTL(Tasks[[#This Row],[_LeafCalcStart]],Tasks[[#This Row],[_Days]]-1,WorkWeek,Holidays)))</f>
        <v/>
      </c>
      <c r="CS12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8" s="43" t="str">
        <f aca="false">IF(Tasks[[#This Row],[_Predecessors]]="","",TRIM(MID(SUBSTITUTE(SUBSTITUTE(SUBSTITUTE(UPPER(Tasks[[#This Row],[_Predecessors]]),";",",")," ",""),",",REPT(" ",99)),1,99)))</f>
        <v/>
      </c>
      <c r="CV128" s="43" t="str">
        <f aca="false">IF(Tasks[[#This Row],[_Pred1Text]]="","",IFERROR(VALUE(LEFT(Tasks[[#This Row],[_Pred1Text]],MIN(FIND("F",Tasks[[#This Row],[_Pred1Text]]&amp;"F"),FIND("S",Tasks[[#This Row],[_Pred1Text]]&amp;"S"),FIND("+",Tasks[[#This Row],[_Pred1Text]]&amp;"+"),FIND("-",Tasks[[#This Row],[_Pred1Text]]&amp;"-"))-1)),""))</f>
        <v/>
      </c>
      <c r="CW12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8" s="43" t="str">
        <f aca="false">IF(Tasks[[#This Row],[_Pred1Text]]="","",TRIM(MID(SUBSTITUTE(SUBSTITUTE(SUBSTITUTE(UPPER(Tasks[[#This Row],[_Predecessors]]),";",",")," ",""),",",REPT(" ",99)),100,99)))</f>
        <v/>
      </c>
      <c r="CZ128" s="43" t="str">
        <f aca="false">IF(Tasks[[#This Row],[_Pred2Text]]="","",IFERROR(VALUE(LEFT(Tasks[[#This Row],[_Pred2Text]],MIN(FIND("F",Tasks[[#This Row],[_Pred2Text]]&amp;"F"),FIND("S",Tasks[[#This Row],[_Pred2Text]]&amp;"S"),FIND("+",Tasks[[#This Row],[_Pred2Text]]&amp;"+"),FIND("-",Tasks[[#This Row],[_Pred2Text]]&amp;"-"))-1)),""))</f>
        <v/>
      </c>
      <c r="DA12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8" s="43" t="str">
        <f aca="false">IF(Tasks[[#This Row],[_Pred2Text]]="","",TRIM(MID(SUBSTITUTE(SUBSTITUTE(SUBSTITUTE(UPPER(Tasks[[#This Row],[_Predecessors]]),";",",")," ",""),",",REPT(" ",99)),199,99)))</f>
        <v/>
      </c>
      <c r="DD128" s="43" t="str">
        <f aca="false">IF(Tasks[[#This Row],[_Pred3Text]]="","",IFERROR(VALUE(LEFT(Tasks[[#This Row],[_Pred3Text]],MIN(FIND("F",Tasks[[#This Row],[_Pred3Text]]&amp;"F"),FIND("S",Tasks[[#This Row],[_Pred3Text]]&amp;"S"),FIND("+",Tasks[[#This Row],[_Pred3Text]]&amp;"+"),FIND("-",Tasks[[#This Row],[_Pred3Text]]&amp;"-"))-1)),""))</f>
        <v/>
      </c>
      <c r="DE12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8" s="43" t="str">
        <f aca="false">IF(Tasks[[#This Row],[_Pred3Text]]="","",TRIM(MID(SUBSTITUTE(SUBSTITUTE(SUBSTITUTE(UPPER(Tasks[[#This Row],[_Predecessors]]),";",",")," ",""),",",REPT(" ",99)),298,99)))</f>
        <v/>
      </c>
      <c r="DH128" s="43" t="str">
        <f aca="false">IF(Tasks[[#This Row],[_Pred4Text]]="","",IFERROR(VALUE(LEFT(Tasks[[#This Row],[_Pred4Text]],MIN(FIND("F",Tasks[[#This Row],[_Pred4Text]]&amp;"F"),FIND("S",Tasks[[#This Row],[_Pred4Text]]&amp;"S"),FIND("+",Tasks[[#This Row],[_Pred4Text]]&amp;"+"),FIND("-",Tasks[[#This Row],[_Pred4Text]]&amp;"-"))-1)),""))</f>
        <v/>
      </c>
      <c r="DI12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8" s="43" t="str">
        <f aca="false">IF(OR(Tasks[[#This Row],[Task Name]]="",Tasks[[#This Row],[_Resources]]=""),"",TRIM(MID(SUBSTITUTE(Tasks[[#This Row],[_Resources]],",",REPT(" ",99)),1,99)))</f>
        <v/>
      </c>
      <c r="DL128" s="43" t="str">
        <f aca="false">IF(Tasks[[#This Row],[_Res1Text]]="","",TRIM(MID(SUBSTITUTE(Tasks[[#This Row],[_Resources]],",",REPT(" ",99)),100,99)))</f>
        <v/>
      </c>
      <c r="DM128" s="43" t="str">
        <f aca="false">IF(Tasks[[#This Row],[_Res2Text]]="","",TRIM(MID(SUBSTITUTE(Tasks[[#This Row],[_Resources]],",",REPT(" ",99)),199,99)))</f>
        <v/>
      </c>
      <c r="DN128" s="43" t="str">
        <f aca="false">IF(Tasks[[#This Row],[_Res3Text]]="","",TRIM(MID(SUBSTITUTE(Tasks[[#This Row],[_Resources]],",",REPT(" ",99)),298,99)))</f>
        <v/>
      </c>
      <c r="DO128" s="43" t="n">
        <f aca="false">IF(Tasks[[#This Row],[_Res1Text]]="",0,IFERROR(MATCH(TRIM(LEFT(Tasks[[#This Row],[_Res1Text]],FIND("[",Tasks[[#This Row],[_Res1Text]]&amp;"[")-1)),res_Name,0),IFERROR(MATCH(TRIM(LEFT(Tasks[[#This Row],[_Res1Text]],FIND("[",Tasks[[#This Row],[_Res1Text]]&amp;"[")-1)),res_Initials,0),0)))</f>
        <v>0</v>
      </c>
      <c r="DP128" s="43" t="n">
        <f aca="false">IF(Tasks[[#This Row],[_Res2Text]]="",0,IFERROR(MATCH(TRIM(LEFT(Tasks[[#This Row],[_Res2Text]],FIND("[",Tasks[[#This Row],[_Res2Text]]&amp;"[")-1)),res_Name,0),IFERROR(MATCH(TRIM(LEFT(Tasks[[#This Row],[_Res2Text]],FIND("[",Tasks[[#This Row],[_Res2Text]]&amp;"[")-1)),res_Initials,0),0)))</f>
        <v>0</v>
      </c>
      <c r="DQ128" s="43" t="n">
        <f aca="false">IF(Tasks[[#This Row],[_Res3Text]]="",0,IFERROR(MATCH(TRIM(LEFT(Tasks[[#This Row],[_Res3Text]],FIND("[",Tasks[[#This Row],[_Res3Text]]&amp;"[")-1)),res_Name,0),IFERROR(MATCH(TRIM(LEFT(Tasks[[#This Row],[_Res3Text]],FIND("[",Tasks[[#This Row],[_Res3Text]]&amp;"[")-1)),res_Initials,0),0)))</f>
        <v>0</v>
      </c>
      <c r="DR128" s="43" t="n">
        <f aca="false">IF(Tasks[[#This Row],[_Res4Text]]="",0,IFERROR(MATCH(TRIM(LEFT(Tasks[[#This Row],[_Res4Text]],FIND("[",Tasks[[#This Row],[_Res4Text]]&amp;"[")-1)),res_Name,0),IFERROR(MATCH(TRIM(LEFT(Tasks[[#This Row],[_Res4Text]],FIND("[",Tasks[[#This Row],[_Res4Text]]&amp;"[")-1)),res_Initials,0),0)))</f>
        <v>0</v>
      </c>
      <c r="DS128" s="43" t="str">
        <f aca="false">IF(Tasks[[#This Row],[_Res1Text]]="","",IF(Tasks[[#This Row],[_Res1Row]]&gt;0,INDEX(res_Name,Tasks[[#This Row],[_Res1Row]]),TRIM(LEFT(Tasks[[#This Row],[_Res1Text]],FIND("[",Tasks[[#This Row],[_Res1Text]]&amp;"[")-1))))</f>
        <v/>
      </c>
      <c r="DT12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8" s="43" t="n">
        <f aca="false">IF(NOT(Tasks[[#This Row],[_IsLeaf]]=1),0,(Tasks[[#This Row],[_Resource1]]&lt;&gt;"")+(Tasks[[#This Row],[_Res2]]&lt;&gt;"")+(Tasks[[#This Row],[_Res3]]&lt;&gt;"")+(Tasks[[#This Row],[_Res4]]&lt;&gt;""))</f>
        <v>0</v>
      </c>
      <c r="DV128" s="43" t="str">
        <f aca="false">IF(Tasks[[#This Row],[_Res2Text]]="","",IF(Tasks[[#This Row],[_Res2Row]]&gt;0,INDEX(res_Name,Tasks[[#This Row],[_Res2Row]]),TRIM(LEFT(Tasks[[#This Row],[_Res2Text]],FIND("[",Tasks[[#This Row],[_Res2Text]]&amp;"[")-1))))</f>
        <v/>
      </c>
      <c r="DW12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8" s="43" t="n">
        <f aca="false">IF(OR(NOT(Tasks[[#This Row],[_IsLeaf]]=1),Tasks[[#This Row],[_Res2Row]]=0),0,N(Tasks[[#This Row],[_Days]])*HoursPerDay*IF(Tasks[[#This Row],[_Res2Units]]="",DefaultUnits,Tasks[[#This Row],[_Res2Units]]))</f>
        <v>0</v>
      </c>
      <c r="DY128" s="43" t="n">
        <f aca="false">IF(AND(AND(Tasks[[#This Row],[_IsLeaf]]=1,Tasks[[#This Row],[_LeafTotalWork]]&gt;0),Tasks[[#This Row],[_Res2Work]]&gt;0),Tasks[[#This Row],[_Res2Work]]/(Tasks[[#This Row],[_FinishWorkday]]-Tasks[[#This Row],[_StartWorkday]]+1),0)</f>
        <v>0</v>
      </c>
      <c r="DZ128" s="43" t="n">
        <f aca="false">Tasks[[#This Row],[_Res2WorkPerWD]]*MAX(0,Tasks[[#This Row],[_StartWorkday]]-1)</f>
        <v>0</v>
      </c>
      <c r="EA128" s="43" t="n">
        <f aca="false">Tasks[[#This Row],[_Res2Work]]*Tasks[[#This Row],[_LeafProgress]]</f>
        <v>0</v>
      </c>
      <c r="EB128" s="43" t="str">
        <f aca="false">IF(Tasks[[#This Row],[_Res3Text]]="","",IF(Tasks[[#This Row],[_Res3Row]]&gt;0,INDEX(res_Name,Tasks[[#This Row],[_Res3Row]]),TRIM(LEFT(Tasks[[#This Row],[_Res3Text]],FIND("[",Tasks[[#This Row],[_Res3Text]]&amp;"[")-1))))</f>
        <v/>
      </c>
      <c r="EC12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8" s="43" t="n">
        <f aca="false">IF(OR(NOT(Tasks[[#This Row],[_IsLeaf]]=1),Tasks[[#This Row],[_Res3Row]]=0),0,N(Tasks[[#This Row],[_Days]])*HoursPerDay*IF(Tasks[[#This Row],[_Res3Units]]="",DefaultUnits,Tasks[[#This Row],[_Res3Units]]))</f>
        <v>0</v>
      </c>
      <c r="EE128" s="43" t="n">
        <f aca="false">IF(AND(AND(Tasks[[#This Row],[_IsLeaf]]=1,Tasks[[#This Row],[_LeafTotalWork]]&gt;0),Tasks[[#This Row],[_Res3Work]]&gt;0),Tasks[[#This Row],[_Res3Work]]/(Tasks[[#This Row],[_FinishWorkday]]-Tasks[[#This Row],[_StartWorkday]]+1),0)</f>
        <v>0</v>
      </c>
      <c r="EF128" s="43" t="n">
        <f aca="false">Tasks[[#This Row],[_Res3WorkPerWD]]*MAX(0,Tasks[[#This Row],[_StartWorkday]]-1)</f>
        <v>0</v>
      </c>
      <c r="EG128" s="43" t="n">
        <f aca="false">Tasks[[#This Row],[_Res3Work]]*Tasks[[#This Row],[_LeafProgress]]</f>
        <v>0</v>
      </c>
      <c r="EH128" s="43" t="str">
        <f aca="false">IF(Tasks[[#This Row],[_Res4Text]]="","",IF(Tasks[[#This Row],[_Res4Row]]&gt;0,INDEX(res_Name,Tasks[[#This Row],[_Res4Row]]),TRIM(LEFT(Tasks[[#This Row],[_Res4Text]],FIND("[",Tasks[[#This Row],[_Res4Text]]&amp;"[")-1))))</f>
        <v/>
      </c>
      <c r="EI12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8" s="43" t="n">
        <f aca="false">IF(OR(NOT(Tasks[[#This Row],[_IsLeaf]]=1),Tasks[[#This Row],[_Res4Row]]=0),0,N(Tasks[[#This Row],[_Days]])*HoursPerDay*IF(Tasks[[#This Row],[_Res4Units]]="",DefaultUnits,Tasks[[#This Row],[_Res4Units]]))</f>
        <v>0</v>
      </c>
      <c r="EK128" s="43" t="n">
        <f aca="false">IF(AND(AND(Tasks[[#This Row],[_IsLeaf]]=1,Tasks[[#This Row],[_LeafTotalWork]]&gt;0),Tasks[[#This Row],[_Res4Work]]&gt;0),Tasks[[#This Row],[_Res4Work]]/(Tasks[[#This Row],[_FinishWorkday]]-Tasks[[#This Row],[_StartWorkday]]+1),0)</f>
        <v>0</v>
      </c>
      <c r="EL128" s="43" t="n">
        <f aca="false">Tasks[[#This Row],[_Res4WorkPerWD]]*MAX(0,Tasks[[#This Row],[_StartWorkday]]-1)</f>
        <v>0</v>
      </c>
      <c r="EM128" s="43" t="n">
        <f aca="false">Tasks[[#This Row],[_Res4Work]]*Tasks[[#This Row],[_LeafProgress]]</f>
        <v>0</v>
      </c>
      <c r="EN128" s="43" t="n">
        <f aca="false">IF(ISNUMBER(Tasks[[#This Row],[% Complete]]),Tasks[[#This Row],[% Complete]],IF(Tasks[[#This Row],[Stage]]="",0,IFERROR(INDEX(stg_Pct,MATCH(Tasks[[#This Row],[Stage]],stg_Name,0)),0)))</f>
        <v>0</v>
      </c>
      <c r="EO128" s="43" t="n">
        <f aca="false">IF(NOT(Tasks[[#This Row],[_IsLeaf]]=1),0,IF(N(Tasks[[#This Row],[Actual Finish]])&gt;0,1,MIN(1,Tasks[[#This Row],[_Pct]])))</f>
        <v>0</v>
      </c>
      <c r="EP128" s="43" t="n">
        <f aca="false">IF(OR(NOT(Tasks[[#This Row],[_IsLeaf]]=1),Tasks[[#This Row],[_Res1Row]]=0),0,N(Tasks[[#This Row],[_Days]])*HoursPerDay*IF(Tasks[[#This Row],[_Units1]]="",DefaultUnits,Tasks[[#This Row],[_Units1]]))</f>
        <v>0</v>
      </c>
      <c r="EQ128" s="43" t="n">
        <f aca="false">Tasks[[#This Row],[_LeafWork]]+Tasks[[#This Row],[_Res2Work]]+Tasks[[#This Row],[_Res3Work]]+Tasks[[#This Row],[_Res4Work]]</f>
        <v>0</v>
      </c>
      <c r="ER12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8" s="43" t="n">
        <f aca="false">IF(NOT(Tasks[[#This Row],[_IsLeaf]]=1),0,MAX(_xlfn.MAXIFS(Tasks[_Row],Tasks[_Pred1UID],Tasks[[#This Row],[UID]]),_xlfn.MAXIFS(Tasks[_Row],Tasks[_Pred2UID],Tasks[[#This Row],[UID]]),_xlfn.MAXIFS(Tasks[_Row],Tasks[_Pred3UID],Tasks[[#This Row],[UID]]),_xlfn.MAXIFS(Tasks[_Row],Tasks[_Pred4UID],Tasks[[#This Row],[UID]])))</f>
        <v>0</v>
      </c>
      <c r="FA12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8" s="91" t="str">
        <f aca="false">IF(NOT(Tasks[[#This Row],[_IsLeaf]]=1),"",IF(N(Tasks[[#This Row],[_Days]])&lt;=0,Tasks[[#This Row],[_LeafLateFinish]],WORKDAY.INTL(Tasks[[#This Row],[_LeafLateFinish]],-(Tasks[[#This Row],[_Days]]-1),WorkWeek,Holidays)))</f>
        <v/>
      </c>
      <c r="FD12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8" s="90" t="b">
        <f aca="false">AND(Tasks[[#This Row],[_IsLeaf]]=1,Tasks[[#This Row],[_LeafProgress]]&lt;1,N(Tasks[[#This Row],[_LeafTotalSlack]])&lt;=CriticalSlackDays)</f>
        <v>0</v>
      </c>
      <c r="FF128" s="43" t="n">
        <f aca="false">IF(AND(Tasks[[#This Row],[_IsLeaf]]=1,Tasks[[#This Row],[_ConstraintCode]]=1,Tasks[[#This Row],[Mode]]&lt;&gt;"Manual",N(Tasks[[#This Row],[Actual Start]])=0),MAX(0,N(Tasks[[#This Row],[Free Slack]])),0)</f>
        <v>0</v>
      </c>
      <c r="FG128" s="91" t="str">
        <f aca="false">IF(NOT(Tasks[[#This Row],[_IsLeaf]]=1),"",IF(Tasks[[#This Row],[_AlapShift]]=0,Tasks[[#This Row],[_LeafCalcStart]],WORKDAY.INTL(Tasks[[#This Row],[_LeafCalcStart]],Tasks[[#This Row],[_AlapShift]],WorkWeek,Holidays)))</f>
        <v/>
      </c>
      <c r="FH128" s="91" t="str">
        <f aca="false">IF(NOT(Tasks[[#This Row],[_IsLeaf]]=1),"",IF(Tasks[[#This Row],[_AlapShift]]=0,Tasks[[#This Row],[_LeafCalcFinish]],WORKDAY.INTL(Tasks[[#This Row],[_LeafCalcFinish]],Tasks[[#This Row],[_AlapShift]],WorkWeek,Holidays)))</f>
        <v/>
      </c>
      <c r="FI128" s="91" t="str">
        <f aca="false">IF(NOT(Tasks[[#This Row],[_IsLeaf]]=1),"",IF(Tasks[[#This Row],[_AlapShift]]=0,Tasks[[#This Row],[_LeafFcstStart]],WORKDAY.INTL(Tasks[[#This Row],[_LeafFcstStart]],Tasks[[#This Row],[_AlapShift]],WorkWeek,Holidays)))</f>
        <v/>
      </c>
      <c r="FJ128" s="91" t="str">
        <f aca="false">IF(NOT(Tasks[[#This Row],[_IsLeaf]]=1),"",IF(Tasks[[#This Row],[_AlapShift]]=0,Tasks[[#This Row],[_LeafFcstFinish]],WORKDAY.INTL(Tasks[[#This Row],[_LeafFcstFinish]],Tasks[[#This Row],[_AlapShift]],WorkWeek,Holidays)))</f>
        <v/>
      </c>
      <c r="FK128" s="91" t="str">
        <f aca="false">IF(Tasks[[#This Row],[Task Name]]="","",IF(Tasks[[#This Row],[_IsSummary]],MIN(INDEX(Tasks[_ShownCalcStart],Tasks[[#This Row],[_Row]]+1):INDEX(Tasks[_ShownCalcStart],Tasks[[#This Row],[_Row]]+Tasks[[#This Row],[_Descendants]])),Tasks[[#This Row],[_ShownCalcStart]]))</f>
        <v/>
      </c>
      <c r="FL128" s="91" t="str">
        <f aca="false">IF(Tasks[[#This Row],[Task Name]]="","",IF(Tasks[[#This Row],[_IsSummary]],MAX(INDEX(Tasks[_ShownCalcFinish],Tasks[[#This Row],[_Row]]+1):INDEX(Tasks[_ShownCalcFinish],Tasks[[#This Row],[_Row]]+Tasks[[#This Row],[_Descendants]])),Tasks[[#This Row],[_ShownCalcFinish]]))</f>
        <v/>
      </c>
      <c r="FM12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8" s="43" t="n">
        <f aca="false">IF(AND(Tasks[[#This Row],[_IsLeaf]]=1,Tasks[[#This Row],[_LeafTotalWork]]&gt;0),NETWORKDAYS.INTL(ProjectStart,Tasks[[#This Row],[_ShownFcstStart]],WorkWeek,Holidays),0)</f>
        <v>0</v>
      </c>
      <c r="FZ128" s="43" t="n">
        <f aca="false">IF(AND(Tasks[[#This Row],[_IsLeaf]]=1,Tasks[[#This Row],[_LeafTotalWork]]&gt;0),MAX(Tasks[[#This Row],[_StartWorkday]],NETWORKDAYS.INTL(ProjectStart,Tasks[[#This Row],[_ShownFcstFinish]],WorkWeek,Holidays)),0)</f>
        <v>0</v>
      </c>
      <c r="GA128" s="43" t="n">
        <f aca="false">IF(AND(Tasks[[#This Row],[_IsLeaf]]=1,Tasks[[#This Row],[_LeafTotalWork]]&gt;0),Tasks[[#This Row],[_LeafWork]]/(Tasks[[#This Row],[_FinishWorkday]]-Tasks[[#This Row],[_StartWorkday]]+1),0)</f>
        <v>0</v>
      </c>
      <c r="GB128" s="43" t="n">
        <f aca="false">Tasks[[#This Row],[_WorkPerWorkday]]*(Tasks[[#This Row],[_StartWorkday]]-1)</f>
        <v>-0</v>
      </c>
      <c r="GC128" s="43" t="n">
        <f aca="false">IF(Tasks[[#This Row],[_IsLeaf]]=1,MAX(N(Tasks[[#This Row],[_Days]]),0.1),0)</f>
        <v>0</v>
      </c>
      <c r="GD128" s="43" t="n">
        <f aca="false">Tasks[[#This Row],[_WeightDur]]*Tasks[[#This Row],[_LeafProgress]]</f>
        <v>0</v>
      </c>
      <c r="GE128" s="43" t="n">
        <f aca="false">Tasks[[#This Row],[_WeightDur]]*Tasks[[#This Row],[_PlannedPct]]</f>
        <v>0</v>
      </c>
      <c r="GF12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8" s="43" t="str">
        <f aca="false">IF(AND(Tasks[[#This Row],[_IsLeaf]]=1,N(Tasks[[#This Row],[_Days]])=0,Tasks[[#This Row],[_LeafProgress]]&lt;1),Tasks[[#This Row],[_ShownFcstFinish]]+Tasks[[#This Row],[_Row]]/100000,"")</f>
        <v/>
      </c>
      <c r="GH12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8" s="43" t="str">
        <f aca="false">IF(Tasks[[#This Row],[Task Name]]="","",LEFT(Tasks[[#This Row],[WBS]],FIND(".",Tasks[[#This Row],[WBS]]&amp;".")-1))</f>
        <v/>
      </c>
      <c r="GJ128" s="43" t="str">
        <f aca="false">IF(AND(Tasks[[#This Row],[Task Name]]&lt;&gt;"",Tasks[[#This Row],[_Level]]=1),Tasks[[#This Row],[_Row]],"")</f>
        <v/>
      </c>
      <c r="GK128" s="43" t="str">
        <f aca="false">IF(AND(Tasks[[#This Row],[_IsLeaf]]=1,N(Tasks[[#This Row],[_Days]])=0),Tasks[[#This Row],[Planned Finish]]+Tasks[[#This Row],[_Row]]/100000,"")</f>
        <v/>
      </c>
      <c r="GL128" s="43" t="str">
        <f aca="false">IF(AND(Tasks[[#This Row],[_IsLeaf]]=1,Tasks[[#This Row],[_LeafProgress]]&lt;1,OR(N(Tasks[[#This Row],[Finish Var]])&gt;0,Tasks[[#This Row],[Status]]="Late Start")),MAX(0,Tasks[[#This Row],[Finish Var]])+1-Tasks[[#This Row],[_Row]]/1000000,"")</f>
        <v/>
      </c>
      <c r="GM128" s="43" t="str">
        <f aca="false">IF(AND(Tasks[[#This Row],[_IsLeaf]]=1,N(Tasks[[#This Row],[Actual Start]])=0,Tasks[[#This Row],[_ShownFcstStart]]&gt;=StatusDate,Tasks[[#This Row],[_ShownFcstStart]]&lt;=LookaheadEnd),Tasks[[#This Row],[_ShownFcstStart]]+Tasks[[#This Row],[_Row]]/100000,"")</f>
        <v/>
      </c>
      <c r="GN128" s="43" t="str">
        <f aca="false">IF(AND(Tasks[[#This Row],[_IsLeaf]]=1,Tasks[[#This Row],[_LeafProgress]]&lt;1,Tasks[[#This Row],[_ShownFcstFinish]]&gt;=StatusDate,Tasks[[#This Row],[_ShownFcstFinish]]&lt;=LookaheadEnd),Tasks[[#This Row],[_ShownFcstFinish]]+Tasks[[#This Row],[_Row]]/100000,"")</f>
        <v/>
      </c>
      <c r="GO128" s="43" t="str">
        <f aca="false">IF(Tasks[[#This Row],[_LeafCritical]],Tasks[[#This Row],[_ShownFcstStart]]+Tasks[[#This Row],[_Row]]/100000,"")</f>
        <v/>
      </c>
      <c r="GP128" s="43" t="n">
        <f aca="false">Tasks[[#This Row],[_LeafWork]]*Tasks[[#This Row],[_LeafProgress]]</f>
        <v>0</v>
      </c>
      <c r="GQ128" s="91" t="str">
        <f aca="false">IF(AND(Tasks[[#This Row],[_IsLeaf]]=1,Tasks[[#This Row],[_LeafProgress]]&gt;=1),IF(N(Tasks[[#This Row],[Actual Finish]])&gt;0,Tasks[[#This Row],[Actual Finish]],Tasks[[#This Row],[_ShownFcstFinish]]),"")</f>
        <v/>
      </c>
      <c r="GR128" s="43" t="n">
        <f aca="false">IF(Tasks[[#This Row],[_IsLeaf]]=1,N(Tasks[[#This Row],[Story Points]]),0)</f>
        <v>0</v>
      </c>
      <c r="GS128" s="43" t="str">
        <f aca="false">""</f>
        <v/>
      </c>
      <c r="GT128" s="90" t="b">
        <f aca="false">IF(Tasks[[#This Row],[Task Name]]="",FALSE(),AND(Tasks[[#This Row],[_IsLeaf]]=1,N(Tasks[[#This Row],[_Days]])=0))</f>
        <v>0</v>
      </c>
      <c r="GU128" s="91" t="n">
        <f aca="false">IF(Tasks[[#This Row],[Task Name]]="",0,IF(AND(Tasks[[#This Row],[_IsLeaf]]=1,NOT(Tasks[[#This Row],[_IsMilestone]]),N(Tasks[[#This Row],[Progress]])&gt;0),Tasks[[#This Row],[Start]],0))</f>
        <v>0</v>
      </c>
      <c r="GV128" s="91" t="n">
        <f aca="false">IF(Tasks[[#This Row],[_DoneFrom]]=0,0,IF(Tasks[[#This Row],[Progress]]&gt;=1,Tasks[[#This Row],[Finish]],MAX(Tasks[[#This Row],[_DoneFrom]],Tasks[[#This Row],[Start]]+ROUND((Tasks[[#This Row],[Finish]]-Tasks[[#This Row],[Start]]+1)*Tasks[[#This Row],[Progress]],0)-1)))</f>
        <v>0</v>
      </c>
      <c r="GW128" s="91" t="n">
        <f aca="false">IF(Tasks[[#This Row],[Task Name]]="",0,IF(OR(NOT(Tasks[[#This Row],[_IsLeaf]]=1),Tasks[[#This Row],[_IsMilestone]],N(Tasks[[#This Row],[Progress]])&gt;=1),0,IF(Tasks[[#This Row],[_DoneTo]]&gt;0,Tasks[[#This Row],[_DoneTo]]+1,Tasks[[#This Row],[Start]])))</f>
        <v>0</v>
      </c>
      <c r="GX128" s="91" t="n">
        <f aca="false">IF(Tasks[[#This Row],[_RemFrom]]=0,0,Tasks[[#This Row],[Finish]])</f>
        <v>0</v>
      </c>
      <c r="GY128" s="90" t="b">
        <f aca="false">IF(Tasks[[#This Row],[Task Name]]="",FALSE(),OR(NOT(BaselineSet),N(Tasks[[#This Row],[Baseline Start]])&gt;0))</f>
        <v>0</v>
      </c>
      <c r="GZ12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8" s="92" t="str">
        <f aca="false">IF(Tasks[[#This Row],[_IsLeaf]]=1,Tasks[[#This Row],[_Row]],"")</f>
        <v/>
      </c>
      <c r="HD128" s="92" t="str">
        <f aca="false">IFERROR(INDEX(Tasks[UID],SMALL(Tasks[_PickKey],Tasks[[#This Row],[_Row]]))&amp;" "&amp;INDEX(Tasks[Task Name],SMALL(Tasks[_PickKey],Tasks[[#This Row],[_Row]])),"")</f>
        <v/>
      </c>
      <c r="HE128" s="43" t="str">
        <f aca="false">IF(Tasks[[#This Row],[Task Name]]="","",IF(Tasks[[#This Row],[_IsSummary]],NETWORKDAYS.INTL(Tasks[[#This Row],[Start]],Tasks[[#This Row],[Finish]],WorkWeek,Holidays),N(Tasks[[#This Row],[_Days]])))</f>
        <v/>
      </c>
      <c r="HF128" s="43" t="n">
        <f aca="false">IF(Tasks[[#This Row],[Expected]]="",0,((Tasks[[#This Row],[Pessimistic]]-Tasks[[#This Row],[Optimistic]])/6)^2)</f>
        <v>0</v>
      </c>
      <c r="HG128" s="43" t="n">
        <f aca="false">IF(Tasks[[#This Row],[Expected]]="",0,Tasks[[#This Row],[Expected]]-N(Tasks[[#This Row],[_Days]]))</f>
        <v>0</v>
      </c>
    </row>
    <row r="129" customFormat="false" ht="15" hidden="false" customHeight="false" outlineLevel="0" collapsed="false">
      <c r="A129" s="21" t="str">
        <f aca="false">IF(Tasks[[#This Row],[Task Name]]="","",COUNTA(Tasks[[#Headers],[Task Name]]:Tasks[[#This Row],[Task Name]])-1)</f>
        <v/>
      </c>
      <c r="B129" s="22" t="n">
        <v>137</v>
      </c>
      <c r="C129" s="22"/>
      <c r="D129" s="23"/>
      <c r="E129" s="22"/>
      <c r="F129" s="23"/>
      <c r="G129" s="22"/>
      <c r="H129" s="22"/>
      <c r="I129" s="23"/>
      <c r="J129" s="22"/>
      <c r="K129" s="22"/>
      <c r="L129" s="23"/>
      <c r="M129" s="22"/>
      <c r="N129" s="22"/>
      <c r="O129" s="23"/>
      <c r="P129" s="22"/>
      <c r="Q129" s="22"/>
      <c r="R129" s="23"/>
      <c r="S129" s="23"/>
      <c r="T129" s="84"/>
      <c r="U129" s="23"/>
      <c r="V129" s="84"/>
      <c r="W129" s="23"/>
      <c r="X129" s="84"/>
      <c r="Y129" s="23"/>
      <c r="Z129" s="84"/>
      <c r="AA129" s="23"/>
      <c r="AB129" s="23"/>
      <c r="AC129" s="7"/>
      <c r="AD129" s="7"/>
      <c r="AE129" s="63" t="str">
        <f aca="false">IF(Tasks[[#This Row],[Task Name]]="","",IF(Tasks[[#This Row],[_IsSummary]],MIN(INDEX(Tasks[_ShownFcstStart],Tasks[[#This Row],[_Row]]+1):INDEX(Tasks[_ShownFcstStart],Tasks[[#This Row],[_Row]]+Tasks[[#This Row],[_Descendants]])),Tasks[[#This Row],[_ShownFcstStart]]))</f>
        <v/>
      </c>
      <c r="AF129" s="63" t="str">
        <f aca="false">IF(Tasks[[#This Row],[Task Name]]="","",IF(Tasks[[#This Row],[_IsSummary]],MAX(INDEX(Tasks[_ShownFcstFinish],Tasks[[#This Row],[_Row]]+1):INDEX(Tasks[_ShownFcstFinish],Tasks[[#This Row],[_Row]]+Tasks[[#This Row],[_Descendants]])),Tasks[[#This Row],[_ShownFcstFinish]]))</f>
        <v/>
      </c>
      <c r="AG129" s="21" t="str">
        <f aca="false">""</f>
        <v/>
      </c>
      <c r="AH129" s="23"/>
      <c r="AI1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9" s="7"/>
      <c r="AK129" s="22"/>
      <c r="AL129" s="23"/>
      <c r="AM129" s="7"/>
      <c r="AN129" s="47" t="str">
        <f aca="false">IF(Tasks[[#This Row],[Task Name]]="","",IF(Tasks[[#This Row],[Finish]]&gt;=Tasks[[#This Row],[Planned Finish]],NETWORKDAYS.INTL(Tasks[[#This Row],[Planned Finish]],Tasks[[#This Row],[Finish]],WorkWeek,Holidays)-1,1-NETWORKDAYS.INTL(Tasks[[#This Row],[Finish]],Tasks[[#This Row],[Planned Finish]],WorkWeek,Holidays)))</f>
        <v/>
      </c>
      <c r="AO129" s="21" t="str">
        <f aca="false">IF(Tasks[[#This Row],[Task Name]]="","",IF(Tasks[[#This Row],[Progress]]&gt;=1,"Complete",IF(OR(N(Tasks[[#This Row],[Actual Start]])&gt;0,Tasks[[#This Row],[Progress]]&gt;0),IF(Tasks[[#This Row],[Finish Var]]&gt;0,"Behind","In Progress"),IF(Tasks[[#This Row],[Planned Start]]&lt;StatusDate,"Late Start","Not Started"))))</f>
        <v/>
      </c>
      <c r="AP129" s="21" t="str">
        <f aca="false">IF(Tasks[[#This Row],[Task Name]]="","",IF(IF(Tasks[[#This Row],[_IsSummary]],COUNTIF(INDEX(Tasks[_LeafCritical],Tasks[[#This Row],[_Row]]+1):INDEX(Tasks[_LeafCritical],Tasks[[#This Row],[_Row]]+Tasks[[#This Row],[_Descendants]]),TRUE())&gt;0,Tasks[[#This Row],[_LeafCritical]]),"Yes",""))</f>
        <v/>
      </c>
      <c r="AQ129" s="63" t="str">
        <f aca="false">IF(Tasks[[#This Row],[Task Name]]="","",IF(N(Tasks[[#This Row],[Baseline Start]])&gt;0,Tasks[[#This Row],[Baseline Start]],Tasks[[#This Row],[_CalcStart]]))</f>
        <v/>
      </c>
      <c r="AR129" s="63" t="str">
        <f aca="false">IF(Tasks[[#This Row],[Task Name]]="","",IF(N(Tasks[[#This Row],[Baseline Finish]])&gt;0,Tasks[[#This Row],[Baseline Finish]],Tasks[[#This Row],[_CalcFinish]]))</f>
        <v/>
      </c>
      <c r="AS129" s="47" t="str">
        <f aca="false">IF(Tasks[[#This Row],[Task Name]]="","",IF(Tasks[[#This Row],[Start]]&gt;=Tasks[[#This Row],[Planned Start]],NETWORKDAYS.INTL(Tasks[[#This Row],[Planned Start]],Tasks[[#This Row],[Start]],WorkWeek,Holidays)-1,1-NETWORKDAYS.INTL(Tasks[[#This Row],[Start]],Tasks[[#This Row],[Planned Start]],WorkWeek,Holidays)))</f>
        <v/>
      </c>
      <c r="AT129" s="63" t="str">
        <f aca="false">IF(Tasks[[#This Row],[Task Name]]="","",IF(Tasks[[#This Row],[_IsSummary]],MIN(INDEX(Tasks[_LeafLateStart],Tasks[[#This Row],[_Row]]+1):INDEX(Tasks[_LeafLateStart],Tasks[[#This Row],[_Row]]+Tasks[[#This Row],[_Descendants]])),Tasks[[#This Row],[_LeafLateStart]]))</f>
        <v/>
      </c>
      <c r="AU129" s="63" t="str">
        <f aca="false">IF(Tasks[[#This Row],[Task Name]]="","",IF(Tasks[[#This Row],[_IsSummary]],MAX(INDEX(Tasks[_LeafLateFinish],Tasks[[#This Row],[_Row]]+1):INDEX(Tasks[_LeafLateFinish],Tasks[[#This Row],[_Row]]+Tasks[[#This Row],[_Descendants]])),Tasks[[#This Row],[_LeafLateFinish]]))</f>
        <v/>
      </c>
      <c r="AV129" s="47" t="str">
        <f aca="false">IF(Tasks[[#This Row],[Task Name]]="","",IF(Tasks[[#This Row],[_IsSummary]],MIN(INDEX(Tasks[_LeafTotalSlack],Tasks[[#This Row],[_Row]]+1):INDEX(Tasks[_LeafTotalSlack],Tasks[[#This Row],[_Row]]+Tasks[[#This Row],[_Descendants]])),Tasks[[#This Row],[_LeafTotalSlack]]))</f>
        <v/>
      </c>
      <c r="AW1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5"/>
      <c r="BA12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1" t="str">
        <f aca="false">IF(Tasks[[#This Row],[Task Name]]="","",IF(Tasks[[#This Row],[_Level]]&lt;=OutlineShowLevel,"Yes","No"))</f>
        <v/>
      </c>
      <c r="BE129" s="86" t="str">
        <f aca="false">IF(Tasks[[#This Row],[Task Name]]="","",IF(Tasks[[#This Row],[_IsSummary]],SUM(INDEX(Tasks[_LeafTotalWork],Tasks[[#This Row],[_Row]]+1):INDEX(Tasks[_LeafTotalWork],Tasks[[#This Row],[_Row]]+Tasks[[#This Row],[_Descendants]])),Tasks[[#This Row],[_LeafTotalWork]]))</f>
        <v/>
      </c>
      <c r="BF129" s="23"/>
      <c r="BG1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9" s="21" t="str">
        <f aca="false">""</f>
        <v/>
      </c>
      <c r="BI129" s="87"/>
      <c r="BJ129" s="22"/>
      <c r="BK129" s="47" t="str">
        <f aca="false">IF(OR(Tasks[[#This Row],[Task Name]]="",Tasks[[#This Row],[Baseline Duration]]=""),"",Tasks[[#This Row],[_SpanDays]]-N(Tasks[[#This Row],[Baseline Duration]]))</f>
        <v/>
      </c>
      <c r="BL129" s="86" t="str">
        <f aca="false">IF(OR(Tasks[[#This Row],[Task Name]]="",Tasks[[#This Row],[Baseline Work]]=""),"",Tasks[[#This Row],[Work]]-N(Tasks[[#This Row],[Baseline Work]]))</f>
        <v/>
      </c>
      <c r="BM129" s="63" t="str">
        <f aca="false">IF(Tasks[[#This Row],[Task Name]]="","",IF(OR(TakeBaseline="Yes",N(Tasks[[#This Row],[Baseline Start]])=0),Tasks[[#This Row],[Start]],Tasks[[#This Row],[Baseline Start]]))</f>
        <v/>
      </c>
      <c r="BN129" s="63" t="str">
        <f aca="false">IF(Tasks[[#This Row],[Task Name]]="","",IF(OR(TakeBaseline="Yes",N(Tasks[[#This Row],[Baseline Finish]])=0),Tasks[[#This Row],[Finish]],Tasks[[#This Row],[Baseline Finish]]))</f>
        <v/>
      </c>
      <c r="BO129" s="21" t="str">
        <f aca="false">IF(Tasks[[#This Row],[Task Name]]="","",IF(OR(TakeBaseline="Yes",N(Tasks[[#This Row],[Baseline Duration]])=0),Tasks[[#This Row],[_SpanDays]],Tasks[[#This Row],[Baseline Duration]]))</f>
        <v/>
      </c>
      <c r="BP129" s="86" t="str">
        <f aca="false">IF(Tasks[[#This Row],[Task Name]]="","",IF(OR(TakeBaseline="Yes",N(Tasks[[#This Row],[Baseline Work]])=0),Tasks[[#This Row],[Work]],Tasks[[#This Row],[Baseline Work]]))</f>
        <v/>
      </c>
      <c r="BQ129" s="7"/>
      <c r="BR129" s="7"/>
      <c r="BS129" s="22"/>
      <c r="BT129" s="88"/>
      <c r="BU129" s="23"/>
      <c r="BV129" s="23"/>
      <c r="BW129" s="23"/>
      <c r="BX129" s="89" t="str">
        <f aca="false">IF(AND(Tasks[[#This Row],[_IsLeaf]]=1,ISNUMBER(Tasks[[#This Row],[Optimistic]]),ISNUMBER(Tasks[[#This Row],[Pessimistic]])),ROUND((Tasks[[#This Row],[Optimistic]]+4*N(Tasks[[#This Row],[_Days]])+Tasks[[#This Row],[Pessimistic]])/6,1),"")</f>
        <v/>
      </c>
      <c r="BY129" s="87"/>
      <c r="BZ129" s="87"/>
      <c r="CA129" s="22"/>
      <c r="CB129" s="43" t="str">
        <f aca="false">IF(Tasks[[#This Row],[Task Name]]="","",MAX(1,N(Tasks[[#This Row],[Level]])))</f>
        <v/>
      </c>
      <c r="CC129" s="43" t="n">
        <f aca="false">ROW()-ROW(Tasks[[#Headers],[ID]])</f>
        <v>124</v>
      </c>
      <c r="CD129" s="43" t="n">
        <f aca="false">IF(OR(Tasks[[#This Row],[Task Name]]="",Tasks[[#This Row],[_Level]]&lt;=1),0,IFERROR(LOOKUP(2,1/(Tasks[[#Headers],[_Level]]:Tasks[[#This Row],[_Level]]=Tasks[[#This Row],[_Level]]-1),ROW(Tasks[[#Headers],[_Level]]:Tasks[[#This Row],[_Level]])),0))</f>
        <v>0</v>
      </c>
      <c r="CE129" s="43" t="n">
        <f aca="false">IFERROR(N(INDEX(Tasks[_Level],Tasks[[#This Row],[_Row]]+1)),0)</f>
        <v>0</v>
      </c>
      <c r="CF129" s="90" t="b">
        <f aca="false">AND(Tasks[[#This Row],[Task Name]]&lt;&gt;"",Tasks[[#This Row],[_NextLevel]]&gt;Tasks[[#This Row],[_Level]])</f>
        <v>0</v>
      </c>
      <c r="CG129" s="43" t="n">
        <f aca="false">IF(Tasks[[#This Row],[_IsSummary]],COUNTIF(Tasks[WBS],Tasks[[#This Row],[WBS]]&amp;".*"),0)</f>
        <v>0</v>
      </c>
      <c r="CH129" s="43" t="n">
        <f aca="false">IF(AND(Tasks[[#This Row],[Task Name]]&lt;&gt;"",NOT(Tasks[[#This Row],[_IsSummary]])),1,0)</f>
        <v>0</v>
      </c>
      <c r="CI129" s="43" t="n">
        <f aca="false">IF(N(Tasks[[#This Row],[_Pred1UID]])=0,0,IFERROR(MATCH(Tasks[[#This Row],[_Pred1UID]],Tasks[UID],0),-1))</f>
        <v>0</v>
      </c>
      <c r="CJ129" s="43" t="n">
        <f aca="false">IF(N(Tasks[[#This Row],[_Pred2UID]])=0,0,IFERROR(MATCH(Tasks[[#This Row],[_Pred2UID]],Tasks[UID],0),-1))</f>
        <v>0</v>
      </c>
      <c r="CK129" s="43" t="n">
        <f aca="false">IF(N(Tasks[[#This Row],[_Pred3UID]])=0,0,IFERROR(MATCH(Tasks[[#This Row],[_Pred3UID]],Tasks[UID],0),-1))</f>
        <v>0</v>
      </c>
      <c r="CL129" s="43" t="n">
        <f aca="false">IF(N(Tasks[[#This Row],[_Pred4UID]])=0,0,IFERROR(MATCH(Tasks[[#This Row],[_Pred4UID]],Tasks[UID],0),-1))</f>
        <v>0</v>
      </c>
      <c r="CM12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9" s="91" t="n">
        <f aca="false">IF(OR(Tasks[[#This Row],[_ConstraintCode]]=2,Tasks[[#This Row],[_ConstraintCode]]=3,Tasks[[#This Row],[_ConstraintCode]]=4,Tasks[[#This Row],[_ConstraintCode]]=6),Tasks[[#This Row],[_ConstraintStart]],0)</f>
        <v>0</v>
      </c>
      <c r="CP129" s="91" t="n">
        <f aca="false">IF(OR(Tasks[[#This Row],[_ConstraintCode]]=2,Tasks[[#This Row],[_ConstraintCode]]=3,Tasks[[#This Row],[_ConstraintCode]]=5,Tasks[[#This Row],[_ConstraintCode]]=7),Tasks[[#This Row],[_ConstraintStart]],2958465)</f>
        <v>2958465</v>
      </c>
      <c r="CQ12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9" s="91" t="str">
        <f aca="false">IF(NOT(Tasks[[#This Row],[_IsLeaf]]=1),"",IF(N(Tasks[[#This Row],[_Days]])&lt;=0,Tasks[[#This Row],[_LeafCalcStart]],WORKDAY.INTL(Tasks[[#This Row],[_LeafCalcStart]],Tasks[[#This Row],[_Days]]-1,WorkWeek,Holidays)))</f>
        <v/>
      </c>
      <c r="CS12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9" s="43" t="str">
        <f aca="false">IF(Tasks[[#This Row],[_Predecessors]]="","",TRIM(MID(SUBSTITUTE(SUBSTITUTE(SUBSTITUTE(UPPER(Tasks[[#This Row],[_Predecessors]]),";",",")," ",""),",",REPT(" ",99)),1,99)))</f>
        <v/>
      </c>
      <c r="CV129" s="43" t="str">
        <f aca="false">IF(Tasks[[#This Row],[_Pred1Text]]="","",IFERROR(VALUE(LEFT(Tasks[[#This Row],[_Pred1Text]],MIN(FIND("F",Tasks[[#This Row],[_Pred1Text]]&amp;"F"),FIND("S",Tasks[[#This Row],[_Pred1Text]]&amp;"S"),FIND("+",Tasks[[#This Row],[_Pred1Text]]&amp;"+"),FIND("-",Tasks[[#This Row],[_Pred1Text]]&amp;"-"))-1)),""))</f>
        <v/>
      </c>
      <c r="CW12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9" s="43" t="str">
        <f aca="false">IF(Tasks[[#This Row],[_Pred1Text]]="","",TRIM(MID(SUBSTITUTE(SUBSTITUTE(SUBSTITUTE(UPPER(Tasks[[#This Row],[_Predecessors]]),";",",")," ",""),",",REPT(" ",99)),100,99)))</f>
        <v/>
      </c>
      <c r="CZ129" s="43" t="str">
        <f aca="false">IF(Tasks[[#This Row],[_Pred2Text]]="","",IFERROR(VALUE(LEFT(Tasks[[#This Row],[_Pred2Text]],MIN(FIND("F",Tasks[[#This Row],[_Pred2Text]]&amp;"F"),FIND("S",Tasks[[#This Row],[_Pred2Text]]&amp;"S"),FIND("+",Tasks[[#This Row],[_Pred2Text]]&amp;"+"),FIND("-",Tasks[[#This Row],[_Pred2Text]]&amp;"-"))-1)),""))</f>
        <v/>
      </c>
      <c r="DA12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9" s="43" t="str">
        <f aca="false">IF(Tasks[[#This Row],[_Pred2Text]]="","",TRIM(MID(SUBSTITUTE(SUBSTITUTE(SUBSTITUTE(UPPER(Tasks[[#This Row],[_Predecessors]]),";",",")," ",""),",",REPT(" ",99)),199,99)))</f>
        <v/>
      </c>
      <c r="DD129" s="43" t="str">
        <f aca="false">IF(Tasks[[#This Row],[_Pred3Text]]="","",IFERROR(VALUE(LEFT(Tasks[[#This Row],[_Pred3Text]],MIN(FIND("F",Tasks[[#This Row],[_Pred3Text]]&amp;"F"),FIND("S",Tasks[[#This Row],[_Pred3Text]]&amp;"S"),FIND("+",Tasks[[#This Row],[_Pred3Text]]&amp;"+"),FIND("-",Tasks[[#This Row],[_Pred3Text]]&amp;"-"))-1)),""))</f>
        <v/>
      </c>
      <c r="DE12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9" s="43" t="str">
        <f aca="false">IF(Tasks[[#This Row],[_Pred3Text]]="","",TRIM(MID(SUBSTITUTE(SUBSTITUTE(SUBSTITUTE(UPPER(Tasks[[#This Row],[_Predecessors]]),";",",")," ",""),",",REPT(" ",99)),298,99)))</f>
        <v/>
      </c>
      <c r="DH129" s="43" t="str">
        <f aca="false">IF(Tasks[[#This Row],[_Pred4Text]]="","",IFERROR(VALUE(LEFT(Tasks[[#This Row],[_Pred4Text]],MIN(FIND("F",Tasks[[#This Row],[_Pred4Text]]&amp;"F"),FIND("S",Tasks[[#This Row],[_Pred4Text]]&amp;"S"),FIND("+",Tasks[[#This Row],[_Pred4Text]]&amp;"+"),FIND("-",Tasks[[#This Row],[_Pred4Text]]&amp;"-"))-1)),""))</f>
        <v/>
      </c>
      <c r="DI12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9" s="43" t="str">
        <f aca="false">IF(OR(Tasks[[#This Row],[Task Name]]="",Tasks[[#This Row],[_Resources]]=""),"",TRIM(MID(SUBSTITUTE(Tasks[[#This Row],[_Resources]],",",REPT(" ",99)),1,99)))</f>
        <v/>
      </c>
      <c r="DL129" s="43" t="str">
        <f aca="false">IF(Tasks[[#This Row],[_Res1Text]]="","",TRIM(MID(SUBSTITUTE(Tasks[[#This Row],[_Resources]],",",REPT(" ",99)),100,99)))</f>
        <v/>
      </c>
      <c r="DM129" s="43" t="str">
        <f aca="false">IF(Tasks[[#This Row],[_Res2Text]]="","",TRIM(MID(SUBSTITUTE(Tasks[[#This Row],[_Resources]],",",REPT(" ",99)),199,99)))</f>
        <v/>
      </c>
      <c r="DN129" s="43" t="str">
        <f aca="false">IF(Tasks[[#This Row],[_Res3Text]]="","",TRIM(MID(SUBSTITUTE(Tasks[[#This Row],[_Resources]],",",REPT(" ",99)),298,99)))</f>
        <v/>
      </c>
      <c r="DO129" s="43" t="n">
        <f aca="false">IF(Tasks[[#This Row],[_Res1Text]]="",0,IFERROR(MATCH(TRIM(LEFT(Tasks[[#This Row],[_Res1Text]],FIND("[",Tasks[[#This Row],[_Res1Text]]&amp;"[")-1)),res_Name,0),IFERROR(MATCH(TRIM(LEFT(Tasks[[#This Row],[_Res1Text]],FIND("[",Tasks[[#This Row],[_Res1Text]]&amp;"[")-1)),res_Initials,0),0)))</f>
        <v>0</v>
      </c>
      <c r="DP129" s="43" t="n">
        <f aca="false">IF(Tasks[[#This Row],[_Res2Text]]="",0,IFERROR(MATCH(TRIM(LEFT(Tasks[[#This Row],[_Res2Text]],FIND("[",Tasks[[#This Row],[_Res2Text]]&amp;"[")-1)),res_Name,0),IFERROR(MATCH(TRIM(LEFT(Tasks[[#This Row],[_Res2Text]],FIND("[",Tasks[[#This Row],[_Res2Text]]&amp;"[")-1)),res_Initials,0),0)))</f>
        <v>0</v>
      </c>
      <c r="DQ129" s="43" t="n">
        <f aca="false">IF(Tasks[[#This Row],[_Res3Text]]="",0,IFERROR(MATCH(TRIM(LEFT(Tasks[[#This Row],[_Res3Text]],FIND("[",Tasks[[#This Row],[_Res3Text]]&amp;"[")-1)),res_Name,0),IFERROR(MATCH(TRIM(LEFT(Tasks[[#This Row],[_Res3Text]],FIND("[",Tasks[[#This Row],[_Res3Text]]&amp;"[")-1)),res_Initials,0),0)))</f>
        <v>0</v>
      </c>
      <c r="DR129" s="43" t="n">
        <f aca="false">IF(Tasks[[#This Row],[_Res4Text]]="",0,IFERROR(MATCH(TRIM(LEFT(Tasks[[#This Row],[_Res4Text]],FIND("[",Tasks[[#This Row],[_Res4Text]]&amp;"[")-1)),res_Name,0),IFERROR(MATCH(TRIM(LEFT(Tasks[[#This Row],[_Res4Text]],FIND("[",Tasks[[#This Row],[_Res4Text]]&amp;"[")-1)),res_Initials,0),0)))</f>
        <v>0</v>
      </c>
      <c r="DS129" s="43" t="str">
        <f aca="false">IF(Tasks[[#This Row],[_Res1Text]]="","",IF(Tasks[[#This Row],[_Res1Row]]&gt;0,INDEX(res_Name,Tasks[[#This Row],[_Res1Row]]),TRIM(LEFT(Tasks[[#This Row],[_Res1Text]],FIND("[",Tasks[[#This Row],[_Res1Text]]&amp;"[")-1))))</f>
        <v/>
      </c>
      <c r="DT12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9" s="43" t="n">
        <f aca="false">IF(NOT(Tasks[[#This Row],[_IsLeaf]]=1),0,(Tasks[[#This Row],[_Resource1]]&lt;&gt;"")+(Tasks[[#This Row],[_Res2]]&lt;&gt;"")+(Tasks[[#This Row],[_Res3]]&lt;&gt;"")+(Tasks[[#This Row],[_Res4]]&lt;&gt;""))</f>
        <v>0</v>
      </c>
      <c r="DV129" s="43" t="str">
        <f aca="false">IF(Tasks[[#This Row],[_Res2Text]]="","",IF(Tasks[[#This Row],[_Res2Row]]&gt;0,INDEX(res_Name,Tasks[[#This Row],[_Res2Row]]),TRIM(LEFT(Tasks[[#This Row],[_Res2Text]],FIND("[",Tasks[[#This Row],[_Res2Text]]&amp;"[")-1))))</f>
        <v/>
      </c>
      <c r="DW12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9" s="43" t="n">
        <f aca="false">IF(OR(NOT(Tasks[[#This Row],[_IsLeaf]]=1),Tasks[[#This Row],[_Res2Row]]=0),0,N(Tasks[[#This Row],[_Days]])*HoursPerDay*IF(Tasks[[#This Row],[_Res2Units]]="",DefaultUnits,Tasks[[#This Row],[_Res2Units]]))</f>
        <v>0</v>
      </c>
      <c r="DY129" s="43" t="n">
        <f aca="false">IF(AND(AND(Tasks[[#This Row],[_IsLeaf]]=1,Tasks[[#This Row],[_LeafTotalWork]]&gt;0),Tasks[[#This Row],[_Res2Work]]&gt;0),Tasks[[#This Row],[_Res2Work]]/(Tasks[[#This Row],[_FinishWorkday]]-Tasks[[#This Row],[_StartWorkday]]+1),0)</f>
        <v>0</v>
      </c>
      <c r="DZ129" s="43" t="n">
        <f aca="false">Tasks[[#This Row],[_Res2WorkPerWD]]*MAX(0,Tasks[[#This Row],[_StartWorkday]]-1)</f>
        <v>0</v>
      </c>
      <c r="EA129" s="43" t="n">
        <f aca="false">Tasks[[#This Row],[_Res2Work]]*Tasks[[#This Row],[_LeafProgress]]</f>
        <v>0</v>
      </c>
      <c r="EB129" s="43" t="str">
        <f aca="false">IF(Tasks[[#This Row],[_Res3Text]]="","",IF(Tasks[[#This Row],[_Res3Row]]&gt;0,INDEX(res_Name,Tasks[[#This Row],[_Res3Row]]),TRIM(LEFT(Tasks[[#This Row],[_Res3Text]],FIND("[",Tasks[[#This Row],[_Res3Text]]&amp;"[")-1))))</f>
        <v/>
      </c>
      <c r="EC12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9" s="43" t="n">
        <f aca="false">IF(OR(NOT(Tasks[[#This Row],[_IsLeaf]]=1),Tasks[[#This Row],[_Res3Row]]=0),0,N(Tasks[[#This Row],[_Days]])*HoursPerDay*IF(Tasks[[#This Row],[_Res3Units]]="",DefaultUnits,Tasks[[#This Row],[_Res3Units]]))</f>
        <v>0</v>
      </c>
      <c r="EE129" s="43" t="n">
        <f aca="false">IF(AND(AND(Tasks[[#This Row],[_IsLeaf]]=1,Tasks[[#This Row],[_LeafTotalWork]]&gt;0),Tasks[[#This Row],[_Res3Work]]&gt;0),Tasks[[#This Row],[_Res3Work]]/(Tasks[[#This Row],[_FinishWorkday]]-Tasks[[#This Row],[_StartWorkday]]+1),0)</f>
        <v>0</v>
      </c>
      <c r="EF129" s="43" t="n">
        <f aca="false">Tasks[[#This Row],[_Res3WorkPerWD]]*MAX(0,Tasks[[#This Row],[_StartWorkday]]-1)</f>
        <v>0</v>
      </c>
      <c r="EG129" s="43" t="n">
        <f aca="false">Tasks[[#This Row],[_Res3Work]]*Tasks[[#This Row],[_LeafProgress]]</f>
        <v>0</v>
      </c>
      <c r="EH129" s="43" t="str">
        <f aca="false">IF(Tasks[[#This Row],[_Res4Text]]="","",IF(Tasks[[#This Row],[_Res4Row]]&gt;0,INDEX(res_Name,Tasks[[#This Row],[_Res4Row]]),TRIM(LEFT(Tasks[[#This Row],[_Res4Text]],FIND("[",Tasks[[#This Row],[_Res4Text]]&amp;"[")-1))))</f>
        <v/>
      </c>
      <c r="EI12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9" s="43" t="n">
        <f aca="false">IF(OR(NOT(Tasks[[#This Row],[_IsLeaf]]=1),Tasks[[#This Row],[_Res4Row]]=0),0,N(Tasks[[#This Row],[_Days]])*HoursPerDay*IF(Tasks[[#This Row],[_Res4Units]]="",DefaultUnits,Tasks[[#This Row],[_Res4Units]]))</f>
        <v>0</v>
      </c>
      <c r="EK129" s="43" t="n">
        <f aca="false">IF(AND(AND(Tasks[[#This Row],[_IsLeaf]]=1,Tasks[[#This Row],[_LeafTotalWork]]&gt;0),Tasks[[#This Row],[_Res4Work]]&gt;0),Tasks[[#This Row],[_Res4Work]]/(Tasks[[#This Row],[_FinishWorkday]]-Tasks[[#This Row],[_StartWorkday]]+1),0)</f>
        <v>0</v>
      </c>
      <c r="EL129" s="43" t="n">
        <f aca="false">Tasks[[#This Row],[_Res4WorkPerWD]]*MAX(0,Tasks[[#This Row],[_StartWorkday]]-1)</f>
        <v>0</v>
      </c>
      <c r="EM129" s="43" t="n">
        <f aca="false">Tasks[[#This Row],[_Res4Work]]*Tasks[[#This Row],[_LeafProgress]]</f>
        <v>0</v>
      </c>
      <c r="EN129" s="43" t="n">
        <f aca="false">IF(ISNUMBER(Tasks[[#This Row],[% Complete]]),Tasks[[#This Row],[% Complete]],IF(Tasks[[#This Row],[Stage]]="",0,IFERROR(INDEX(stg_Pct,MATCH(Tasks[[#This Row],[Stage]],stg_Name,0)),0)))</f>
        <v>0</v>
      </c>
      <c r="EO129" s="43" t="n">
        <f aca="false">IF(NOT(Tasks[[#This Row],[_IsLeaf]]=1),0,IF(N(Tasks[[#This Row],[Actual Finish]])&gt;0,1,MIN(1,Tasks[[#This Row],[_Pct]])))</f>
        <v>0</v>
      </c>
      <c r="EP129" s="43" t="n">
        <f aca="false">IF(OR(NOT(Tasks[[#This Row],[_IsLeaf]]=1),Tasks[[#This Row],[_Res1Row]]=0),0,N(Tasks[[#This Row],[_Days]])*HoursPerDay*IF(Tasks[[#This Row],[_Units1]]="",DefaultUnits,Tasks[[#This Row],[_Units1]]))</f>
        <v>0</v>
      </c>
      <c r="EQ129" s="43" t="n">
        <f aca="false">Tasks[[#This Row],[_LeafWork]]+Tasks[[#This Row],[_Res2Work]]+Tasks[[#This Row],[_Res3Work]]+Tasks[[#This Row],[_Res4Work]]</f>
        <v>0</v>
      </c>
      <c r="ER12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9" s="43" t="n">
        <f aca="false">IF(NOT(Tasks[[#This Row],[_IsLeaf]]=1),0,MAX(_xlfn.MAXIFS(Tasks[_Row],Tasks[_Pred1UID],Tasks[[#This Row],[UID]]),_xlfn.MAXIFS(Tasks[_Row],Tasks[_Pred2UID],Tasks[[#This Row],[UID]]),_xlfn.MAXIFS(Tasks[_Row],Tasks[_Pred3UID],Tasks[[#This Row],[UID]]),_xlfn.MAXIFS(Tasks[_Row],Tasks[_Pred4UID],Tasks[[#This Row],[UID]])))</f>
        <v>0</v>
      </c>
      <c r="FA12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9" s="91" t="str">
        <f aca="false">IF(NOT(Tasks[[#This Row],[_IsLeaf]]=1),"",IF(N(Tasks[[#This Row],[_Days]])&lt;=0,Tasks[[#This Row],[_LeafLateFinish]],WORKDAY.INTL(Tasks[[#This Row],[_LeafLateFinish]],-(Tasks[[#This Row],[_Days]]-1),WorkWeek,Holidays)))</f>
        <v/>
      </c>
      <c r="FD12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9" s="90" t="b">
        <f aca="false">AND(Tasks[[#This Row],[_IsLeaf]]=1,Tasks[[#This Row],[_LeafProgress]]&lt;1,N(Tasks[[#This Row],[_LeafTotalSlack]])&lt;=CriticalSlackDays)</f>
        <v>0</v>
      </c>
      <c r="FF129" s="43" t="n">
        <f aca="false">IF(AND(Tasks[[#This Row],[_IsLeaf]]=1,Tasks[[#This Row],[_ConstraintCode]]=1,Tasks[[#This Row],[Mode]]&lt;&gt;"Manual",N(Tasks[[#This Row],[Actual Start]])=0),MAX(0,N(Tasks[[#This Row],[Free Slack]])),0)</f>
        <v>0</v>
      </c>
      <c r="FG129" s="91" t="str">
        <f aca="false">IF(NOT(Tasks[[#This Row],[_IsLeaf]]=1),"",IF(Tasks[[#This Row],[_AlapShift]]=0,Tasks[[#This Row],[_LeafCalcStart]],WORKDAY.INTL(Tasks[[#This Row],[_LeafCalcStart]],Tasks[[#This Row],[_AlapShift]],WorkWeek,Holidays)))</f>
        <v/>
      </c>
      <c r="FH129" s="91" t="str">
        <f aca="false">IF(NOT(Tasks[[#This Row],[_IsLeaf]]=1),"",IF(Tasks[[#This Row],[_AlapShift]]=0,Tasks[[#This Row],[_LeafCalcFinish]],WORKDAY.INTL(Tasks[[#This Row],[_LeafCalcFinish]],Tasks[[#This Row],[_AlapShift]],WorkWeek,Holidays)))</f>
        <v/>
      </c>
      <c r="FI129" s="91" t="str">
        <f aca="false">IF(NOT(Tasks[[#This Row],[_IsLeaf]]=1),"",IF(Tasks[[#This Row],[_AlapShift]]=0,Tasks[[#This Row],[_LeafFcstStart]],WORKDAY.INTL(Tasks[[#This Row],[_LeafFcstStart]],Tasks[[#This Row],[_AlapShift]],WorkWeek,Holidays)))</f>
        <v/>
      </c>
      <c r="FJ129" s="91" t="str">
        <f aca="false">IF(NOT(Tasks[[#This Row],[_IsLeaf]]=1),"",IF(Tasks[[#This Row],[_AlapShift]]=0,Tasks[[#This Row],[_LeafFcstFinish]],WORKDAY.INTL(Tasks[[#This Row],[_LeafFcstFinish]],Tasks[[#This Row],[_AlapShift]],WorkWeek,Holidays)))</f>
        <v/>
      </c>
      <c r="FK129" s="91" t="str">
        <f aca="false">IF(Tasks[[#This Row],[Task Name]]="","",IF(Tasks[[#This Row],[_IsSummary]],MIN(INDEX(Tasks[_ShownCalcStart],Tasks[[#This Row],[_Row]]+1):INDEX(Tasks[_ShownCalcStart],Tasks[[#This Row],[_Row]]+Tasks[[#This Row],[_Descendants]])),Tasks[[#This Row],[_ShownCalcStart]]))</f>
        <v/>
      </c>
      <c r="FL129" s="91" t="str">
        <f aca="false">IF(Tasks[[#This Row],[Task Name]]="","",IF(Tasks[[#This Row],[_IsSummary]],MAX(INDEX(Tasks[_ShownCalcFinish],Tasks[[#This Row],[_Row]]+1):INDEX(Tasks[_ShownCalcFinish],Tasks[[#This Row],[_Row]]+Tasks[[#This Row],[_Descendants]])),Tasks[[#This Row],[_ShownCalcFinish]]))</f>
        <v/>
      </c>
      <c r="FM12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9" s="43" t="n">
        <f aca="false">IF(AND(Tasks[[#This Row],[_IsLeaf]]=1,Tasks[[#This Row],[_LeafTotalWork]]&gt;0),NETWORKDAYS.INTL(ProjectStart,Tasks[[#This Row],[_ShownFcstStart]],WorkWeek,Holidays),0)</f>
        <v>0</v>
      </c>
      <c r="FZ129" s="43" t="n">
        <f aca="false">IF(AND(Tasks[[#This Row],[_IsLeaf]]=1,Tasks[[#This Row],[_LeafTotalWork]]&gt;0),MAX(Tasks[[#This Row],[_StartWorkday]],NETWORKDAYS.INTL(ProjectStart,Tasks[[#This Row],[_ShownFcstFinish]],WorkWeek,Holidays)),0)</f>
        <v>0</v>
      </c>
      <c r="GA129" s="43" t="n">
        <f aca="false">IF(AND(Tasks[[#This Row],[_IsLeaf]]=1,Tasks[[#This Row],[_LeafTotalWork]]&gt;0),Tasks[[#This Row],[_LeafWork]]/(Tasks[[#This Row],[_FinishWorkday]]-Tasks[[#This Row],[_StartWorkday]]+1),0)</f>
        <v>0</v>
      </c>
      <c r="GB129" s="43" t="n">
        <f aca="false">Tasks[[#This Row],[_WorkPerWorkday]]*(Tasks[[#This Row],[_StartWorkday]]-1)</f>
        <v>-0</v>
      </c>
      <c r="GC129" s="43" t="n">
        <f aca="false">IF(Tasks[[#This Row],[_IsLeaf]]=1,MAX(N(Tasks[[#This Row],[_Days]]),0.1),0)</f>
        <v>0</v>
      </c>
      <c r="GD129" s="43" t="n">
        <f aca="false">Tasks[[#This Row],[_WeightDur]]*Tasks[[#This Row],[_LeafProgress]]</f>
        <v>0</v>
      </c>
      <c r="GE129" s="43" t="n">
        <f aca="false">Tasks[[#This Row],[_WeightDur]]*Tasks[[#This Row],[_PlannedPct]]</f>
        <v>0</v>
      </c>
      <c r="GF12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9" s="43" t="str">
        <f aca="false">IF(AND(Tasks[[#This Row],[_IsLeaf]]=1,N(Tasks[[#This Row],[_Days]])=0,Tasks[[#This Row],[_LeafProgress]]&lt;1),Tasks[[#This Row],[_ShownFcstFinish]]+Tasks[[#This Row],[_Row]]/100000,"")</f>
        <v/>
      </c>
      <c r="GH12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9" s="43" t="str">
        <f aca="false">IF(Tasks[[#This Row],[Task Name]]="","",LEFT(Tasks[[#This Row],[WBS]],FIND(".",Tasks[[#This Row],[WBS]]&amp;".")-1))</f>
        <v/>
      </c>
      <c r="GJ129" s="43" t="str">
        <f aca="false">IF(AND(Tasks[[#This Row],[Task Name]]&lt;&gt;"",Tasks[[#This Row],[_Level]]=1),Tasks[[#This Row],[_Row]],"")</f>
        <v/>
      </c>
      <c r="GK129" s="43" t="str">
        <f aca="false">IF(AND(Tasks[[#This Row],[_IsLeaf]]=1,N(Tasks[[#This Row],[_Days]])=0),Tasks[[#This Row],[Planned Finish]]+Tasks[[#This Row],[_Row]]/100000,"")</f>
        <v/>
      </c>
      <c r="GL129" s="43" t="str">
        <f aca="false">IF(AND(Tasks[[#This Row],[_IsLeaf]]=1,Tasks[[#This Row],[_LeafProgress]]&lt;1,OR(N(Tasks[[#This Row],[Finish Var]])&gt;0,Tasks[[#This Row],[Status]]="Late Start")),MAX(0,Tasks[[#This Row],[Finish Var]])+1-Tasks[[#This Row],[_Row]]/1000000,"")</f>
        <v/>
      </c>
      <c r="GM129" s="43" t="str">
        <f aca="false">IF(AND(Tasks[[#This Row],[_IsLeaf]]=1,N(Tasks[[#This Row],[Actual Start]])=0,Tasks[[#This Row],[_ShownFcstStart]]&gt;=StatusDate,Tasks[[#This Row],[_ShownFcstStart]]&lt;=LookaheadEnd),Tasks[[#This Row],[_ShownFcstStart]]+Tasks[[#This Row],[_Row]]/100000,"")</f>
        <v/>
      </c>
      <c r="GN129" s="43" t="str">
        <f aca="false">IF(AND(Tasks[[#This Row],[_IsLeaf]]=1,Tasks[[#This Row],[_LeafProgress]]&lt;1,Tasks[[#This Row],[_ShownFcstFinish]]&gt;=StatusDate,Tasks[[#This Row],[_ShownFcstFinish]]&lt;=LookaheadEnd),Tasks[[#This Row],[_ShownFcstFinish]]+Tasks[[#This Row],[_Row]]/100000,"")</f>
        <v/>
      </c>
      <c r="GO129" s="43" t="str">
        <f aca="false">IF(Tasks[[#This Row],[_LeafCritical]],Tasks[[#This Row],[_ShownFcstStart]]+Tasks[[#This Row],[_Row]]/100000,"")</f>
        <v/>
      </c>
      <c r="GP129" s="43" t="n">
        <f aca="false">Tasks[[#This Row],[_LeafWork]]*Tasks[[#This Row],[_LeafProgress]]</f>
        <v>0</v>
      </c>
      <c r="GQ129" s="91" t="str">
        <f aca="false">IF(AND(Tasks[[#This Row],[_IsLeaf]]=1,Tasks[[#This Row],[_LeafProgress]]&gt;=1),IF(N(Tasks[[#This Row],[Actual Finish]])&gt;0,Tasks[[#This Row],[Actual Finish]],Tasks[[#This Row],[_ShownFcstFinish]]),"")</f>
        <v/>
      </c>
      <c r="GR129" s="43" t="n">
        <f aca="false">IF(Tasks[[#This Row],[_IsLeaf]]=1,N(Tasks[[#This Row],[Story Points]]),0)</f>
        <v>0</v>
      </c>
      <c r="GS129" s="43" t="str">
        <f aca="false">""</f>
        <v/>
      </c>
      <c r="GT129" s="90" t="b">
        <f aca="false">IF(Tasks[[#This Row],[Task Name]]="",FALSE(),AND(Tasks[[#This Row],[_IsLeaf]]=1,N(Tasks[[#This Row],[_Days]])=0))</f>
        <v>0</v>
      </c>
      <c r="GU129" s="91" t="n">
        <f aca="false">IF(Tasks[[#This Row],[Task Name]]="",0,IF(AND(Tasks[[#This Row],[_IsLeaf]]=1,NOT(Tasks[[#This Row],[_IsMilestone]]),N(Tasks[[#This Row],[Progress]])&gt;0),Tasks[[#This Row],[Start]],0))</f>
        <v>0</v>
      </c>
      <c r="GV129" s="91" t="n">
        <f aca="false">IF(Tasks[[#This Row],[_DoneFrom]]=0,0,IF(Tasks[[#This Row],[Progress]]&gt;=1,Tasks[[#This Row],[Finish]],MAX(Tasks[[#This Row],[_DoneFrom]],Tasks[[#This Row],[Start]]+ROUND((Tasks[[#This Row],[Finish]]-Tasks[[#This Row],[Start]]+1)*Tasks[[#This Row],[Progress]],0)-1)))</f>
        <v>0</v>
      </c>
      <c r="GW129" s="91" t="n">
        <f aca="false">IF(Tasks[[#This Row],[Task Name]]="",0,IF(OR(NOT(Tasks[[#This Row],[_IsLeaf]]=1),Tasks[[#This Row],[_IsMilestone]],N(Tasks[[#This Row],[Progress]])&gt;=1),0,IF(Tasks[[#This Row],[_DoneTo]]&gt;0,Tasks[[#This Row],[_DoneTo]]+1,Tasks[[#This Row],[Start]])))</f>
        <v>0</v>
      </c>
      <c r="GX129" s="91" t="n">
        <f aca="false">IF(Tasks[[#This Row],[_RemFrom]]=0,0,Tasks[[#This Row],[Finish]])</f>
        <v>0</v>
      </c>
      <c r="GY129" s="90" t="b">
        <f aca="false">IF(Tasks[[#This Row],[Task Name]]="",FALSE(),OR(NOT(BaselineSet),N(Tasks[[#This Row],[Baseline Start]])&gt;0))</f>
        <v>0</v>
      </c>
      <c r="GZ12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9" s="92" t="str">
        <f aca="false">IF(Tasks[[#This Row],[_IsLeaf]]=1,Tasks[[#This Row],[_Row]],"")</f>
        <v/>
      </c>
      <c r="HD129" s="92" t="str">
        <f aca="false">IFERROR(INDEX(Tasks[UID],SMALL(Tasks[_PickKey],Tasks[[#This Row],[_Row]]))&amp;" "&amp;INDEX(Tasks[Task Name],SMALL(Tasks[_PickKey],Tasks[[#This Row],[_Row]])),"")</f>
        <v/>
      </c>
      <c r="HE129" s="43" t="str">
        <f aca="false">IF(Tasks[[#This Row],[Task Name]]="","",IF(Tasks[[#This Row],[_IsSummary]],NETWORKDAYS.INTL(Tasks[[#This Row],[Start]],Tasks[[#This Row],[Finish]],WorkWeek,Holidays),N(Tasks[[#This Row],[_Days]])))</f>
        <v/>
      </c>
      <c r="HF129" s="43" t="n">
        <f aca="false">IF(Tasks[[#This Row],[Expected]]="",0,((Tasks[[#This Row],[Pessimistic]]-Tasks[[#This Row],[Optimistic]])/6)^2)</f>
        <v>0</v>
      </c>
      <c r="HG129" s="43" t="n">
        <f aca="false">IF(Tasks[[#This Row],[Expected]]="",0,Tasks[[#This Row],[Expected]]-N(Tasks[[#This Row],[_Days]]))</f>
        <v>0</v>
      </c>
    </row>
    <row r="130" customFormat="false" ht="15" hidden="false" customHeight="false" outlineLevel="0" collapsed="false">
      <c r="A130" s="21" t="str">
        <f aca="false">IF(Tasks[[#This Row],[Task Name]]="","",COUNTA(Tasks[[#Headers],[Task Name]]:Tasks[[#This Row],[Task Name]])-1)</f>
        <v/>
      </c>
      <c r="B130" s="22" t="n">
        <v>138</v>
      </c>
      <c r="C130" s="22"/>
      <c r="D130" s="23"/>
      <c r="E130" s="22"/>
      <c r="F130" s="23"/>
      <c r="G130" s="22"/>
      <c r="H130" s="22"/>
      <c r="I130" s="23"/>
      <c r="J130" s="22"/>
      <c r="K130" s="22"/>
      <c r="L130" s="23"/>
      <c r="M130" s="22"/>
      <c r="N130" s="22"/>
      <c r="O130" s="23"/>
      <c r="P130" s="22"/>
      <c r="Q130" s="22"/>
      <c r="R130" s="23"/>
      <c r="S130" s="23"/>
      <c r="T130" s="84"/>
      <c r="U130" s="23"/>
      <c r="V130" s="84"/>
      <c r="W130" s="23"/>
      <c r="X130" s="84"/>
      <c r="Y130" s="23"/>
      <c r="Z130" s="84"/>
      <c r="AA130" s="23"/>
      <c r="AB130" s="23"/>
      <c r="AC130" s="7"/>
      <c r="AD130" s="7"/>
      <c r="AE130" s="63" t="str">
        <f aca="false">IF(Tasks[[#This Row],[Task Name]]="","",IF(Tasks[[#This Row],[_IsSummary]],MIN(INDEX(Tasks[_ShownFcstStart],Tasks[[#This Row],[_Row]]+1):INDEX(Tasks[_ShownFcstStart],Tasks[[#This Row],[_Row]]+Tasks[[#This Row],[_Descendants]])),Tasks[[#This Row],[_ShownFcstStart]]))</f>
        <v/>
      </c>
      <c r="AF130" s="63" t="str">
        <f aca="false">IF(Tasks[[#This Row],[Task Name]]="","",IF(Tasks[[#This Row],[_IsSummary]],MAX(INDEX(Tasks[_ShownFcstFinish],Tasks[[#This Row],[_Row]]+1):INDEX(Tasks[_ShownFcstFinish],Tasks[[#This Row],[_Row]]+Tasks[[#This Row],[_Descendants]])),Tasks[[#This Row],[_ShownFcstFinish]]))</f>
        <v/>
      </c>
      <c r="AG130" s="21" t="str">
        <f aca="false">""</f>
        <v/>
      </c>
      <c r="AH130" s="23"/>
      <c r="AI1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0" s="7"/>
      <c r="AK130" s="22"/>
      <c r="AL130" s="23"/>
      <c r="AM130" s="7"/>
      <c r="AN130" s="47" t="str">
        <f aca="false">IF(Tasks[[#This Row],[Task Name]]="","",IF(Tasks[[#This Row],[Finish]]&gt;=Tasks[[#This Row],[Planned Finish]],NETWORKDAYS.INTL(Tasks[[#This Row],[Planned Finish]],Tasks[[#This Row],[Finish]],WorkWeek,Holidays)-1,1-NETWORKDAYS.INTL(Tasks[[#This Row],[Finish]],Tasks[[#This Row],[Planned Finish]],WorkWeek,Holidays)))</f>
        <v/>
      </c>
      <c r="AO130" s="21" t="str">
        <f aca="false">IF(Tasks[[#This Row],[Task Name]]="","",IF(Tasks[[#This Row],[Progress]]&gt;=1,"Complete",IF(OR(N(Tasks[[#This Row],[Actual Start]])&gt;0,Tasks[[#This Row],[Progress]]&gt;0),IF(Tasks[[#This Row],[Finish Var]]&gt;0,"Behind","In Progress"),IF(Tasks[[#This Row],[Planned Start]]&lt;StatusDate,"Late Start","Not Started"))))</f>
        <v/>
      </c>
      <c r="AP130" s="21" t="str">
        <f aca="false">IF(Tasks[[#This Row],[Task Name]]="","",IF(IF(Tasks[[#This Row],[_IsSummary]],COUNTIF(INDEX(Tasks[_LeafCritical],Tasks[[#This Row],[_Row]]+1):INDEX(Tasks[_LeafCritical],Tasks[[#This Row],[_Row]]+Tasks[[#This Row],[_Descendants]]),TRUE())&gt;0,Tasks[[#This Row],[_LeafCritical]]),"Yes",""))</f>
        <v/>
      </c>
      <c r="AQ130" s="63" t="str">
        <f aca="false">IF(Tasks[[#This Row],[Task Name]]="","",IF(N(Tasks[[#This Row],[Baseline Start]])&gt;0,Tasks[[#This Row],[Baseline Start]],Tasks[[#This Row],[_CalcStart]]))</f>
        <v/>
      </c>
      <c r="AR130" s="63" t="str">
        <f aca="false">IF(Tasks[[#This Row],[Task Name]]="","",IF(N(Tasks[[#This Row],[Baseline Finish]])&gt;0,Tasks[[#This Row],[Baseline Finish]],Tasks[[#This Row],[_CalcFinish]]))</f>
        <v/>
      </c>
      <c r="AS130" s="47" t="str">
        <f aca="false">IF(Tasks[[#This Row],[Task Name]]="","",IF(Tasks[[#This Row],[Start]]&gt;=Tasks[[#This Row],[Planned Start]],NETWORKDAYS.INTL(Tasks[[#This Row],[Planned Start]],Tasks[[#This Row],[Start]],WorkWeek,Holidays)-1,1-NETWORKDAYS.INTL(Tasks[[#This Row],[Start]],Tasks[[#This Row],[Planned Start]],WorkWeek,Holidays)))</f>
        <v/>
      </c>
      <c r="AT130" s="63" t="str">
        <f aca="false">IF(Tasks[[#This Row],[Task Name]]="","",IF(Tasks[[#This Row],[_IsSummary]],MIN(INDEX(Tasks[_LeafLateStart],Tasks[[#This Row],[_Row]]+1):INDEX(Tasks[_LeafLateStart],Tasks[[#This Row],[_Row]]+Tasks[[#This Row],[_Descendants]])),Tasks[[#This Row],[_LeafLateStart]]))</f>
        <v/>
      </c>
      <c r="AU130" s="63" t="str">
        <f aca="false">IF(Tasks[[#This Row],[Task Name]]="","",IF(Tasks[[#This Row],[_IsSummary]],MAX(INDEX(Tasks[_LeafLateFinish],Tasks[[#This Row],[_Row]]+1):INDEX(Tasks[_LeafLateFinish],Tasks[[#This Row],[_Row]]+Tasks[[#This Row],[_Descendants]])),Tasks[[#This Row],[_LeafLateFinish]]))</f>
        <v/>
      </c>
      <c r="AV130" s="47" t="str">
        <f aca="false">IF(Tasks[[#This Row],[Task Name]]="","",IF(Tasks[[#This Row],[_IsSummary]],MIN(INDEX(Tasks[_LeafTotalSlack],Tasks[[#This Row],[_Row]]+1):INDEX(Tasks[_LeafTotalSlack],Tasks[[#This Row],[_Row]]+Tasks[[#This Row],[_Descendants]])),Tasks[[#This Row],[_LeafTotalSlack]]))</f>
        <v/>
      </c>
      <c r="AW1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5"/>
      <c r="BA13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1" t="str">
        <f aca="false">IF(Tasks[[#This Row],[Task Name]]="","",IF(Tasks[[#This Row],[_Level]]&lt;=OutlineShowLevel,"Yes","No"))</f>
        <v/>
      </c>
      <c r="BE130" s="86" t="str">
        <f aca="false">IF(Tasks[[#This Row],[Task Name]]="","",IF(Tasks[[#This Row],[_IsSummary]],SUM(INDEX(Tasks[_LeafTotalWork],Tasks[[#This Row],[_Row]]+1):INDEX(Tasks[_LeafTotalWork],Tasks[[#This Row],[_Row]]+Tasks[[#This Row],[_Descendants]])),Tasks[[#This Row],[_LeafTotalWork]]))</f>
        <v/>
      </c>
      <c r="BF130" s="23"/>
      <c r="BG1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0" s="21" t="str">
        <f aca="false">""</f>
        <v/>
      </c>
      <c r="BI130" s="87"/>
      <c r="BJ130" s="22"/>
      <c r="BK130" s="47" t="str">
        <f aca="false">IF(OR(Tasks[[#This Row],[Task Name]]="",Tasks[[#This Row],[Baseline Duration]]=""),"",Tasks[[#This Row],[_SpanDays]]-N(Tasks[[#This Row],[Baseline Duration]]))</f>
        <v/>
      </c>
      <c r="BL130" s="86" t="str">
        <f aca="false">IF(OR(Tasks[[#This Row],[Task Name]]="",Tasks[[#This Row],[Baseline Work]]=""),"",Tasks[[#This Row],[Work]]-N(Tasks[[#This Row],[Baseline Work]]))</f>
        <v/>
      </c>
      <c r="BM130" s="63" t="str">
        <f aca="false">IF(Tasks[[#This Row],[Task Name]]="","",IF(OR(TakeBaseline="Yes",N(Tasks[[#This Row],[Baseline Start]])=0),Tasks[[#This Row],[Start]],Tasks[[#This Row],[Baseline Start]]))</f>
        <v/>
      </c>
      <c r="BN130" s="63" t="str">
        <f aca="false">IF(Tasks[[#This Row],[Task Name]]="","",IF(OR(TakeBaseline="Yes",N(Tasks[[#This Row],[Baseline Finish]])=0),Tasks[[#This Row],[Finish]],Tasks[[#This Row],[Baseline Finish]]))</f>
        <v/>
      </c>
      <c r="BO130" s="21" t="str">
        <f aca="false">IF(Tasks[[#This Row],[Task Name]]="","",IF(OR(TakeBaseline="Yes",N(Tasks[[#This Row],[Baseline Duration]])=0),Tasks[[#This Row],[_SpanDays]],Tasks[[#This Row],[Baseline Duration]]))</f>
        <v/>
      </c>
      <c r="BP130" s="86" t="str">
        <f aca="false">IF(Tasks[[#This Row],[Task Name]]="","",IF(OR(TakeBaseline="Yes",N(Tasks[[#This Row],[Baseline Work]])=0),Tasks[[#This Row],[Work]],Tasks[[#This Row],[Baseline Work]]))</f>
        <v/>
      </c>
      <c r="BQ130" s="7"/>
      <c r="BR130" s="7"/>
      <c r="BS130" s="22"/>
      <c r="BT130" s="88"/>
      <c r="BU130" s="23"/>
      <c r="BV130" s="23"/>
      <c r="BW130" s="23"/>
      <c r="BX130" s="89" t="str">
        <f aca="false">IF(AND(Tasks[[#This Row],[_IsLeaf]]=1,ISNUMBER(Tasks[[#This Row],[Optimistic]]),ISNUMBER(Tasks[[#This Row],[Pessimistic]])),ROUND((Tasks[[#This Row],[Optimistic]]+4*N(Tasks[[#This Row],[_Days]])+Tasks[[#This Row],[Pessimistic]])/6,1),"")</f>
        <v/>
      </c>
      <c r="BY130" s="87"/>
      <c r="BZ130" s="87"/>
      <c r="CA130" s="22"/>
      <c r="CB130" s="43" t="str">
        <f aca="false">IF(Tasks[[#This Row],[Task Name]]="","",MAX(1,N(Tasks[[#This Row],[Level]])))</f>
        <v/>
      </c>
      <c r="CC130" s="43" t="n">
        <f aca="false">ROW()-ROW(Tasks[[#Headers],[ID]])</f>
        <v>125</v>
      </c>
      <c r="CD130" s="43" t="n">
        <f aca="false">IF(OR(Tasks[[#This Row],[Task Name]]="",Tasks[[#This Row],[_Level]]&lt;=1),0,IFERROR(LOOKUP(2,1/(Tasks[[#Headers],[_Level]]:Tasks[[#This Row],[_Level]]=Tasks[[#This Row],[_Level]]-1),ROW(Tasks[[#Headers],[_Level]]:Tasks[[#This Row],[_Level]])),0))</f>
        <v>0</v>
      </c>
      <c r="CE130" s="43" t="n">
        <f aca="false">IFERROR(N(INDEX(Tasks[_Level],Tasks[[#This Row],[_Row]]+1)),0)</f>
        <v>0</v>
      </c>
      <c r="CF130" s="90" t="b">
        <f aca="false">AND(Tasks[[#This Row],[Task Name]]&lt;&gt;"",Tasks[[#This Row],[_NextLevel]]&gt;Tasks[[#This Row],[_Level]])</f>
        <v>0</v>
      </c>
      <c r="CG130" s="43" t="n">
        <f aca="false">IF(Tasks[[#This Row],[_IsSummary]],COUNTIF(Tasks[WBS],Tasks[[#This Row],[WBS]]&amp;".*"),0)</f>
        <v>0</v>
      </c>
      <c r="CH130" s="43" t="n">
        <f aca="false">IF(AND(Tasks[[#This Row],[Task Name]]&lt;&gt;"",NOT(Tasks[[#This Row],[_IsSummary]])),1,0)</f>
        <v>0</v>
      </c>
      <c r="CI130" s="43" t="n">
        <f aca="false">IF(N(Tasks[[#This Row],[_Pred1UID]])=0,0,IFERROR(MATCH(Tasks[[#This Row],[_Pred1UID]],Tasks[UID],0),-1))</f>
        <v>0</v>
      </c>
      <c r="CJ130" s="43" t="n">
        <f aca="false">IF(N(Tasks[[#This Row],[_Pred2UID]])=0,0,IFERROR(MATCH(Tasks[[#This Row],[_Pred2UID]],Tasks[UID],0),-1))</f>
        <v>0</v>
      </c>
      <c r="CK130" s="43" t="n">
        <f aca="false">IF(N(Tasks[[#This Row],[_Pred3UID]])=0,0,IFERROR(MATCH(Tasks[[#This Row],[_Pred3UID]],Tasks[UID],0),-1))</f>
        <v>0</v>
      </c>
      <c r="CL130" s="43" t="n">
        <f aca="false">IF(N(Tasks[[#This Row],[_Pred4UID]])=0,0,IFERROR(MATCH(Tasks[[#This Row],[_Pred4UID]],Tasks[UID],0),-1))</f>
        <v>0</v>
      </c>
      <c r="CM13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0" s="91" t="n">
        <f aca="false">IF(OR(Tasks[[#This Row],[_ConstraintCode]]=2,Tasks[[#This Row],[_ConstraintCode]]=3,Tasks[[#This Row],[_ConstraintCode]]=4,Tasks[[#This Row],[_ConstraintCode]]=6),Tasks[[#This Row],[_ConstraintStart]],0)</f>
        <v>0</v>
      </c>
      <c r="CP130" s="91" t="n">
        <f aca="false">IF(OR(Tasks[[#This Row],[_ConstraintCode]]=2,Tasks[[#This Row],[_ConstraintCode]]=3,Tasks[[#This Row],[_ConstraintCode]]=5,Tasks[[#This Row],[_ConstraintCode]]=7),Tasks[[#This Row],[_ConstraintStart]],2958465)</f>
        <v>2958465</v>
      </c>
      <c r="CQ13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0" s="91" t="str">
        <f aca="false">IF(NOT(Tasks[[#This Row],[_IsLeaf]]=1),"",IF(N(Tasks[[#This Row],[_Days]])&lt;=0,Tasks[[#This Row],[_LeafCalcStart]],WORKDAY.INTL(Tasks[[#This Row],[_LeafCalcStart]],Tasks[[#This Row],[_Days]]-1,WorkWeek,Holidays)))</f>
        <v/>
      </c>
      <c r="CS13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0" s="43" t="str">
        <f aca="false">IF(Tasks[[#This Row],[_Predecessors]]="","",TRIM(MID(SUBSTITUTE(SUBSTITUTE(SUBSTITUTE(UPPER(Tasks[[#This Row],[_Predecessors]]),";",",")," ",""),",",REPT(" ",99)),1,99)))</f>
        <v/>
      </c>
      <c r="CV130" s="43" t="str">
        <f aca="false">IF(Tasks[[#This Row],[_Pred1Text]]="","",IFERROR(VALUE(LEFT(Tasks[[#This Row],[_Pred1Text]],MIN(FIND("F",Tasks[[#This Row],[_Pred1Text]]&amp;"F"),FIND("S",Tasks[[#This Row],[_Pred1Text]]&amp;"S"),FIND("+",Tasks[[#This Row],[_Pred1Text]]&amp;"+"),FIND("-",Tasks[[#This Row],[_Pred1Text]]&amp;"-"))-1)),""))</f>
        <v/>
      </c>
      <c r="CW13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0" s="43" t="str">
        <f aca="false">IF(Tasks[[#This Row],[_Pred1Text]]="","",TRIM(MID(SUBSTITUTE(SUBSTITUTE(SUBSTITUTE(UPPER(Tasks[[#This Row],[_Predecessors]]),";",",")," ",""),",",REPT(" ",99)),100,99)))</f>
        <v/>
      </c>
      <c r="CZ130" s="43" t="str">
        <f aca="false">IF(Tasks[[#This Row],[_Pred2Text]]="","",IFERROR(VALUE(LEFT(Tasks[[#This Row],[_Pred2Text]],MIN(FIND("F",Tasks[[#This Row],[_Pred2Text]]&amp;"F"),FIND("S",Tasks[[#This Row],[_Pred2Text]]&amp;"S"),FIND("+",Tasks[[#This Row],[_Pred2Text]]&amp;"+"),FIND("-",Tasks[[#This Row],[_Pred2Text]]&amp;"-"))-1)),""))</f>
        <v/>
      </c>
      <c r="DA13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0" s="43" t="str">
        <f aca="false">IF(Tasks[[#This Row],[_Pred2Text]]="","",TRIM(MID(SUBSTITUTE(SUBSTITUTE(SUBSTITUTE(UPPER(Tasks[[#This Row],[_Predecessors]]),";",",")," ",""),",",REPT(" ",99)),199,99)))</f>
        <v/>
      </c>
      <c r="DD130" s="43" t="str">
        <f aca="false">IF(Tasks[[#This Row],[_Pred3Text]]="","",IFERROR(VALUE(LEFT(Tasks[[#This Row],[_Pred3Text]],MIN(FIND("F",Tasks[[#This Row],[_Pred3Text]]&amp;"F"),FIND("S",Tasks[[#This Row],[_Pred3Text]]&amp;"S"),FIND("+",Tasks[[#This Row],[_Pred3Text]]&amp;"+"),FIND("-",Tasks[[#This Row],[_Pred3Text]]&amp;"-"))-1)),""))</f>
        <v/>
      </c>
      <c r="DE13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0" s="43" t="str">
        <f aca="false">IF(Tasks[[#This Row],[_Pred3Text]]="","",TRIM(MID(SUBSTITUTE(SUBSTITUTE(SUBSTITUTE(UPPER(Tasks[[#This Row],[_Predecessors]]),";",",")," ",""),",",REPT(" ",99)),298,99)))</f>
        <v/>
      </c>
      <c r="DH130" s="43" t="str">
        <f aca="false">IF(Tasks[[#This Row],[_Pred4Text]]="","",IFERROR(VALUE(LEFT(Tasks[[#This Row],[_Pred4Text]],MIN(FIND("F",Tasks[[#This Row],[_Pred4Text]]&amp;"F"),FIND("S",Tasks[[#This Row],[_Pred4Text]]&amp;"S"),FIND("+",Tasks[[#This Row],[_Pred4Text]]&amp;"+"),FIND("-",Tasks[[#This Row],[_Pred4Text]]&amp;"-"))-1)),""))</f>
        <v/>
      </c>
      <c r="DI13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0" s="43" t="str">
        <f aca="false">IF(OR(Tasks[[#This Row],[Task Name]]="",Tasks[[#This Row],[_Resources]]=""),"",TRIM(MID(SUBSTITUTE(Tasks[[#This Row],[_Resources]],",",REPT(" ",99)),1,99)))</f>
        <v/>
      </c>
      <c r="DL130" s="43" t="str">
        <f aca="false">IF(Tasks[[#This Row],[_Res1Text]]="","",TRIM(MID(SUBSTITUTE(Tasks[[#This Row],[_Resources]],",",REPT(" ",99)),100,99)))</f>
        <v/>
      </c>
      <c r="DM130" s="43" t="str">
        <f aca="false">IF(Tasks[[#This Row],[_Res2Text]]="","",TRIM(MID(SUBSTITUTE(Tasks[[#This Row],[_Resources]],",",REPT(" ",99)),199,99)))</f>
        <v/>
      </c>
      <c r="DN130" s="43" t="str">
        <f aca="false">IF(Tasks[[#This Row],[_Res3Text]]="","",TRIM(MID(SUBSTITUTE(Tasks[[#This Row],[_Resources]],",",REPT(" ",99)),298,99)))</f>
        <v/>
      </c>
      <c r="DO130" s="43" t="n">
        <f aca="false">IF(Tasks[[#This Row],[_Res1Text]]="",0,IFERROR(MATCH(TRIM(LEFT(Tasks[[#This Row],[_Res1Text]],FIND("[",Tasks[[#This Row],[_Res1Text]]&amp;"[")-1)),res_Name,0),IFERROR(MATCH(TRIM(LEFT(Tasks[[#This Row],[_Res1Text]],FIND("[",Tasks[[#This Row],[_Res1Text]]&amp;"[")-1)),res_Initials,0),0)))</f>
        <v>0</v>
      </c>
      <c r="DP130" s="43" t="n">
        <f aca="false">IF(Tasks[[#This Row],[_Res2Text]]="",0,IFERROR(MATCH(TRIM(LEFT(Tasks[[#This Row],[_Res2Text]],FIND("[",Tasks[[#This Row],[_Res2Text]]&amp;"[")-1)),res_Name,0),IFERROR(MATCH(TRIM(LEFT(Tasks[[#This Row],[_Res2Text]],FIND("[",Tasks[[#This Row],[_Res2Text]]&amp;"[")-1)),res_Initials,0),0)))</f>
        <v>0</v>
      </c>
      <c r="DQ130" s="43" t="n">
        <f aca="false">IF(Tasks[[#This Row],[_Res3Text]]="",0,IFERROR(MATCH(TRIM(LEFT(Tasks[[#This Row],[_Res3Text]],FIND("[",Tasks[[#This Row],[_Res3Text]]&amp;"[")-1)),res_Name,0),IFERROR(MATCH(TRIM(LEFT(Tasks[[#This Row],[_Res3Text]],FIND("[",Tasks[[#This Row],[_Res3Text]]&amp;"[")-1)),res_Initials,0),0)))</f>
        <v>0</v>
      </c>
      <c r="DR130" s="43" t="n">
        <f aca="false">IF(Tasks[[#This Row],[_Res4Text]]="",0,IFERROR(MATCH(TRIM(LEFT(Tasks[[#This Row],[_Res4Text]],FIND("[",Tasks[[#This Row],[_Res4Text]]&amp;"[")-1)),res_Name,0),IFERROR(MATCH(TRIM(LEFT(Tasks[[#This Row],[_Res4Text]],FIND("[",Tasks[[#This Row],[_Res4Text]]&amp;"[")-1)),res_Initials,0),0)))</f>
        <v>0</v>
      </c>
      <c r="DS130" s="43" t="str">
        <f aca="false">IF(Tasks[[#This Row],[_Res1Text]]="","",IF(Tasks[[#This Row],[_Res1Row]]&gt;0,INDEX(res_Name,Tasks[[#This Row],[_Res1Row]]),TRIM(LEFT(Tasks[[#This Row],[_Res1Text]],FIND("[",Tasks[[#This Row],[_Res1Text]]&amp;"[")-1))))</f>
        <v/>
      </c>
      <c r="DT13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0" s="43" t="n">
        <f aca="false">IF(NOT(Tasks[[#This Row],[_IsLeaf]]=1),0,(Tasks[[#This Row],[_Resource1]]&lt;&gt;"")+(Tasks[[#This Row],[_Res2]]&lt;&gt;"")+(Tasks[[#This Row],[_Res3]]&lt;&gt;"")+(Tasks[[#This Row],[_Res4]]&lt;&gt;""))</f>
        <v>0</v>
      </c>
      <c r="DV130" s="43" t="str">
        <f aca="false">IF(Tasks[[#This Row],[_Res2Text]]="","",IF(Tasks[[#This Row],[_Res2Row]]&gt;0,INDEX(res_Name,Tasks[[#This Row],[_Res2Row]]),TRIM(LEFT(Tasks[[#This Row],[_Res2Text]],FIND("[",Tasks[[#This Row],[_Res2Text]]&amp;"[")-1))))</f>
        <v/>
      </c>
      <c r="DW13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0" s="43" t="n">
        <f aca="false">IF(OR(NOT(Tasks[[#This Row],[_IsLeaf]]=1),Tasks[[#This Row],[_Res2Row]]=0),0,N(Tasks[[#This Row],[_Days]])*HoursPerDay*IF(Tasks[[#This Row],[_Res2Units]]="",DefaultUnits,Tasks[[#This Row],[_Res2Units]]))</f>
        <v>0</v>
      </c>
      <c r="DY130" s="43" t="n">
        <f aca="false">IF(AND(AND(Tasks[[#This Row],[_IsLeaf]]=1,Tasks[[#This Row],[_LeafTotalWork]]&gt;0),Tasks[[#This Row],[_Res2Work]]&gt;0),Tasks[[#This Row],[_Res2Work]]/(Tasks[[#This Row],[_FinishWorkday]]-Tasks[[#This Row],[_StartWorkday]]+1),0)</f>
        <v>0</v>
      </c>
      <c r="DZ130" s="43" t="n">
        <f aca="false">Tasks[[#This Row],[_Res2WorkPerWD]]*MAX(0,Tasks[[#This Row],[_StartWorkday]]-1)</f>
        <v>0</v>
      </c>
      <c r="EA130" s="43" t="n">
        <f aca="false">Tasks[[#This Row],[_Res2Work]]*Tasks[[#This Row],[_LeafProgress]]</f>
        <v>0</v>
      </c>
      <c r="EB130" s="43" t="str">
        <f aca="false">IF(Tasks[[#This Row],[_Res3Text]]="","",IF(Tasks[[#This Row],[_Res3Row]]&gt;0,INDEX(res_Name,Tasks[[#This Row],[_Res3Row]]),TRIM(LEFT(Tasks[[#This Row],[_Res3Text]],FIND("[",Tasks[[#This Row],[_Res3Text]]&amp;"[")-1))))</f>
        <v/>
      </c>
      <c r="EC13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0" s="43" t="n">
        <f aca="false">IF(OR(NOT(Tasks[[#This Row],[_IsLeaf]]=1),Tasks[[#This Row],[_Res3Row]]=0),0,N(Tasks[[#This Row],[_Days]])*HoursPerDay*IF(Tasks[[#This Row],[_Res3Units]]="",DefaultUnits,Tasks[[#This Row],[_Res3Units]]))</f>
        <v>0</v>
      </c>
      <c r="EE130" s="43" t="n">
        <f aca="false">IF(AND(AND(Tasks[[#This Row],[_IsLeaf]]=1,Tasks[[#This Row],[_LeafTotalWork]]&gt;0),Tasks[[#This Row],[_Res3Work]]&gt;0),Tasks[[#This Row],[_Res3Work]]/(Tasks[[#This Row],[_FinishWorkday]]-Tasks[[#This Row],[_StartWorkday]]+1),0)</f>
        <v>0</v>
      </c>
      <c r="EF130" s="43" t="n">
        <f aca="false">Tasks[[#This Row],[_Res3WorkPerWD]]*MAX(0,Tasks[[#This Row],[_StartWorkday]]-1)</f>
        <v>0</v>
      </c>
      <c r="EG130" s="43" t="n">
        <f aca="false">Tasks[[#This Row],[_Res3Work]]*Tasks[[#This Row],[_LeafProgress]]</f>
        <v>0</v>
      </c>
      <c r="EH130" s="43" t="str">
        <f aca="false">IF(Tasks[[#This Row],[_Res4Text]]="","",IF(Tasks[[#This Row],[_Res4Row]]&gt;0,INDEX(res_Name,Tasks[[#This Row],[_Res4Row]]),TRIM(LEFT(Tasks[[#This Row],[_Res4Text]],FIND("[",Tasks[[#This Row],[_Res4Text]]&amp;"[")-1))))</f>
        <v/>
      </c>
      <c r="EI13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0" s="43" t="n">
        <f aca="false">IF(OR(NOT(Tasks[[#This Row],[_IsLeaf]]=1),Tasks[[#This Row],[_Res4Row]]=0),0,N(Tasks[[#This Row],[_Days]])*HoursPerDay*IF(Tasks[[#This Row],[_Res4Units]]="",DefaultUnits,Tasks[[#This Row],[_Res4Units]]))</f>
        <v>0</v>
      </c>
      <c r="EK130" s="43" t="n">
        <f aca="false">IF(AND(AND(Tasks[[#This Row],[_IsLeaf]]=1,Tasks[[#This Row],[_LeafTotalWork]]&gt;0),Tasks[[#This Row],[_Res4Work]]&gt;0),Tasks[[#This Row],[_Res4Work]]/(Tasks[[#This Row],[_FinishWorkday]]-Tasks[[#This Row],[_StartWorkday]]+1),0)</f>
        <v>0</v>
      </c>
      <c r="EL130" s="43" t="n">
        <f aca="false">Tasks[[#This Row],[_Res4WorkPerWD]]*MAX(0,Tasks[[#This Row],[_StartWorkday]]-1)</f>
        <v>0</v>
      </c>
      <c r="EM130" s="43" t="n">
        <f aca="false">Tasks[[#This Row],[_Res4Work]]*Tasks[[#This Row],[_LeafProgress]]</f>
        <v>0</v>
      </c>
      <c r="EN130" s="43" t="n">
        <f aca="false">IF(ISNUMBER(Tasks[[#This Row],[% Complete]]),Tasks[[#This Row],[% Complete]],IF(Tasks[[#This Row],[Stage]]="",0,IFERROR(INDEX(stg_Pct,MATCH(Tasks[[#This Row],[Stage]],stg_Name,0)),0)))</f>
        <v>0</v>
      </c>
      <c r="EO130" s="43" t="n">
        <f aca="false">IF(NOT(Tasks[[#This Row],[_IsLeaf]]=1),0,IF(N(Tasks[[#This Row],[Actual Finish]])&gt;0,1,MIN(1,Tasks[[#This Row],[_Pct]])))</f>
        <v>0</v>
      </c>
      <c r="EP130" s="43" t="n">
        <f aca="false">IF(OR(NOT(Tasks[[#This Row],[_IsLeaf]]=1),Tasks[[#This Row],[_Res1Row]]=0),0,N(Tasks[[#This Row],[_Days]])*HoursPerDay*IF(Tasks[[#This Row],[_Units1]]="",DefaultUnits,Tasks[[#This Row],[_Units1]]))</f>
        <v>0</v>
      </c>
      <c r="EQ130" s="43" t="n">
        <f aca="false">Tasks[[#This Row],[_LeafWork]]+Tasks[[#This Row],[_Res2Work]]+Tasks[[#This Row],[_Res3Work]]+Tasks[[#This Row],[_Res4Work]]</f>
        <v>0</v>
      </c>
      <c r="ER13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0" s="43" t="n">
        <f aca="false">IF(NOT(Tasks[[#This Row],[_IsLeaf]]=1),0,MAX(_xlfn.MAXIFS(Tasks[_Row],Tasks[_Pred1UID],Tasks[[#This Row],[UID]]),_xlfn.MAXIFS(Tasks[_Row],Tasks[_Pred2UID],Tasks[[#This Row],[UID]]),_xlfn.MAXIFS(Tasks[_Row],Tasks[_Pred3UID],Tasks[[#This Row],[UID]]),_xlfn.MAXIFS(Tasks[_Row],Tasks[_Pred4UID],Tasks[[#This Row],[UID]])))</f>
        <v>0</v>
      </c>
      <c r="FA13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0" s="91" t="str">
        <f aca="false">IF(NOT(Tasks[[#This Row],[_IsLeaf]]=1),"",IF(N(Tasks[[#This Row],[_Days]])&lt;=0,Tasks[[#This Row],[_LeafLateFinish]],WORKDAY.INTL(Tasks[[#This Row],[_LeafLateFinish]],-(Tasks[[#This Row],[_Days]]-1),WorkWeek,Holidays)))</f>
        <v/>
      </c>
      <c r="FD13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0" s="90" t="b">
        <f aca="false">AND(Tasks[[#This Row],[_IsLeaf]]=1,Tasks[[#This Row],[_LeafProgress]]&lt;1,N(Tasks[[#This Row],[_LeafTotalSlack]])&lt;=CriticalSlackDays)</f>
        <v>0</v>
      </c>
      <c r="FF130" s="43" t="n">
        <f aca="false">IF(AND(Tasks[[#This Row],[_IsLeaf]]=1,Tasks[[#This Row],[_ConstraintCode]]=1,Tasks[[#This Row],[Mode]]&lt;&gt;"Manual",N(Tasks[[#This Row],[Actual Start]])=0),MAX(0,N(Tasks[[#This Row],[Free Slack]])),0)</f>
        <v>0</v>
      </c>
      <c r="FG130" s="91" t="str">
        <f aca="false">IF(NOT(Tasks[[#This Row],[_IsLeaf]]=1),"",IF(Tasks[[#This Row],[_AlapShift]]=0,Tasks[[#This Row],[_LeafCalcStart]],WORKDAY.INTL(Tasks[[#This Row],[_LeafCalcStart]],Tasks[[#This Row],[_AlapShift]],WorkWeek,Holidays)))</f>
        <v/>
      </c>
      <c r="FH130" s="91" t="str">
        <f aca="false">IF(NOT(Tasks[[#This Row],[_IsLeaf]]=1),"",IF(Tasks[[#This Row],[_AlapShift]]=0,Tasks[[#This Row],[_LeafCalcFinish]],WORKDAY.INTL(Tasks[[#This Row],[_LeafCalcFinish]],Tasks[[#This Row],[_AlapShift]],WorkWeek,Holidays)))</f>
        <v/>
      </c>
      <c r="FI130" s="91" t="str">
        <f aca="false">IF(NOT(Tasks[[#This Row],[_IsLeaf]]=1),"",IF(Tasks[[#This Row],[_AlapShift]]=0,Tasks[[#This Row],[_LeafFcstStart]],WORKDAY.INTL(Tasks[[#This Row],[_LeafFcstStart]],Tasks[[#This Row],[_AlapShift]],WorkWeek,Holidays)))</f>
        <v/>
      </c>
      <c r="FJ130" s="91" t="str">
        <f aca="false">IF(NOT(Tasks[[#This Row],[_IsLeaf]]=1),"",IF(Tasks[[#This Row],[_AlapShift]]=0,Tasks[[#This Row],[_LeafFcstFinish]],WORKDAY.INTL(Tasks[[#This Row],[_LeafFcstFinish]],Tasks[[#This Row],[_AlapShift]],WorkWeek,Holidays)))</f>
        <v/>
      </c>
      <c r="FK130" s="91" t="str">
        <f aca="false">IF(Tasks[[#This Row],[Task Name]]="","",IF(Tasks[[#This Row],[_IsSummary]],MIN(INDEX(Tasks[_ShownCalcStart],Tasks[[#This Row],[_Row]]+1):INDEX(Tasks[_ShownCalcStart],Tasks[[#This Row],[_Row]]+Tasks[[#This Row],[_Descendants]])),Tasks[[#This Row],[_ShownCalcStart]]))</f>
        <v/>
      </c>
      <c r="FL130" s="91" t="str">
        <f aca="false">IF(Tasks[[#This Row],[Task Name]]="","",IF(Tasks[[#This Row],[_IsSummary]],MAX(INDEX(Tasks[_ShownCalcFinish],Tasks[[#This Row],[_Row]]+1):INDEX(Tasks[_ShownCalcFinish],Tasks[[#This Row],[_Row]]+Tasks[[#This Row],[_Descendants]])),Tasks[[#This Row],[_ShownCalcFinish]]))</f>
        <v/>
      </c>
      <c r="FM13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0" s="43" t="n">
        <f aca="false">IF(AND(Tasks[[#This Row],[_IsLeaf]]=1,Tasks[[#This Row],[_LeafTotalWork]]&gt;0),NETWORKDAYS.INTL(ProjectStart,Tasks[[#This Row],[_ShownFcstStart]],WorkWeek,Holidays),0)</f>
        <v>0</v>
      </c>
      <c r="FZ130" s="43" t="n">
        <f aca="false">IF(AND(Tasks[[#This Row],[_IsLeaf]]=1,Tasks[[#This Row],[_LeafTotalWork]]&gt;0),MAX(Tasks[[#This Row],[_StartWorkday]],NETWORKDAYS.INTL(ProjectStart,Tasks[[#This Row],[_ShownFcstFinish]],WorkWeek,Holidays)),0)</f>
        <v>0</v>
      </c>
      <c r="GA130" s="43" t="n">
        <f aca="false">IF(AND(Tasks[[#This Row],[_IsLeaf]]=1,Tasks[[#This Row],[_LeafTotalWork]]&gt;0),Tasks[[#This Row],[_LeafWork]]/(Tasks[[#This Row],[_FinishWorkday]]-Tasks[[#This Row],[_StartWorkday]]+1),0)</f>
        <v>0</v>
      </c>
      <c r="GB130" s="43" t="n">
        <f aca="false">Tasks[[#This Row],[_WorkPerWorkday]]*(Tasks[[#This Row],[_StartWorkday]]-1)</f>
        <v>-0</v>
      </c>
      <c r="GC130" s="43" t="n">
        <f aca="false">IF(Tasks[[#This Row],[_IsLeaf]]=1,MAX(N(Tasks[[#This Row],[_Days]]),0.1),0)</f>
        <v>0</v>
      </c>
      <c r="GD130" s="43" t="n">
        <f aca="false">Tasks[[#This Row],[_WeightDur]]*Tasks[[#This Row],[_LeafProgress]]</f>
        <v>0</v>
      </c>
      <c r="GE130" s="43" t="n">
        <f aca="false">Tasks[[#This Row],[_WeightDur]]*Tasks[[#This Row],[_PlannedPct]]</f>
        <v>0</v>
      </c>
      <c r="GF13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0" s="43" t="str">
        <f aca="false">IF(AND(Tasks[[#This Row],[_IsLeaf]]=1,N(Tasks[[#This Row],[_Days]])=0,Tasks[[#This Row],[_LeafProgress]]&lt;1),Tasks[[#This Row],[_ShownFcstFinish]]+Tasks[[#This Row],[_Row]]/100000,"")</f>
        <v/>
      </c>
      <c r="GH13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0" s="43" t="str">
        <f aca="false">IF(Tasks[[#This Row],[Task Name]]="","",LEFT(Tasks[[#This Row],[WBS]],FIND(".",Tasks[[#This Row],[WBS]]&amp;".")-1))</f>
        <v/>
      </c>
      <c r="GJ130" s="43" t="str">
        <f aca="false">IF(AND(Tasks[[#This Row],[Task Name]]&lt;&gt;"",Tasks[[#This Row],[_Level]]=1),Tasks[[#This Row],[_Row]],"")</f>
        <v/>
      </c>
      <c r="GK130" s="43" t="str">
        <f aca="false">IF(AND(Tasks[[#This Row],[_IsLeaf]]=1,N(Tasks[[#This Row],[_Days]])=0),Tasks[[#This Row],[Planned Finish]]+Tasks[[#This Row],[_Row]]/100000,"")</f>
        <v/>
      </c>
      <c r="GL130" s="43" t="str">
        <f aca="false">IF(AND(Tasks[[#This Row],[_IsLeaf]]=1,Tasks[[#This Row],[_LeafProgress]]&lt;1,OR(N(Tasks[[#This Row],[Finish Var]])&gt;0,Tasks[[#This Row],[Status]]="Late Start")),MAX(0,Tasks[[#This Row],[Finish Var]])+1-Tasks[[#This Row],[_Row]]/1000000,"")</f>
        <v/>
      </c>
      <c r="GM130" s="43" t="str">
        <f aca="false">IF(AND(Tasks[[#This Row],[_IsLeaf]]=1,N(Tasks[[#This Row],[Actual Start]])=0,Tasks[[#This Row],[_ShownFcstStart]]&gt;=StatusDate,Tasks[[#This Row],[_ShownFcstStart]]&lt;=LookaheadEnd),Tasks[[#This Row],[_ShownFcstStart]]+Tasks[[#This Row],[_Row]]/100000,"")</f>
        <v/>
      </c>
      <c r="GN130" s="43" t="str">
        <f aca="false">IF(AND(Tasks[[#This Row],[_IsLeaf]]=1,Tasks[[#This Row],[_LeafProgress]]&lt;1,Tasks[[#This Row],[_ShownFcstFinish]]&gt;=StatusDate,Tasks[[#This Row],[_ShownFcstFinish]]&lt;=LookaheadEnd),Tasks[[#This Row],[_ShownFcstFinish]]+Tasks[[#This Row],[_Row]]/100000,"")</f>
        <v/>
      </c>
      <c r="GO130" s="43" t="str">
        <f aca="false">IF(Tasks[[#This Row],[_LeafCritical]],Tasks[[#This Row],[_ShownFcstStart]]+Tasks[[#This Row],[_Row]]/100000,"")</f>
        <v/>
      </c>
      <c r="GP130" s="43" t="n">
        <f aca="false">Tasks[[#This Row],[_LeafWork]]*Tasks[[#This Row],[_LeafProgress]]</f>
        <v>0</v>
      </c>
      <c r="GQ130" s="91" t="str">
        <f aca="false">IF(AND(Tasks[[#This Row],[_IsLeaf]]=1,Tasks[[#This Row],[_LeafProgress]]&gt;=1),IF(N(Tasks[[#This Row],[Actual Finish]])&gt;0,Tasks[[#This Row],[Actual Finish]],Tasks[[#This Row],[_ShownFcstFinish]]),"")</f>
        <v/>
      </c>
      <c r="GR130" s="43" t="n">
        <f aca="false">IF(Tasks[[#This Row],[_IsLeaf]]=1,N(Tasks[[#This Row],[Story Points]]),0)</f>
        <v>0</v>
      </c>
      <c r="GS130" s="43" t="str">
        <f aca="false">""</f>
        <v/>
      </c>
      <c r="GT130" s="90" t="b">
        <f aca="false">IF(Tasks[[#This Row],[Task Name]]="",FALSE(),AND(Tasks[[#This Row],[_IsLeaf]]=1,N(Tasks[[#This Row],[_Days]])=0))</f>
        <v>0</v>
      </c>
      <c r="GU130" s="91" t="n">
        <f aca="false">IF(Tasks[[#This Row],[Task Name]]="",0,IF(AND(Tasks[[#This Row],[_IsLeaf]]=1,NOT(Tasks[[#This Row],[_IsMilestone]]),N(Tasks[[#This Row],[Progress]])&gt;0),Tasks[[#This Row],[Start]],0))</f>
        <v>0</v>
      </c>
      <c r="GV130" s="91" t="n">
        <f aca="false">IF(Tasks[[#This Row],[_DoneFrom]]=0,0,IF(Tasks[[#This Row],[Progress]]&gt;=1,Tasks[[#This Row],[Finish]],MAX(Tasks[[#This Row],[_DoneFrom]],Tasks[[#This Row],[Start]]+ROUND((Tasks[[#This Row],[Finish]]-Tasks[[#This Row],[Start]]+1)*Tasks[[#This Row],[Progress]],0)-1)))</f>
        <v>0</v>
      </c>
      <c r="GW130" s="91" t="n">
        <f aca="false">IF(Tasks[[#This Row],[Task Name]]="",0,IF(OR(NOT(Tasks[[#This Row],[_IsLeaf]]=1),Tasks[[#This Row],[_IsMilestone]],N(Tasks[[#This Row],[Progress]])&gt;=1),0,IF(Tasks[[#This Row],[_DoneTo]]&gt;0,Tasks[[#This Row],[_DoneTo]]+1,Tasks[[#This Row],[Start]])))</f>
        <v>0</v>
      </c>
      <c r="GX130" s="91" t="n">
        <f aca="false">IF(Tasks[[#This Row],[_RemFrom]]=0,0,Tasks[[#This Row],[Finish]])</f>
        <v>0</v>
      </c>
      <c r="GY130" s="90" t="b">
        <f aca="false">IF(Tasks[[#This Row],[Task Name]]="",FALSE(),OR(NOT(BaselineSet),N(Tasks[[#This Row],[Baseline Start]])&gt;0))</f>
        <v>0</v>
      </c>
      <c r="GZ13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0" s="92" t="str">
        <f aca="false">IF(Tasks[[#This Row],[_IsLeaf]]=1,Tasks[[#This Row],[_Row]],"")</f>
        <v/>
      </c>
      <c r="HD130" s="92" t="str">
        <f aca="false">IFERROR(INDEX(Tasks[UID],SMALL(Tasks[_PickKey],Tasks[[#This Row],[_Row]]))&amp;" "&amp;INDEX(Tasks[Task Name],SMALL(Tasks[_PickKey],Tasks[[#This Row],[_Row]])),"")</f>
        <v/>
      </c>
      <c r="HE130" s="43" t="str">
        <f aca="false">IF(Tasks[[#This Row],[Task Name]]="","",IF(Tasks[[#This Row],[_IsSummary]],NETWORKDAYS.INTL(Tasks[[#This Row],[Start]],Tasks[[#This Row],[Finish]],WorkWeek,Holidays),N(Tasks[[#This Row],[_Days]])))</f>
        <v/>
      </c>
      <c r="HF130" s="43" t="n">
        <f aca="false">IF(Tasks[[#This Row],[Expected]]="",0,((Tasks[[#This Row],[Pessimistic]]-Tasks[[#This Row],[Optimistic]])/6)^2)</f>
        <v>0</v>
      </c>
      <c r="HG130" s="43" t="n">
        <f aca="false">IF(Tasks[[#This Row],[Expected]]="",0,Tasks[[#This Row],[Expected]]-N(Tasks[[#This Row],[_Days]]))</f>
        <v>0</v>
      </c>
    </row>
    <row r="131" customFormat="false" ht="15" hidden="false" customHeight="false" outlineLevel="0" collapsed="false">
      <c r="A131" s="21" t="str">
        <f aca="false">IF(Tasks[[#This Row],[Task Name]]="","",COUNTA(Tasks[[#Headers],[Task Name]]:Tasks[[#This Row],[Task Name]])-1)</f>
        <v/>
      </c>
      <c r="B131" s="22" t="n">
        <v>139</v>
      </c>
      <c r="C131" s="22"/>
      <c r="D131" s="23"/>
      <c r="E131" s="22"/>
      <c r="F131" s="23"/>
      <c r="G131" s="22"/>
      <c r="H131" s="22"/>
      <c r="I131" s="23"/>
      <c r="J131" s="22"/>
      <c r="K131" s="22"/>
      <c r="L131" s="23"/>
      <c r="M131" s="22"/>
      <c r="N131" s="22"/>
      <c r="O131" s="23"/>
      <c r="P131" s="22"/>
      <c r="Q131" s="22"/>
      <c r="R131" s="23"/>
      <c r="S131" s="23"/>
      <c r="T131" s="84"/>
      <c r="U131" s="23"/>
      <c r="V131" s="84"/>
      <c r="W131" s="23"/>
      <c r="X131" s="84"/>
      <c r="Y131" s="23"/>
      <c r="Z131" s="84"/>
      <c r="AA131" s="23"/>
      <c r="AB131" s="23"/>
      <c r="AC131" s="7"/>
      <c r="AD131" s="7"/>
      <c r="AE131" s="63" t="str">
        <f aca="false">IF(Tasks[[#This Row],[Task Name]]="","",IF(Tasks[[#This Row],[_IsSummary]],MIN(INDEX(Tasks[_ShownFcstStart],Tasks[[#This Row],[_Row]]+1):INDEX(Tasks[_ShownFcstStart],Tasks[[#This Row],[_Row]]+Tasks[[#This Row],[_Descendants]])),Tasks[[#This Row],[_ShownFcstStart]]))</f>
        <v/>
      </c>
      <c r="AF131" s="63" t="str">
        <f aca="false">IF(Tasks[[#This Row],[Task Name]]="","",IF(Tasks[[#This Row],[_IsSummary]],MAX(INDEX(Tasks[_ShownFcstFinish],Tasks[[#This Row],[_Row]]+1):INDEX(Tasks[_ShownFcstFinish],Tasks[[#This Row],[_Row]]+Tasks[[#This Row],[_Descendants]])),Tasks[[#This Row],[_ShownFcstFinish]]))</f>
        <v/>
      </c>
      <c r="AG131" s="21" t="str">
        <f aca="false">""</f>
        <v/>
      </c>
      <c r="AH131" s="23"/>
      <c r="AI1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1" s="7"/>
      <c r="AK131" s="22"/>
      <c r="AL131" s="23"/>
      <c r="AM131" s="7"/>
      <c r="AN131" s="47" t="str">
        <f aca="false">IF(Tasks[[#This Row],[Task Name]]="","",IF(Tasks[[#This Row],[Finish]]&gt;=Tasks[[#This Row],[Planned Finish]],NETWORKDAYS.INTL(Tasks[[#This Row],[Planned Finish]],Tasks[[#This Row],[Finish]],WorkWeek,Holidays)-1,1-NETWORKDAYS.INTL(Tasks[[#This Row],[Finish]],Tasks[[#This Row],[Planned Finish]],WorkWeek,Holidays)))</f>
        <v/>
      </c>
      <c r="AO131" s="21" t="str">
        <f aca="false">IF(Tasks[[#This Row],[Task Name]]="","",IF(Tasks[[#This Row],[Progress]]&gt;=1,"Complete",IF(OR(N(Tasks[[#This Row],[Actual Start]])&gt;0,Tasks[[#This Row],[Progress]]&gt;0),IF(Tasks[[#This Row],[Finish Var]]&gt;0,"Behind","In Progress"),IF(Tasks[[#This Row],[Planned Start]]&lt;StatusDate,"Late Start","Not Started"))))</f>
        <v/>
      </c>
      <c r="AP131" s="21" t="str">
        <f aca="false">IF(Tasks[[#This Row],[Task Name]]="","",IF(IF(Tasks[[#This Row],[_IsSummary]],COUNTIF(INDEX(Tasks[_LeafCritical],Tasks[[#This Row],[_Row]]+1):INDEX(Tasks[_LeafCritical],Tasks[[#This Row],[_Row]]+Tasks[[#This Row],[_Descendants]]),TRUE())&gt;0,Tasks[[#This Row],[_LeafCritical]]),"Yes",""))</f>
        <v/>
      </c>
      <c r="AQ131" s="63" t="str">
        <f aca="false">IF(Tasks[[#This Row],[Task Name]]="","",IF(N(Tasks[[#This Row],[Baseline Start]])&gt;0,Tasks[[#This Row],[Baseline Start]],Tasks[[#This Row],[_CalcStart]]))</f>
        <v/>
      </c>
      <c r="AR131" s="63" t="str">
        <f aca="false">IF(Tasks[[#This Row],[Task Name]]="","",IF(N(Tasks[[#This Row],[Baseline Finish]])&gt;0,Tasks[[#This Row],[Baseline Finish]],Tasks[[#This Row],[_CalcFinish]]))</f>
        <v/>
      </c>
      <c r="AS131" s="47" t="str">
        <f aca="false">IF(Tasks[[#This Row],[Task Name]]="","",IF(Tasks[[#This Row],[Start]]&gt;=Tasks[[#This Row],[Planned Start]],NETWORKDAYS.INTL(Tasks[[#This Row],[Planned Start]],Tasks[[#This Row],[Start]],WorkWeek,Holidays)-1,1-NETWORKDAYS.INTL(Tasks[[#This Row],[Start]],Tasks[[#This Row],[Planned Start]],WorkWeek,Holidays)))</f>
        <v/>
      </c>
      <c r="AT131" s="63" t="str">
        <f aca="false">IF(Tasks[[#This Row],[Task Name]]="","",IF(Tasks[[#This Row],[_IsSummary]],MIN(INDEX(Tasks[_LeafLateStart],Tasks[[#This Row],[_Row]]+1):INDEX(Tasks[_LeafLateStart],Tasks[[#This Row],[_Row]]+Tasks[[#This Row],[_Descendants]])),Tasks[[#This Row],[_LeafLateStart]]))</f>
        <v/>
      </c>
      <c r="AU131" s="63" t="str">
        <f aca="false">IF(Tasks[[#This Row],[Task Name]]="","",IF(Tasks[[#This Row],[_IsSummary]],MAX(INDEX(Tasks[_LeafLateFinish],Tasks[[#This Row],[_Row]]+1):INDEX(Tasks[_LeafLateFinish],Tasks[[#This Row],[_Row]]+Tasks[[#This Row],[_Descendants]])),Tasks[[#This Row],[_LeafLateFinish]]))</f>
        <v/>
      </c>
      <c r="AV131" s="47" t="str">
        <f aca="false">IF(Tasks[[#This Row],[Task Name]]="","",IF(Tasks[[#This Row],[_IsSummary]],MIN(INDEX(Tasks[_LeafTotalSlack],Tasks[[#This Row],[_Row]]+1):INDEX(Tasks[_LeafTotalSlack],Tasks[[#This Row],[_Row]]+Tasks[[#This Row],[_Descendants]])),Tasks[[#This Row],[_LeafTotalSlack]]))</f>
        <v/>
      </c>
      <c r="AW1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5"/>
      <c r="BA13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1" t="str">
        <f aca="false">IF(Tasks[[#This Row],[Task Name]]="","",IF(Tasks[[#This Row],[_Level]]&lt;=OutlineShowLevel,"Yes","No"))</f>
        <v/>
      </c>
      <c r="BE131" s="86" t="str">
        <f aca="false">IF(Tasks[[#This Row],[Task Name]]="","",IF(Tasks[[#This Row],[_IsSummary]],SUM(INDEX(Tasks[_LeafTotalWork],Tasks[[#This Row],[_Row]]+1):INDEX(Tasks[_LeafTotalWork],Tasks[[#This Row],[_Row]]+Tasks[[#This Row],[_Descendants]])),Tasks[[#This Row],[_LeafTotalWork]]))</f>
        <v/>
      </c>
      <c r="BF131" s="23"/>
      <c r="BG1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1" s="21" t="str">
        <f aca="false">""</f>
        <v/>
      </c>
      <c r="BI131" s="87"/>
      <c r="BJ131" s="22"/>
      <c r="BK131" s="47" t="str">
        <f aca="false">IF(OR(Tasks[[#This Row],[Task Name]]="",Tasks[[#This Row],[Baseline Duration]]=""),"",Tasks[[#This Row],[_SpanDays]]-N(Tasks[[#This Row],[Baseline Duration]]))</f>
        <v/>
      </c>
      <c r="BL131" s="86" t="str">
        <f aca="false">IF(OR(Tasks[[#This Row],[Task Name]]="",Tasks[[#This Row],[Baseline Work]]=""),"",Tasks[[#This Row],[Work]]-N(Tasks[[#This Row],[Baseline Work]]))</f>
        <v/>
      </c>
      <c r="BM131" s="63" t="str">
        <f aca="false">IF(Tasks[[#This Row],[Task Name]]="","",IF(OR(TakeBaseline="Yes",N(Tasks[[#This Row],[Baseline Start]])=0),Tasks[[#This Row],[Start]],Tasks[[#This Row],[Baseline Start]]))</f>
        <v/>
      </c>
      <c r="BN131" s="63" t="str">
        <f aca="false">IF(Tasks[[#This Row],[Task Name]]="","",IF(OR(TakeBaseline="Yes",N(Tasks[[#This Row],[Baseline Finish]])=0),Tasks[[#This Row],[Finish]],Tasks[[#This Row],[Baseline Finish]]))</f>
        <v/>
      </c>
      <c r="BO131" s="21" t="str">
        <f aca="false">IF(Tasks[[#This Row],[Task Name]]="","",IF(OR(TakeBaseline="Yes",N(Tasks[[#This Row],[Baseline Duration]])=0),Tasks[[#This Row],[_SpanDays]],Tasks[[#This Row],[Baseline Duration]]))</f>
        <v/>
      </c>
      <c r="BP131" s="86" t="str">
        <f aca="false">IF(Tasks[[#This Row],[Task Name]]="","",IF(OR(TakeBaseline="Yes",N(Tasks[[#This Row],[Baseline Work]])=0),Tasks[[#This Row],[Work]],Tasks[[#This Row],[Baseline Work]]))</f>
        <v/>
      </c>
      <c r="BQ131" s="7"/>
      <c r="BR131" s="7"/>
      <c r="BS131" s="22"/>
      <c r="BT131" s="88"/>
      <c r="BU131" s="23"/>
      <c r="BV131" s="23"/>
      <c r="BW131" s="23"/>
      <c r="BX131" s="89" t="str">
        <f aca="false">IF(AND(Tasks[[#This Row],[_IsLeaf]]=1,ISNUMBER(Tasks[[#This Row],[Optimistic]]),ISNUMBER(Tasks[[#This Row],[Pessimistic]])),ROUND((Tasks[[#This Row],[Optimistic]]+4*N(Tasks[[#This Row],[_Days]])+Tasks[[#This Row],[Pessimistic]])/6,1),"")</f>
        <v/>
      </c>
      <c r="BY131" s="87"/>
      <c r="BZ131" s="87"/>
      <c r="CA131" s="22"/>
      <c r="CB131" s="43" t="str">
        <f aca="false">IF(Tasks[[#This Row],[Task Name]]="","",MAX(1,N(Tasks[[#This Row],[Level]])))</f>
        <v/>
      </c>
      <c r="CC131" s="43" t="n">
        <f aca="false">ROW()-ROW(Tasks[[#Headers],[ID]])</f>
        <v>126</v>
      </c>
      <c r="CD131" s="43" t="n">
        <f aca="false">IF(OR(Tasks[[#This Row],[Task Name]]="",Tasks[[#This Row],[_Level]]&lt;=1),0,IFERROR(LOOKUP(2,1/(Tasks[[#Headers],[_Level]]:Tasks[[#This Row],[_Level]]=Tasks[[#This Row],[_Level]]-1),ROW(Tasks[[#Headers],[_Level]]:Tasks[[#This Row],[_Level]])),0))</f>
        <v>0</v>
      </c>
      <c r="CE131" s="43" t="n">
        <f aca="false">IFERROR(N(INDEX(Tasks[_Level],Tasks[[#This Row],[_Row]]+1)),0)</f>
        <v>0</v>
      </c>
      <c r="CF131" s="90" t="b">
        <f aca="false">AND(Tasks[[#This Row],[Task Name]]&lt;&gt;"",Tasks[[#This Row],[_NextLevel]]&gt;Tasks[[#This Row],[_Level]])</f>
        <v>0</v>
      </c>
      <c r="CG131" s="43" t="n">
        <f aca="false">IF(Tasks[[#This Row],[_IsSummary]],COUNTIF(Tasks[WBS],Tasks[[#This Row],[WBS]]&amp;".*"),0)</f>
        <v>0</v>
      </c>
      <c r="CH131" s="43" t="n">
        <f aca="false">IF(AND(Tasks[[#This Row],[Task Name]]&lt;&gt;"",NOT(Tasks[[#This Row],[_IsSummary]])),1,0)</f>
        <v>0</v>
      </c>
      <c r="CI131" s="43" t="n">
        <f aca="false">IF(N(Tasks[[#This Row],[_Pred1UID]])=0,0,IFERROR(MATCH(Tasks[[#This Row],[_Pred1UID]],Tasks[UID],0),-1))</f>
        <v>0</v>
      </c>
      <c r="CJ131" s="43" t="n">
        <f aca="false">IF(N(Tasks[[#This Row],[_Pred2UID]])=0,0,IFERROR(MATCH(Tasks[[#This Row],[_Pred2UID]],Tasks[UID],0),-1))</f>
        <v>0</v>
      </c>
      <c r="CK131" s="43" t="n">
        <f aca="false">IF(N(Tasks[[#This Row],[_Pred3UID]])=0,0,IFERROR(MATCH(Tasks[[#This Row],[_Pred3UID]],Tasks[UID],0),-1))</f>
        <v>0</v>
      </c>
      <c r="CL131" s="43" t="n">
        <f aca="false">IF(N(Tasks[[#This Row],[_Pred4UID]])=0,0,IFERROR(MATCH(Tasks[[#This Row],[_Pred4UID]],Tasks[UID],0),-1))</f>
        <v>0</v>
      </c>
      <c r="CM13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1" s="91" t="n">
        <f aca="false">IF(OR(Tasks[[#This Row],[_ConstraintCode]]=2,Tasks[[#This Row],[_ConstraintCode]]=3,Tasks[[#This Row],[_ConstraintCode]]=4,Tasks[[#This Row],[_ConstraintCode]]=6),Tasks[[#This Row],[_ConstraintStart]],0)</f>
        <v>0</v>
      </c>
      <c r="CP131" s="91" t="n">
        <f aca="false">IF(OR(Tasks[[#This Row],[_ConstraintCode]]=2,Tasks[[#This Row],[_ConstraintCode]]=3,Tasks[[#This Row],[_ConstraintCode]]=5,Tasks[[#This Row],[_ConstraintCode]]=7),Tasks[[#This Row],[_ConstraintStart]],2958465)</f>
        <v>2958465</v>
      </c>
      <c r="CQ13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1" s="91" t="str">
        <f aca="false">IF(NOT(Tasks[[#This Row],[_IsLeaf]]=1),"",IF(N(Tasks[[#This Row],[_Days]])&lt;=0,Tasks[[#This Row],[_LeafCalcStart]],WORKDAY.INTL(Tasks[[#This Row],[_LeafCalcStart]],Tasks[[#This Row],[_Days]]-1,WorkWeek,Holidays)))</f>
        <v/>
      </c>
      <c r="CS13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1" s="43" t="str">
        <f aca="false">IF(Tasks[[#This Row],[_Predecessors]]="","",TRIM(MID(SUBSTITUTE(SUBSTITUTE(SUBSTITUTE(UPPER(Tasks[[#This Row],[_Predecessors]]),";",",")," ",""),",",REPT(" ",99)),1,99)))</f>
        <v/>
      </c>
      <c r="CV131" s="43" t="str">
        <f aca="false">IF(Tasks[[#This Row],[_Pred1Text]]="","",IFERROR(VALUE(LEFT(Tasks[[#This Row],[_Pred1Text]],MIN(FIND("F",Tasks[[#This Row],[_Pred1Text]]&amp;"F"),FIND("S",Tasks[[#This Row],[_Pred1Text]]&amp;"S"),FIND("+",Tasks[[#This Row],[_Pred1Text]]&amp;"+"),FIND("-",Tasks[[#This Row],[_Pred1Text]]&amp;"-"))-1)),""))</f>
        <v/>
      </c>
      <c r="CW13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1" s="43" t="str">
        <f aca="false">IF(Tasks[[#This Row],[_Pred1Text]]="","",TRIM(MID(SUBSTITUTE(SUBSTITUTE(SUBSTITUTE(UPPER(Tasks[[#This Row],[_Predecessors]]),";",",")," ",""),",",REPT(" ",99)),100,99)))</f>
        <v/>
      </c>
      <c r="CZ131" s="43" t="str">
        <f aca="false">IF(Tasks[[#This Row],[_Pred2Text]]="","",IFERROR(VALUE(LEFT(Tasks[[#This Row],[_Pred2Text]],MIN(FIND("F",Tasks[[#This Row],[_Pred2Text]]&amp;"F"),FIND("S",Tasks[[#This Row],[_Pred2Text]]&amp;"S"),FIND("+",Tasks[[#This Row],[_Pred2Text]]&amp;"+"),FIND("-",Tasks[[#This Row],[_Pred2Text]]&amp;"-"))-1)),""))</f>
        <v/>
      </c>
      <c r="DA13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1" s="43" t="str">
        <f aca="false">IF(Tasks[[#This Row],[_Pred2Text]]="","",TRIM(MID(SUBSTITUTE(SUBSTITUTE(SUBSTITUTE(UPPER(Tasks[[#This Row],[_Predecessors]]),";",",")," ",""),",",REPT(" ",99)),199,99)))</f>
        <v/>
      </c>
      <c r="DD131" s="43" t="str">
        <f aca="false">IF(Tasks[[#This Row],[_Pred3Text]]="","",IFERROR(VALUE(LEFT(Tasks[[#This Row],[_Pred3Text]],MIN(FIND("F",Tasks[[#This Row],[_Pred3Text]]&amp;"F"),FIND("S",Tasks[[#This Row],[_Pred3Text]]&amp;"S"),FIND("+",Tasks[[#This Row],[_Pred3Text]]&amp;"+"),FIND("-",Tasks[[#This Row],[_Pred3Text]]&amp;"-"))-1)),""))</f>
        <v/>
      </c>
      <c r="DE13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1" s="43" t="str">
        <f aca="false">IF(Tasks[[#This Row],[_Pred3Text]]="","",TRIM(MID(SUBSTITUTE(SUBSTITUTE(SUBSTITUTE(UPPER(Tasks[[#This Row],[_Predecessors]]),";",",")," ",""),",",REPT(" ",99)),298,99)))</f>
        <v/>
      </c>
      <c r="DH131" s="43" t="str">
        <f aca="false">IF(Tasks[[#This Row],[_Pred4Text]]="","",IFERROR(VALUE(LEFT(Tasks[[#This Row],[_Pred4Text]],MIN(FIND("F",Tasks[[#This Row],[_Pred4Text]]&amp;"F"),FIND("S",Tasks[[#This Row],[_Pred4Text]]&amp;"S"),FIND("+",Tasks[[#This Row],[_Pred4Text]]&amp;"+"),FIND("-",Tasks[[#This Row],[_Pred4Text]]&amp;"-"))-1)),""))</f>
        <v/>
      </c>
      <c r="DI13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1" s="43" t="str">
        <f aca="false">IF(OR(Tasks[[#This Row],[Task Name]]="",Tasks[[#This Row],[_Resources]]=""),"",TRIM(MID(SUBSTITUTE(Tasks[[#This Row],[_Resources]],",",REPT(" ",99)),1,99)))</f>
        <v/>
      </c>
      <c r="DL131" s="43" t="str">
        <f aca="false">IF(Tasks[[#This Row],[_Res1Text]]="","",TRIM(MID(SUBSTITUTE(Tasks[[#This Row],[_Resources]],",",REPT(" ",99)),100,99)))</f>
        <v/>
      </c>
      <c r="DM131" s="43" t="str">
        <f aca="false">IF(Tasks[[#This Row],[_Res2Text]]="","",TRIM(MID(SUBSTITUTE(Tasks[[#This Row],[_Resources]],",",REPT(" ",99)),199,99)))</f>
        <v/>
      </c>
      <c r="DN131" s="43" t="str">
        <f aca="false">IF(Tasks[[#This Row],[_Res3Text]]="","",TRIM(MID(SUBSTITUTE(Tasks[[#This Row],[_Resources]],",",REPT(" ",99)),298,99)))</f>
        <v/>
      </c>
      <c r="DO131" s="43" t="n">
        <f aca="false">IF(Tasks[[#This Row],[_Res1Text]]="",0,IFERROR(MATCH(TRIM(LEFT(Tasks[[#This Row],[_Res1Text]],FIND("[",Tasks[[#This Row],[_Res1Text]]&amp;"[")-1)),res_Name,0),IFERROR(MATCH(TRIM(LEFT(Tasks[[#This Row],[_Res1Text]],FIND("[",Tasks[[#This Row],[_Res1Text]]&amp;"[")-1)),res_Initials,0),0)))</f>
        <v>0</v>
      </c>
      <c r="DP131" s="43" t="n">
        <f aca="false">IF(Tasks[[#This Row],[_Res2Text]]="",0,IFERROR(MATCH(TRIM(LEFT(Tasks[[#This Row],[_Res2Text]],FIND("[",Tasks[[#This Row],[_Res2Text]]&amp;"[")-1)),res_Name,0),IFERROR(MATCH(TRIM(LEFT(Tasks[[#This Row],[_Res2Text]],FIND("[",Tasks[[#This Row],[_Res2Text]]&amp;"[")-1)),res_Initials,0),0)))</f>
        <v>0</v>
      </c>
      <c r="DQ131" s="43" t="n">
        <f aca="false">IF(Tasks[[#This Row],[_Res3Text]]="",0,IFERROR(MATCH(TRIM(LEFT(Tasks[[#This Row],[_Res3Text]],FIND("[",Tasks[[#This Row],[_Res3Text]]&amp;"[")-1)),res_Name,0),IFERROR(MATCH(TRIM(LEFT(Tasks[[#This Row],[_Res3Text]],FIND("[",Tasks[[#This Row],[_Res3Text]]&amp;"[")-1)),res_Initials,0),0)))</f>
        <v>0</v>
      </c>
      <c r="DR131" s="43" t="n">
        <f aca="false">IF(Tasks[[#This Row],[_Res4Text]]="",0,IFERROR(MATCH(TRIM(LEFT(Tasks[[#This Row],[_Res4Text]],FIND("[",Tasks[[#This Row],[_Res4Text]]&amp;"[")-1)),res_Name,0),IFERROR(MATCH(TRIM(LEFT(Tasks[[#This Row],[_Res4Text]],FIND("[",Tasks[[#This Row],[_Res4Text]]&amp;"[")-1)),res_Initials,0),0)))</f>
        <v>0</v>
      </c>
      <c r="DS131" s="43" t="str">
        <f aca="false">IF(Tasks[[#This Row],[_Res1Text]]="","",IF(Tasks[[#This Row],[_Res1Row]]&gt;0,INDEX(res_Name,Tasks[[#This Row],[_Res1Row]]),TRIM(LEFT(Tasks[[#This Row],[_Res1Text]],FIND("[",Tasks[[#This Row],[_Res1Text]]&amp;"[")-1))))</f>
        <v/>
      </c>
      <c r="DT13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1" s="43" t="n">
        <f aca="false">IF(NOT(Tasks[[#This Row],[_IsLeaf]]=1),0,(Tasks[[#This Row],[_Resource1]]&lt;&gt;"")+(Tasks[[#This Row],[_Res2]]&lt;&gt;"")+(Tasks[[#This Row],[_Res3]]&lt;&gt;"")+(Tasks[[#This Row],[_Res4]]&lt;&gt;""))</f>
        <v>0</v>
      </c>
      <c r="DV131" s="43" t="str">
        <f aca="false">IF(Tasks[[#This Row],[_Res2Text]]="","",IF(Tasks[[#This Row],[_Res2Row]]&gt;0,INDEX(res_Name,Tasks[[#This Row],[_Res2Row]]),TRIM(LEFT(Tasks[[#This Row],[_Res2Text]],FIND("[",Tasks[[#This Row],[_Res2Text]]&amp;"[")-1))))</f>
        <v/>
      </c>
      <c r="DW13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1" s="43" t="n">
        <f aca="false">IF(OR(NOT(Tasks[[#This Row],[_IsLeaf]]=1),Tasks[[#This Row],[_Res2Row]]=0),0,N(Tasks[[#This Row],[_Days]])*HoursPerDay*IF(Tasks[[#This Row],[_Res2Units]]="",DefaultUnits,Tasks[[#This Row],[_Res2Units]]))</f>
        <v>0</v>
      </c>
      <c r="DY131" s="43" t="n">
        <f aca="false">IF(AND(AND(Tasks[[#This Row],[_IsLeaf]]=1,Tasks[[#This Row],[_LeafTotalWork]]&gt;0),Tasks[[#This Row],[_Res2Work]]&gt;0),Tasks[[#This Row],[_Res2Work]]/(Tasks[[#This Row],[_FinishWorkday]]-Tasks[[#This Row],[_StartWorkday]]+1),0)</f>
        <v>0</v>
      </c>
      <c r="DZ131" s="43" t="n">
        <f aca="false">Tasks[[#This Row],[_Res2WorkPerWD]]*MAX(0,Tasks[[#This Row],[_StartWorkday]]-1)</f>
        <v>0</v>
      </c>
      <c r="EA131" s="43" t="n">
        <f aca="false">Tasks[[#This Row],[_Res2Work]]*Tasks[[#This Row],[_LeafProgress]]</f>
        <v>0</v>
      </c>
      <c r="EB131" s="43" t="str">
        <f aca="false">IF(Tasks[[#This Row],[_Res3Text]]="","",IF(Tasks[[#This Row],[_Res3Row]]&gt;0,INDEX(res_Name,Tasks[[#This Row],[_Res3Row]]),TRIM(LEFT(Tasks[[#This Row],[_Res3Text]],FIND("[",Tasks[[#This Row],[_Res3Text]]&amp;"[")-1))))</f>
        <v/>
      </c>
      <c r="EC13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1" s="43" t="n">
        <f aca="false">IF(OR(NOT(Tasks[[#This Row],[_IsLeaf]]=1),Tasks[[#This Row],[_Res3Row]]=0),0,N(Tasks[[#This Row],[_Days]])*HoursPerDay*IF(Tasks[[#This Row],[_Res3Units]]="",DefaultUnits,Tasks[[#This Row],[_Res3Units]]))</f>
        <v>0</v>
      </c>
      <c r="EE131" s="43" t="n">
        <f aca="false">IF(AND(AND(Tasks[[#This Row],[_IsLeaf]]=1,Tasks[[#This Row],[_LeafTotalWork]]&gt;0),Tasks[[#This Row],[_Res3Work]]&gt;0),Tasks[[#This Row],[_Res3Work]]/(Tasks[[#This Row],[_FinishWorkday]]-Tasks[[#This Row],[_StartWorkday]]+1),0)</f>
        <v>0</v>
      </c>
      <c r="EF131" s="43" t="n">
        <f aca="false">Tasks[[#This Row],[_Res3WorkPerWD]]*MAX(0,Tasks[[#This Row],[_StartWorkday]]-1)</f>
        <v>0</v>
      </c>
      <c r="EG131" s="43" t="n">
        <f aca="false">Tasks[[#This Row],[_Res3Work]]*Tasks[[#This Row],[_LeafProgress]]</f>
        <v>0</v>
      </c>
      <c r="EH131" s="43" t="str">
        <f aca="false">IF(Tasks[[#This Row],[_Res4Text]]="","",IF(Tasks[[#This Row],[_Res4Row]]&gt;0,INDEX(res_Name,Tasks[[#This Row],[_Res4Row]]),TRIM(LEFT(Tasks[[#This Row],[_Res4Text]],FIND("[",Tasks[[#This Row],[_Res4Text]]&amp;"[")-1))))</f>
        <v/>
      </c>
      <c r="EI13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1" s="43" t="n">
        <f aca="false">IF(OR(NOT(Tasks[[#This Row],[_IsLeaf]]=1),Tasks[[#This Row],[_Res4Row]]=0),0,N(Tasks[[#This Row],[_Days]])*HoursPerDay*IF(Tasks[[#This Row],[_Res4Units]]="",DefaultUnits,Tasks[[#This Row],[_Res4Units]]))</f>
        <v>0</v>
      </c>
      <c r="EK131" s="43" t="n">
        <f aca="false">IF(AND(AND(Tasks[[#This Row],[_IsLeaf]]=1,Tasks[[#This Row],[_LeafTotalWork]]&gt;0),Tasks[[#This Row],[_Res4Work]]&gt;0),Tasks[[#This Row],[_Res4Work]]/(Tasks[[#This Row],[_FinishWorkday]]-Tasks[[#This Row],[_StartWorkday]]+1),0)</f>
        <v>0</v>
      </c>
      <c r="EL131" s="43" t="n">
        <f aca="false">Tasks[[#This Row],[_Res4WorkPerWD]]*MAX(0,Tasks[[#This Row],[_StartWorkday]]-1)</f>
        <v>0</v>
      </c>
      <c r="EM131" s="43" t="n">
        <f aca="false">Tasks[[#This Row],[_Res4Work]]*Tasks[[#This Row],[_LeafProgress]]</f>
        <v>0</v>
      </c>
      <c r="EN131" s="43" t="n">
        <f aca="false">IF(ISNUMBER(Tasks[[#This Row],[% Complete]]),Tasks[[#This Row],[% Complete]],IF(Tasks[[#This Row],[Stage]]="",0,IFERROR(INDEX(stg_Pct,MATCH(Tasks[[#This Row],[Stage]],stg_Name,0)),0)))</f>
        <v>0</v>
      </c>
      <c r="EO131" s="43" t="n">
        <f aca="false">IF(NOT(Tasks[[#This Row],[_IsLeaf]]=1),0,IF(N(Tasks[[#This Row],[Actual Finish]])&gt;0,1,MIN(1,Tasks[[#This Row],[_Pct]])))</f>
        <v>0</v>
      </c>
      <c r="EP131" s="43" t="n">
        <f aca="false">IF(OR(NOT(Tasks[[#This Row],[_IsLeaf]]=1),Tasks[[#This Row],[_Res1Row]]=0),0,N(Tasks[[#This Row],[_Days]])*HoursPerDay*IF(Tasks[[#This Row],[_Units1]]="",DefaultUnits,Tasks[[#This Row],[_Units1]]))</f>
        <v>0</v>
      </c>
      <c r="EQ131" s="43" t="n">
        <f aca="false">Tasks[[#This Row],[_LeafWork]]+Tasks[[#This Row],[_Res2Work]]+Tasks[[#This Row],[_Res3Work]]+Tasks[[#This Row],[_Res4Work]]</f>
        <v>0</v>
      </c>
      <c r="ER13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1" s="43" t="n">
        <f aca="false">IF(NOT(Tasks[[#This Row],[_IsLeaf]]=1),0,MAX(_xlfn.MAXIFS(Tasks[_Row],Tasks[_Pred1UID],Tasks[[#This Row],[UID]]),_xlfn.MAXIFS(Tasks[_Row],Tasks[_Pred2UID],Tasks[[#This Row],[UID]]),_xlfn.MAXIFS(Tasks[_Row],Tasks[_Pred3UID],Tasks[[#This Row],[UID]]),_xlfn.MAXIFS(Tasks[_Row],Tasks[_Pred4UID],Tasks[[#This Row],[UID]])))</f>
        <v>0</v>
      </c>
      <c r="FA13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1" s="91" t="str">
        <f aca="false">IF(NOT(Tasks[[#This Row],[_IsLeaf]]=1),"",IF(N(Tasks[[#This Row],[_Days]])&lt;=0,Tasks[[#This Row],[_LeafLateFinish]],WORKDAY.INTL(Tasks[[#This Row],[_LeafLateFinish]],-(Tasks[[#This Row],[_Days]]-1),WorkWeek,Holidays)))</f>
        <v/>
      </c>
      <c r="FD13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1" s="90" t="b">
        <f aca="false">AND(Tasks[[#This Row],[_IsLeaf]]=1,Tasks[[#This Row],[_LeafProgress]]&lt;1,N(Tasks[[#This Row],[_LeafTotalSlack]])&lt;=CriticalSlackDays)</f>
        <v>0</v>
      </c>
      <c r="FF131" s="43" t="n">
        <f aca="false">IF(AND(Tasks[[#This Row],[_IsLeaf]]=1,Tasks[[#This Row],[_ConstraintCode]]=1,Tasks[[#This Row],[Mode]]&lt;&gt;"Manual",N(Tasks[[#This Row],[Actual Start]])=0),MAX(0,N(Tasks[[#This Row],[Free Slack]])),0)</f>
        <v>0</v>
      </c>
      <c r="FG131" s="91" t="str">
        <f aca="false">IF(NOT(Tasks[[#This Row],[_IsLeaf]]=1),"",IF(Tasks[[#This Row],[_AlapShift]]=0,Tasks[[#This Row],[_LeafCalcStart]],WORKDAY.INTL(Tasks[[#This Row],[_LeafCalcStart]],Tasks[[#This Row],[_AlapShift]],WorkWeek,Holidays)))</f>
        <v/>
      </c>
      <c r="FH131" s="91" t="str">
        <f aca="false">IF(NOT(Tasks[[#This Row],[_IsLeaf]]=1),"",IF(Tasks[[#This Row],[_AlapShift]]=0,Tasks[[#This Row],[_LeafCalcFinish]],WORKDAY.INTL(Tasks[[#This Row],[_LeafCalcFinish]],Tasks[[#This Row],[_AlapShift]],WorkWeek,Holidays)))</f>
        <v/>
      </c>
      <c r="FI131" s="91" t="str">
        <f aca="false">IF(NOT(Tasks[[#This Row],[_IsLeaf]]=1),"",IF(Tasks[[#This Row],[_AlapShift]]=0,Tasks[[#This Row],[_LeafFcstStart]],WORKDAY.INTL(Tasks[[#This Row],[_LeafFcstStart]],Tasks[[#This Row],[_AlapShift]],WorkWeek,Holidays)))</f>
        <v/>
      </c>
      <c r="FJ131" s="91" t="str">
        <f aca="false">IF(NOT(Tasks[[#This Row],[_IsLeaf]]=1),"",IF(Tasks[[#This Row],[_AlapShift]]=0,Tasks[[#This Row],[_LeafFcstFinish]],WORKDAY.INTL(Tasks[[#This Row],[_LeafFcstFinish]],Tasks[[#This Row],[_AlapShift]],WorkWeek,Holidays)))</f>
        <v/>
      </c>
      <c r="FK131" s="91" t="str">
        <f aca="false">IF(Tasks[[#This Row],[Task Name]]="","",IF(Tasks[[#This Row],[_IsSummary]],MIN(INDEX(Tasks[_ShownCalcStart],Tasks[[#This Row],[_Row]]+1):INDEX(Tasks[_ShownCalcStart],Tasks[[#This Row],[_Row]]+Tasks[[#This Row],[_Descendants]])),Tasks[[#This Row],[_ShownCalcStart]]))</f>
        <v/>
      </c>
      <c r="FL131" s="91" t="str">
        <f aca="false">IF(Tasks[[#This Row],[Task Name]]="","",IF(Tasks[[#This Row],[_IsSummary]],MAX(INDEX(Tasks[_ShownCalcFinish],Tasks[[#This Row],[_Row]]+1):INDEX(Tasks[_ShownCalcFinish],Tasks[[#This Row],[_Row]]+Tasks[[#This Row],[_Descendants]])),Tasks[[#This Row],[_ShownCalcFinish]]))</f>
        <v/>
      </c>
      <c r="FM13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1" s="43" t="n">
        <f aca="false">IF(AND(Tasks[[#This Row],[_IsLeaf]]=1,Tasks[[#This Row],[_LeafTotalWork]]&gt;0),NETWORKDAYS.INTL(ProjectStart,Tasks[[#This Row],[_ShownFcstStart]],WorkWeek,Holidays),0)</f>
        <v>0</v>
      </c>
      <c r="FZ131" s="43" t="n">
        <f aca="false">IF(AND(Tasks[[#This Row],[_IsLeaf]]=1,Tasks[[#This Row],[_LeafTotalWork]]&gt;0),MAX(Tasks[[#This Row],[_StartWorkday]],NETWORKDAYS.INTL(ProjectStart,Tasks[[#This Row],[_ShownFcstFinish]],WorkWeek,Holidays)),0)</f>
        <v>0</v>
      </c>
      <c r="GA131" s="43" t="n">
        <f aca="false">IF(AND(Tasks[[#This Row],[_IsLeaf]]=1,Tasks[[#This Row],[_LeafTotalWork]]&gt;0),Tasks[[#This Row],[_LeafWork]]/(Tasks[[#This Row],[_FinishWorkday]]-Tasks[[#This Row],[_StartWorkday]]+1),0)</f>
        <v>0</v>
      </c>
      <c r="GB131" s="43" t="n">
        <f aca="false">Tasks[[#This Row],[_WorkPerWorkday]]*(Tasks[[#This Row],[_StartWorkday]]-1)</f>
        <v>-0</v>
      </c>
      <c r="GC131" s="43" t="n">
        <f aca="false">IF(Tasks[[#This Row],[_IsLeaf]]=1,MAX(N(Tasks[[#This Row],[_Days]]),0.1),0)</f>
        <v>0</v>
      </c>
      <c r="GD131" s="43" t="n">
        <f aca="false">Tasks[[#This Row],[_WeightDur]]*Tasks[[#This Row],[_LeafProgress]]</f>
        <v>0</v>
      </c>
      <c r="GE131" s="43" t="n">
        <f aca="false">Tasks[[#This Row],[_WeightDur]]*Tasks[[#This Row],[_PlannedPct]]</f>
        <v>0</v>
      </c>
      <c r="GF13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1" s="43" t="str">
        <f aca="false">IF(AND(Tasks[[#This Row],[_IsLeaf]]=1,N(Tasks[[#This Row],[_Days]])=0,Tasks[[#This Row],[_LeafProgress]]&lt;1),Tasks[[#This Row],[_ShownFcstFinish]]+Tasks[[#This Row],[_Row]]/100000,"")</f>
        <v/>
      </c>
      <c r="GH13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1" s="43" t="str">
        <f aca="false">IF(Tasks[[#This Row],[Task Name]]="","",LEFT(Tasks[[#This Row],[WBS]],FIND(".",Tasks[[#This Row],[WBS]]&amp;".")-1))</f>
        <v/>
      </c>
      <c r="GJ131" s="43" t="str">
        <f aca="false">IF(AND(Tasks[[#This Row],[Task Name]]&lt;&gt;"",Tasks[[#This Row],[_Level]]=1),Tasks[[#This Row],[_Row]],"")</f>
        <v/>
      </c>
      <c r="GK131" s="43" t="str">
        <f aca="false">IF(AND(Tasks[[#This Row],[_IsLeaf]]=1,N(Tasks[[#This Row],[_Days]])=0),Tasks[[#This Row],[Planned Finish]]+Tasks[[#This Row],[_Row]]/100000,"")</f>
        <v/>
      </c>
      <c r="GL131" s="43" t="str">
        <f aca="false">IF(AND(Tasks[[#This Row],[_IsLeaf]]=1,Tasks[[#This Row],[_LeafProgress]]&lt;1,OR(N(Tasks[[#This Row],[Finish Var]])&gt;0,Tasks[[#This Row],[Status]]="Late Start")),MAX(0,Tasks[[#This Row],[Finish Var]])+1-Tasks[[#This Row],[_Row]]/1000000,"")</f>
        <v/>
      </c>
      <c r="GM131" s="43" t="str">
        <f aca="false">IF(AND(Tasks[[#This Row],[_IsLeaf]]=1,N(Tasks[[#This Row],[Actual Start]])=0,Tasks[[#This Row],[_ShownFcstStart]]&gt;=StatusDate,Tasks[[#This Row],[_ShownFcstStart]]&lt;=LookaheadEnd),Tasks[[#This Row],[_ShownFcstStart]]+Tasks[[#This Row],[_Row]]/100000,"")</f>
        <v/>
      </c>
      <c r="GN131" s="43" t="str">
        <f aca="false">IF(AND(Tasks[[#This Row],[_IsLeaf]]=1,Tasks[[#This Row],[_LeafProgress]]&lt;1,Tasks[[#This Row],[_ShownFcstFinish]]&gt;=StatusDate,Tasks[[#This Row],[_ShownFcstFinish]]&lt;=LookaheadEnd),Tasks[[#This Row],[_ShownFcstFinish]]+Tasks[[#This Row],[_Row]]/100000,"")</f>
        <v/>
      </c>
      <c r="GO131" s="43" t="str">
        <f aca="false">IF(Tasks[[#This Row],[_LeafCritical]],Tasks[[#This Row],[_ShownFcstStart]]+Tasks[[#This Row],[_Row]]/100000,"")</f>
        <v/>
      </c>
      <c r="GP131" s="43" t="n">
        <f aca="false">Tasks[[#This Row],[_LeafWork]]*Tasks[[#This Row],[_LeafProgress]]</f>
        <v>0</v>
      </c>
      <c r="GQ131" s="91" t="str">
        <f aca="false">IF(AND(Tasks[[#This Row],[_IsLeaf]]=1,Tasks[[#This Row],[_LeafProgress]]&gt;=1),IF(N(Tasks[[#This Row],[Actual Finish]])&gt;0,Tasks[[#This Row],[Actual Finish]],Tasks[[#This Row],[_ShownFcstFinish]]),"")</f>
        <v/>
      </c>
      <c r="GR131" s="43" t="n">
        <f aca="false">IF(Tasks[[#This Row],[_IsLeaf]]=1,N(Tasks[[#This Row],[Story Points]]),0)</f>
        <v>0</v>
      </c>
      <c r="GS131" s="43" t="str">
        <f aca="false">""</f>
        <v/>
      </c>
      <c r="GT131" s="90" t="b">
        <f aca="false">IF(Tasks[[#This Row],[Task Name]]="",FALSE(),AND(Tasks[[#This Row],[_IsLeaf]]=1,N(Tasks[[#This Row],[_Days]])=0))</f>
        <v>0</v>
      </c>
      <c r="GU131" s="91" t="n">
        <f aca="false">IF(Tasks[[#This Row],[Task Name]]="",0,IF(AND(Tasks[[#This Row],[_IsLeaf]]=1,NOT(Tasks[[#This Row],[_IsMilestone]]),N(Tasks[[#This Row],[Progress]])&gt;0),Tasks[[#This Row],[Start]],0))</f>
        <v>0</v>
      </c>
      <c r="GV131" s="91" t="n">
        <f aca="false">IF(Tasks[[#This Row],[_DoneFrom]]=0,0,IF(Tasks[[#This Row],[Progress]]&gt;=1,Tasks[[#This Row],[Finish]],MAX(Tasks[[#This Row],[_DoneFrom]],Tasks[[#This Row],[Start]]+ROUND((Tasks[[#This Row],[Finish]]-Tasks[[#This Row],[Start]]+1)*Tasks[[#This Row],[Progress]],0)-1)))</f>
        <v>0</v>
      </c>
      <c r="GW131" s="91" t="n">
        <f aca="false">IF(Tasks[[#This Row],[Task Name]]="",0,IF(OR(NOT(Tasks[[#This Row],[_IsLeaf]]=1),Tasks[[#This Row],[_IsMilestone]],N(Tasks[[#This Row],[Progress]])&gt;=1),0,IF(Tasks[[#This Row],[_DoneTo]]&gt;0,Tasks[[#This Row],[_DoneTo]]+1,Tasks[[#This Row],[Start]])))</f>
        <v>0</v>
      </c>
      <c r="GX131" s="91" t="n">
        <f aca="false">IF(Tasks[[#This Row],[_RemFrom]]=0,0,Tasks[[#This Row],[Finish]])</f>
        <v>0</v>
      </c>
      <c r="GY131" s="90" t="b">
        <f aca="false">IF(Tasks[[#This Row],[Task Name]]="",FALSE(),OR(NOT(BaselineSet),N(Tasks[[#This Row],[Baseline Start]])&gt;0))</f>
        <v>0</v>
      </c>
      <c r="GZ13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1" s="92" t="str">
        <f aca="false">IF(Tasks[[#This Row],[_IsLeaf]]=1,Tasks[[#This Row],[_Row]],"")</f>
        <v/>
      </c>
      <c r="HD131" s="92" t="str">
        <f aca="false">IFERROR(INDEX(Tasks[UID],SMALL(Tasks[_PickKey],Tasks[[#This Row],[_Row]]))&amp;" "&amp;INDEX(Tasks[Task Name],SMALL(Tasks[_PickKey],Tasks[[#This Row],[_Row]])),"")</f>
        <v/>
      </c>
      <c r="HE131" s="43" t="str">
        <f aca="false">IF(Tasks[[#This Row],[Task Name]]="","",IF(Tasks[[#This Row],[_IsSummary]],NETWORKDAYS.INTL(Tasks[[#This Row],[Start]],Tasks[[#This Row],[Finish]],WorkWeek,Holidays),N(Tasks[[#This Row],[_Days]])))</f>
        <v/>
      </c>
      <c r="HF131" s="43" t="n">
        <f aca="false">IF(Tasks[[#This Row],[Expected]]="",0,((Tasks[[#This Row],[Pessimistic]]-Tasks[[#This Row],[Optimistic]])/6)^2)</f>
        <v>0</v>
      </c>
      <c r="HG131" s="43" t="n">
        <f aca="false">IF(Tasks[[#This Row],[Expected]]="",0,Tasks[[#This Row],[Expected]]-N(Tasks[[#This Row],[_Days]]))</f>
        <v>0</v>
      </c>
    </row>
    <row r="132" customFormat="false" ht="15" hidden="false" customHeight="false" outlineLevel="0" collapsed="false">
      <c r="A132" s="21" t="str">
        <f aca="false">IF(Tasks[[#This Row],[Task Name]]="","",COUNTA(Tasks[[#Headers],[Task Name]]:Tasks[[#This Row],[Task Name]])-1)</f>
        <v/>
      </c>
      <c r="B132" s="22" t="n">
        <v>140</v>
      </c>
      <c r="C132" s="22"/>
      <c r="D132" s="23"/>
      <c r="E132" s="22"/>
      <c r="F132" s="23"/>
      <c r="G132" s="22"/>
      <c r="H132" s="22"/>
      <c r="I132" s="23"/>
      <c r="J132" s="22"/>
      <c r="K132" s="22"/>
      <c r="L132" s="23"/>
      <c r="M132" s="22"/>
      <c r="N132" s="22"/>
      <c r="O132" s="23"/>
      <c r="P132" s="22"/>
      <c r="Q132" s="22"/>
      <c r="R132" s="23"/>
      <c r="S132" s="23"/>
      <c r="T132" s="84"/>
      <c r="U132" s="23"/>
      <c r="V132" s="84"/>
      <c r="W132" s="23"/>
      <c r="X132" s="84"/>
      <c r="Y132" s="23"/>
      <c r="Z132" s="84"/>
      <c r="AA132" s="23"/>
      <c r="AB132" s="23"/>
      <c r="AC132" s="7"/>
      <c r="AD132" s="7"/>
      <c r="AE132" s="63" t="str">
        <f aca="false">IF(Tasks[[#This Row],[Task Name]]="","",IF(Tasks[[#This Row],[_IsSummary]],MIN(INDEX(Tasks[_ShownFcstStart],Tasks[[#This Row],[_Row]]+1):INDEX(Tasks[_ShownFcstStart],Tasks[[#This Row],[_Row]]+Tasks[[#This Row],[_Descendants]])),Tasks[[#This Row],[_ShownFcstStart]]))</f>
        <v/>
      </c>
      <c r="AF132" s="63" t="str">
        <f aca="false">IF(Tasks[[#This Row],[Task Name]]="","",IF(Tasks[[#This Row],[_IsSummary]],MAX(INDEX(Tasks[_ShownFcstFinish],Tasks[[#This Row],[_Row]]+1):INDEX(Tasks[_ShownFcstFinish],Tasks[[#This Row],[_Row]]+Tasks[[#This Row],[_Descendants]])),Tasks[[#This Row],[_ShownFcstFinish]]))</f>
        <v/>
      </c>
      <c r="AG132" s="21" t="str">
        <f aca="false">""</f>
        <v/>
      </c>
      <c r="AH132" s="23"/>
      <c r="AI1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2" s="7"/>
      <c r="AK132" s="22"/>
      <c r="AL132" s="23"/>
      <c r="AM132" s="7"/>
      <c r="AN132" s="47" t="str">
        <f aca="false">IF(Tasks[[#This Row],[Task Name]]="","",IF(Tasks[[#This Row],[Finish]]&gt;=Tasks[[#This Row],[Planned Finish]],NETWORKDAYS.INTL(Tasks[[#This Row],[Planned Finish]],Tasks[[#This Row],[Finish]],WorkWeek,Holidays)-1,1-NETWORKDAYS.INTL(Tasks[[#This Row],[Finish]],Tasks[[#This Row],[Planned Finish]],WorkWeek,Holidays)))</f>
        <v/>
      </c>
      <c r="AO132" s="21" t="str">
        <f aca="false">IF(Tasks[[#This Row],[Task Name]]="","",IF(Tasks[[#This Row],[Progress]]&gt;=1,"Complete",IF(OR(N(Tasks[[#This Row],[Actual Start]])&gt;0,Tasks[[#This Row],[Progress]]&gt;0),IF(Tasks[[#This Row],[Finish Var]]&gt;0,"Behind","In Progress"),IF(Tasks[[#This Row],[Planned Start]]&lt;StatusDate,"Late Start","Not Started"))))</f>
        <v/>
      </c>
      <c r="AP132" s="21" t="str">
        <f aca="false">IF(Tasks[[#This Row],[Task Name]]="","",IF(IF(Tasks[[#This Row],[_IsSummary]],COUNTIF(INDEX(Tasks[_LeafCritical],Tasks[[#This Row],[_Row]]+1):INDEX(Tasks[_LeafCritical],Tasks[[#This Row],[_Row]]+Tasks[[#This Row],[_Descendants]]),TRUE())&gt;0,Tasks[[#This Row],[_LeafCritical]]),"Yes",""))</f>
        <v/>
      </c>
      <c r="AQ132" s="63" t="str">
        <f aca="false">IF(Tasks[[#This Row],[Task Name]]="","",IF(N(Tasks[[#This Row],[Baseline Start]])&gt;0,Tasks[[#This Row],[Baseline Start]],Tasks[[#This Row],[_CalcStart]]))</f>
        <v/>
      </c>
      <c r="AR132" s="63" t="str">
        <f aca="false">IF(Tasks[[#This Row],[Task Name]]="","",IF(N(Tasks[[#This Row],[Baseline Finish]])&gt;0,Tasks[[#This Row],[Baseline Finish]],Tasks[[#This Row],[_CalcFinish]]))</f>
        <v/>
      </c>
      <c r="AS132" s="47" t="str">
        <f aca="false">IF(Tasks[[#This Row],[Task Name]]="","",IF(Tasks[[#This Row],[Start]]&gt;=Tasks[[#This Row],[Planned Start]],NETWORKDAYS.INTL(Tasks[[#This Row],[Planned Start]],Tasks[[#This Row],[Start]],WorkWeek,Holidays)-1,1-NETWORKDAYS.INTL(Tasks[[#This Row],[Start]],Tasks[[#This Row],[Planned Start]],WorkWeek,Holidays)))</f>
        <v/>
      </c>
      <c r="AT132" s="63" t="str">
        <f aca="false">IF(Tasks[[#This Row],[Task Name]]="","",IF(Tasks[[#This Row],[_IsSummary]],MIN(INDEX(Tasks[_LeafLateStart],Tasks[[#This Row],[_Row]]+1):INDEX(Tasks[_LeafLateStart],Tasks[[#This Row],[_Row]]+Tasks[[#This Row],[_Descendants]])),Tasks[[#This Row],[_LeafLateStart]]))</f>
        <v/>
      </c>
      <c r="AU132" s="63" t="str">
        <f aca="false">IF(Tasks[[#This Row],[Task Name]]="","",IF(Tasks[[#This Row],[_IsSummary]],MAX(INDEX(Tasks[_LeafLateFinish],Tasks[[#This Row],[_Row]]+1):INDEX(Tasks[_LeafLateFinish],Tasks[[#This Row],[_Row]]+Tasks[[#This Row],[_Descendants]])),Tasks[[#This Row],[_LeafLateFinish]]))</f>
        <v/>
      </c>
      <c r="AV132" s="47" t="str">
        <f aca="false">IF(Tasks[[#This Row],[Task Name]]="","",IF(Tasks[[#This Row],[_IsSummary]],MIN(INDEX(Tasks[_LeafTotalSlack],Tasks[[#This Row],[_Row]]+1):INDEX(Tasks[_LeafTotalSlack],Tasks[[#This Row],[_Row]]+Tasks[[#This Row],[_Descendants]])),Tasks[[#This Row],[_LeafTotalSlack]]))</f>
        <v/>
      </c>
      <c r="AW1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5"/>
      <c r="BA13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1" t="str">
        <f aca="false">IF(Tasks[[#This Row],[Task Name]]="","",IF(Tasks[[#This Row],[_Level]]&lt;=OutlineShowLevel,"Yes","No"))</f>
        <v/>
      </c>
      <c r="BE132" s="86" t="str">
        <f aca="false">IF(Tasks[[#This Row],[Task Name]]="","",IF(Tasks[[#This Row],[_IsSummary]],SUM(INDEX(Tasks[_LeafTotalWork],Tasks[[#This Row],[_Row]]+1):INDEX(Tasks[_LeafTotalWork],Tasks[[#This Row],[_Row]]+Tasks[[#This Row],[_Descendants]])),Tasks[[#This Row],[_LeafTotalWork]]))</f>
        <v/>
      </c>
      <c r="BF132" s="23"/>
      <c r="BG1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2" s="21" t="str">
        <f aca="false">""</f>
        <v/>
      </c>
      <c r="BI132" s="87"/>
      <c r="BJ132" s="22"/>
      <c r="BK132" s="47" t="str">
        <f aca="false">IF(OR(Tasks[[#This Row],[Task Name]]="",Tasks[[#This Row],[Baseline Duration]]=""),"",Tasks[[#This Row],[_SpanDays]]-N(Tasks[[#This Row],[Baseline Duration]]))</f>
        <v/>
      </c>
      <c r="BL132" s="86" t="str">
        <f aca="false">IF(OR(Tasks[[#This Row],[Task Name]]="",Tasks[[#This Row],[Baseline Work]]=""),"",Tasks[[#This Row],[Work]]-N(Tasks[[#This Row],[Baseline Work]]))</f>
        <v/>
      </c>
      <c r="BM132" s="63" t="str">
        <f aca="false">IF(Tasks[[#This Row],[Task Name]]="","",IF(OR(TakeBaseline="Yes",N(Tasks[[#This Row],[Baseline Start]])=0),Tasks[[#This Row],[Start]],Tasks[[#This Row],[Baseline Start]]))</f>
        <v/>
      </c>
      <c r="BN132" s="63" t="str">
        <f aca="false">IF(Tasks[[#This Row],[Task Name]]="","",IF(OR(TakeBaseline="Yes",N(Tasks[[#This Row],[Baseline Finish]])=0),Tasks[[#This Row],[Finish]],Tasks[[#This Row],[Baseline Finish]]))</f>
        <v/>
      </c>
      <c r="BO132" s="21" t="str">
        <f aca="false">IF(Tasks[[#This Row],[Task Name]]="","",IF(OR(TakeBaseline="Yes",N(Tasks[[#This Row],[Baseline Duration]])=0),Tasks[[#This Row],[_SpanDays]],Tasks[[#This Row],[Baseline Duration]]))</f>
        <v/>
      </c>
      <c r="BP132" s="86" t="str">
        <f aca="false">IF(Tasks[[#This Row],[Task Name]]="","",IF(OR(TakeBaseline="Yes",N(Tasks[[#This Row],[Baseline Work]])=0),Tasks[[#This Row],[Work]],Tasks[[#This Row],[Baseline Work]]))</f>
        <v/>
      </c>
      <c r="BQ132" s="7"/>
      <c r="BR132" s="7"/>
      <c r="BS132" s="22"/>
      <c r="BT132" s="88"/>
      <c r="BU132" s="23"/>
      <c r="BV132" s="23"/>
      <c r="BW132" s="23"/>
      <c r="BX132" s="89" t="str">
        <f aca="false">IF(AND(Tasks[[#This Row],[_IsLeaf]]=1,ISNUMBER(Tasks[[#This Row],[Optimistic]]),ISNUMBER(Tasks[[#This Row],[Pessimistic]])),ROUND((Tasks[[#This Row],[Optimistic]]+4*N(Tasks[[#This Row],[_Days]])+Tasks[[#This Row],[Pessimistic]])/6,1),"")</f>
        <v/>
      </c>
      <c r="BY132" s="87"/>
      <c r="BZ132" s="87"/>
      <c r="CA132" s="22"/>
      <c r="CB132" s="43" t="str">
        <f aca="false">IF(Tasks[[#This Row],[Task Name]]="","",MAX(1,N(Tasks[[#This Row],[Level]])))</f>
        <v/>
      </c>
      <c r="CC132" s="43" t="n">
        <f aca="false">ROW()-ROW(Tasks[[#Headers],[ID]])</f>
        <v>127</v>
      </c>
      <c r="CD132" s="43" t="n">
        <f aca="false">IF(OR(Tasks[[#This Row],[Task Name]]="",Tasks[[#This Row],[_Level]]&lt;=1),0,IFERROR(LOOKUP(2,1/(Tasks[[#Headers],[_Level]]:Tasks[[#This Row],[_Level]]=Tasks[[#This Row],[_Level]]-1),ROW(Tasks[[#Headers],[_Level]]:Tasks[[#This Row],[_Level]])),0))</f>
        <v>0</v>
      </c>
      <c r="CE132" s="43" t="n">
        <f aca="false">IFERROR(N(INDEX(Tasks[_Level],Tasks[[#This Row],[_Row]]+1)),0)</f>
        <v>0</v>
      </c>
      <c r="CF132" s="90" t="b">
        <f aca="false">AND(Tasks[[#This Row],[Task Name]]&lt;&gt;"",Tasks[[#This Row],[_NextLevel]]&gt;Tasks[[#This Row],[_Level]])</f>
        <v>0</v>
      </c>
      <c r="CG132" s="43" t="n">
        <f aca="false">IF(Tasks[[#This Row],[_IsSummary]],COUNTIF(Tasks[WBS],Tasks[[#This Row],[WBS]]&amp;".*"),0)</f>
        <v>0</v>
      </c>
      <c r="CH132" s="43" t="n">
        <f aca="false">IF(AND(Tasks[[#This Row],[Task Name]]&lt;&gt;"",NOT(Tasks[[#This Row],[_IsSummary]])),1,0)</f>
        <v>0</v>
      </c>
      <c r="CI132" s="43" t="n">
        <f aca="false">IF(N(Tasks[[#This Row],[_Pred1UID]])=0,0,IFERROR(MATCH(Tasks[[#This Row],[_Pred1UID]],Tasks[UID],0),-1))</f>
        <v>0</v>
      </c>
      <c r="CJ132" s="43" t="n">
        <f aca="false">IF(N(Tasks[[#This Row],[_Pred2UID]])=0,0,IFERROR(MATCH(Tasks[[#This Row],[_Pred2UID]],Tasks[UID],0),-1))</f>
        <v>0</v>
      </c>
      <c r="CK132" s="43" t="n">
        <f aca="false">IF(N(Tasks[[#This Row],[_Pred3UID]])=0,0,IFERROR(MATCH(Tasks[[#This Row],[_Pred3UID]],Tasks[UID],0),-1))</f>
        <v>0</v>
      </c>
      <c r="CL132" s="43" t="n">
        <f aca="false">IF(N(Tasks[[#This Row],[_Pred4UID]])=0,0,IFERROR(MATCH(Tasks[[#This Row],[_Pred4UID]],Tasks[UID],0),-1))</f>
        <v>0</v>
      </c>
      <c r="CM13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2" s="91" t="n">
        <f aca="false">IF(OR(Tasks[[#This Row],[_ConstraintCode]]=2,Tasks[[#This Row],[_ConstraintCode]]=3,Tasks[[#This Row],[_ConstraintCode]]=4,Tasks[[#This Row],[_ConstraintCode]]=6),Tasks[[#This Row],[_ConstraintStart]],0)</f>
        <v>0</v>
      </c>
      <c r="CP132" s="91" t="n">
        <f aca="false">IF(OR(Tasks[[#This Row],[_ConstraintCode]]=2,Tasks[[#This Row],[_ConstraintCode]]=3,Tasks[[#This Row],[_ConstraintCode]]=5,Tasks[[#This Row],[_ConstraintCode]]=7),Tasks[[#This Row],[_ConstraintStart]],2958465)</f>
        <v>2958465</v>
      </c>
      <c r="CQ13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2" s="91" t="str">
        <f aca="false">IF(NOT(Tasks[[#This Row],[_IsLeaf]]=1),"",IF(N(Tasks[[#This Row],[_Days]])&lt;=0,Tasks[[#This Row],[_LeafCalcStart]],WORKDAY.INTL(Tasks[[#This Row],[_LeafCalcStart]],Tasks[[#This Row],[_Days]]-1,WorkWeek,Holidays)))</f>
        <v/>
      </c>
      <c r="CS13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2" s="43" t="str">
        <f aca="false">IF(Tasks[[#This Row],[_Predecessors]]="","",TRIM(MID(SUBSTITUTE(SUBSTITUTE(SUBSTITUTE(UPPER(Tasks[[#This Row],[_Predecessors]]),";",",")," ",""),",",REPT(" ",99)),1,99)))</f>
        <v/>
      </c>
      <c r="CV132" s="43" t="str">
        <f aca="false">IF(Tasks[[#This Row],[_Pred1Text]]="","",IFERROR(VALUE(LEFT(Tasks[[#This Row],[_Pred1Text]],MIN(FIND("F",Tasks[[#This Row],[_Pred1Text]]&amp;"F"),FIND("S",Tasks[[#This Row],[_Pred1Text]]&amp;"S"),FIND("+",Tasks[[#This Row],[_Pred1Text]]&amp;"+"),FIND("-",Tasks[[#This Row],[_Pred1Text]]&amp;"-"))-1)),""))</f>
        <v/>
      </c>
      <c r="CW13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2" s="43" t="str">
        <f aca="false">IF(Tasks[[#This Row],[_Pred1Text]]="","",TRIM(MID(SUBSTITUTE(SUBSTITUTE(SUBSTITUTE(UPPER(Tasks[[#This Row],[_Predecessors]]),";",",")," ",""),",",REPT(" ",99)),100,99)))</f>
        <v/>
      </c>
      <c r="CZ132" s="43" t="str">
        <f aca="false">IF(Tasks[[#This Row],[_Pred2Text]]="","",IFERROR(VALUE(LEFT(Tasks[[#This Row],[_Pred2Text]],MIN(FIND("F",Tasks[[#This Row],[_Pred2Text]]&amp;"F"),FIND("S",Tasks[[#This Row],[_Pred2Text]]&amp;"S"),FIND("+",Tasks[[#This Row],[_Pred2Text]]&amp;"+"),FIND("-",Tasks[[#This Row],[_Pred2Text]]&amp;"-"))-1)),""))</f>
        <v/>
      </c>
      <c r="DA13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2" s="43" t="str">
        <f aca="false">IF(Tasks[[#This Row],[_Pred2Text]]="","",TRIM(MID(SUBSTITUTE(SUBSTITUTE(SUBSTITUTE(UPPER(Tasks[[#This Row],[_Predecessors]]),";",",")," ",""),",",REPT(" ",99)),199,99)))</f>
        <v/>
      </c>
      <c r="DD132" s="43" t="str">
        <f aca="false">IF(Tasks[[#This Row],[_Pred3Text]]="","",IFERROR(VALUE(LEFT(Tasks[[#This Row],[_Pred3Text]],MIN(FIND("F",Tasks[[#This Row],[_Pred3Text]]&amp;"F"),FIND("S",Tasks[[#This Row],[_Pred3Text]]&amp;"S"),FIND("+",Tasks[[#This Row],[_Pred3Text]]&amp;"+"),FIND("-",Tasks[[#This Row],[_Pred3Text]]&amp;"-"))-1)),""))</f>
        <v/>
      </c>
      <c r="DE13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2" s="43" t="str">
        <f aca="false">IF(Tasks[[#This Row],[_Pred3Text]]="","",TRIM(MID(SUBSTITUTE(SUBSTITUTE(SUBSTITUTE(UPPER(Tasks[[#This Row],[_Predecessors]]),";",",")," ",""),",",REPT(" ",99)),298,99)))</f>
        <v/>
      </c>
      <c r="DH132" s="43" t="str">
        <f aca="false">IF(Tasks[[#This Row],[_Pred4Text]]="","",IFERROR(VALUE(LEFT(Tasks[[#This Row],[_Pred4Text]],MIN(FIND("F",Tasks[[#This Row],[_Pred4Text]]&amp;"F"),FIND("S",Tasks[[#This Row],[_Pred4Text]]&amp;"S"),FIND("+",Tasks[[#This Row],[_Pred4Text]]&amp;"+"),FIND("-",Tasks[[#This Row],[_Pred4Text]]&amp;"-"))-1)),""))</f>
        <v/>
      </c>
      <c r="DI13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2" s="43" t="str">
        <f aca="false">IF(OR(Tasks[[#This Row],[Task Name]]="",Tasks[[#This Row],[_Resources]]=""),"",TRIM(MID(SUBSTITUTE(Tasks[[#This Row],[_Resources]],",",REPT(" ",99)),1,99)))</f>
        <v/>
      </c>
      <c r="DL132" s="43" t="str">
        <f aca="false">IF(Tasks[[#This Row],[_Res1Text]]="","",TRIM(MID(SUBSTITUTE(Tasks[[#This Row],[_Resources]],",",REPT(" ",99)),100,99)))</f>
        <v/>
      </c>
      <c r="DM132" s="43" t="str">
        <f aca="false">IF(Tasks[[#This Row],[_Res2Text]]="","",TRIM(MID(SUBSTITUTE(Tasks[[#This Row],[_Resources]],",",REPT(" ",99)),199,99)))</f>
        <v/>
      </c>
      <c r="DN132" s="43" t="str">
        <f aca="false">IF(Tasks[[#This Row],[_Res3Text]]="","",TRIM(MID(SUBSTITUTE(Tasks[[#This Row],[_Resources]],",",REPT(" ",99)),298,99)))</f>
        <v/>
      </c>
      <c r="DO132" s="43" t="n">
        <f aca="false">IF(Tasks[[#This Row],[_Res1Text]]="",0,IFERROR(MATCH(TRIM(LEFT(Tasks[[#This Row],[_Res1Text]],FIND("[",Tasks[[#This Row],[_Res1Text]]&amp;"[")-1)),res_Name,0),IFERROR(MATCH(TRIM(LEFT(Tasks[[#This Row],[_Res1Text]],FIND("[",Tasks[[#This Row],[_Res1Text]]&amp;"[")-1)),res_Initials,0),0)))</f>
        <v>0</v>
      </c>
      <c r="DP132" s="43" t="n">
        <f aca="false">IF(Tasks[[#This Row],[_Res2Text]]="",0,IFERROR(MATCH(TRIM(LEFT(Tasks[[#This Row],[_Res2Text]],FIND("[",Tasks[[#This Row],[_Res2Text]]&amp;"[")-1)),res_Name,0),IFERROR(MATCH(TRIM(LEFT(Tasks[[#This Row],[_Res2Text]],FIND("[",Tasks[[#This Row],[_Res2Text]]&amp;"[")-1)),res_Initials,0),0)))</f>
        <v>0</v>
      </c>
      <c r="DQ132" s="43" t="n">
        <f aca="false">IF(Tasks[[#This Row],[_Res3Text]]="",0,IFERROR(MATCH(TRIM(LEFT(Tasks[[#This Row],[_Res3Text]],FIND("[",Tasks[[#This Row],[_Res3Text]]&amp;"[")-1)),res_Name,0),IFERROR(MATCH(TRIM(LEFT(Tasks[[#This Row],[_Res3Text]],FIND("[",Tasks[[#This Row],[_Res3Text]]&amp;"[")-1)),res_Initials,0),0)))</f>
        <v>0</v>
      </c>
      <c r="DR132" s="43" t="n">
        <f aca="false">IF(Tasks[[#This Row],[_Res4Text]]="",0,IFERROR(MATCH(TRIM(LEFT(Tasks[[#This Row],[_Res4Text]],FIND("[",Tasks[[#This Row],[_Res4Text]]&amp;"[")-1)),res_Name,0),IFERROR(MATCH(TRIM(LEFT(Tasks[[#This Row],[_Res4Text]],FIND("[",Tasks[[#This Row],[_Res4Text]]&amp;"[")-1)),res_Initials,0),0)))</f>
        <v>0</v>
      </c>
      <c r="DS132" s="43" t="str">
        <f aca="false">IF(Tasks[[#This Row],[_Res1Text]]="","",IF(Tasks[[#This Row],[_Res1Row]]&gt;0,INDEX(res_Name,Tasks[[#This Row],[_Res1Row]]),TRIM(LEFT(Tasks[[#This Row],[_Res1Text]],FIND("[",Tasks[[#This Row],[_Res1Text]]&amp;"[")-1))))</f>
        <v/>
      </c>
      <c r="DT13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2" s="43" t="n">
        <f aca="false">IF(NOT(Tasks[[#This Row],[_IsLeaf]]=1),0,(Tasks[[#This Row],[_Resource1]]&lt;&gt;"")+(Tasks[[#This Row],[_Res2]]&lt;&gt;"")+(Tasks[[#This Row],[_Res3]]&lt;&gt;"")+(Tasks[[#This Row],[_Res4]]&lt;&gt;""))</f>
        <v>0</v>
      </c>
      <c r="DV132" s="43" t="str">
        <f aca="false">IF(Tasks[[#This Row],[_Res2Text]]="","",IF(Tasks[[#This Row],[_Res2Row]]&gt;0,INDEX(res_Name,Tasks[[#This Row],[_Res2Row]]),TRIM(LEFT(Tasks[[#This Row],[_Res2Text]],FIND("[",Tasks[[#This Row],[_Res2Text]]&amp;"[")-1))))</f>
        <v/>
      </c>
      <c r="DW13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2" s="43" t="n">
        <f aca="false">IF(OR(NOT(Tasks[[#This Row],[_IsLeaf]]=1),Tasks[[#This Row],[_Res2Row]]=0),0,N(Tasks[[#This Row],[_Days]])*HoursPerDay*IF(Tasks[[#This Row],[_Res2Units]]="",DefaultUnits,Tasks[[#This Row],[_Res2Units]]))</f>
        <v>0</v>
      </c>
      <c r="DY132" s="43" t="n">
        <f aca="false">IF(AND(AND(Tasks[[#This Row],[_IsLeaf]]=1,Tasks[[#This Row],[_LeafTotalWork]]&gt;0),Tasks[[#This Row],[_Res2Work]]&gt;0),Tasks[[#This Row],[_Res2Work]]/(Tasks[[#This Row],[_FinishWorkday]]-Tasks[[#This Row],[_StartWorkday]]+1),0)</f>
        <v>0</v>
      </c>
      <c r="DZ132" s="43" t="n">
        <f aca="false">Tasks[[#This Row],[_Res2WorkPerWD]]*MAX(0,Tasks[[#This Row],[_StartWorkday]]-1)</f>
        <v>0</v>
      </c>
      <c r="EA132" s="43" t="n">
        <f aca="false">Tasks[[#This Row],[_Res2Work]]*Tasks[[#This Row],[_LeafProgress]]</f>
        <v>0</v>
      </c>
      <c r="EB132" s="43" t="str">
        <f aca="false">IF(Tasks[[#This Row],[_Res3Text]]="","",IF(Tasks[[#This Row],[_Res3Row]]&gt;0,INDEX(res_Name,Tasks[[#This Row],[_Res3Row]]),TRIM(LEFT(Tasks[[#This Row],[_Res3Text]],FIND("[",Tasks[[#This Row],[_Res3Text]]&amp;"[")-1))))</f>
        <v/>
      </c>
      <c r="EC13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2" s="43" t="n">
        <f aca="false">IF(OR(NOT(Tasks[[#This Row],[_IsLeaf]]=1),Tasks[[#This Row],[_Res3Row]]=0),0,N(Tasks[[#This Row],[_Days]])*HoursPerDay*IF(Tasks[[#This Row],[_Res3Units]]="",DefaultUnits,Tasks[[#This Row],[_Res3Units]]))</f>
        <v>0</v>
      </c>
      <c r="EE132" s="43" t="n">
        <f aca="false">IF(AND(AND(Tasks[[#This Row],[_IsLeaf]]=1,Tasks[[#This Row],[_LeafTotalWork]]&gt;0),Tasks[[#This Row],[_Res3Work]]&gt;0),Tasks[[#This Row],[_Res3Work]]/(Tasks[[#This Row],[_FinishWorkday]]-Tasks[[#This Row],[_StartWorkday]]+1),0)</f>
        <v>0</v>
      </c>
      <c r="EF132" s="43" t="n">
        <f aca="false">Tasks[[#This Row],[_Res3WorkPerWD]]*MAX(0,Tasks[[#This Row],[_StartWorkday]]-1)</f>
        <v>0</v>
      </c>
      <c r="EG132" s="43" t="n">
        <f aca="false">Tasks[[#This Row],[_Res3Work]]*Tasks[[#This Row],[_LeafProgress]]</f>
        <v>0</v>
      </c>
      <c r="EH132" s="43" t="str">
        <f aca="false">IF(Tasks[[#This Row],[_Res4Text]]="","",IF(Tasks[[#This Row],[_Res4Row]]&gt;0,INDEX(res_Name,Tasks[[#This Row],[_Res4Row]]),TRIM(LEFT(Tasks[[#This Row],[_Res4Text]],FIND("[",Tasks[[#This Row],[_Res4Text]]&amp;"[")-1))))</f>
        <v/>
      </c>
      <c r="EI13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2" s="43" t="n">
        <f aca="false">IF(OR(NOT(Tasks[[#This Row],[_IsLeaf]]=1),Tasks[[#This Row],[_Res4Row]]=0),0,N(Tasks[[#This Row],[_Days]])*HoursPerDay*IF(Tasks[[#This Row],[_Res4Units]]="",DefaultUnits,Tasks[[#This Row],[_Res4Units]]))</f>
        <v>0</v>
      </c>
      <c r="EK132" s="43" t="n">
        <f aca="false">IF(AND(AND(Tasks[[#This Row],[_IsLeaf]]=1,Tasks[[#This Row],[_LeafTotalWork]]&gt;0),Tasks[[#This Row],[_Res4Work]]&gt;0),Tasks[[#This Row],[_Res4Work]]/(Tasks[[#This Row],[_FinishWorkday]]-Tasks[[#This Row],[_StartWorkday]]+1),0)</f>
        <v>0</v>
      </c>
      <c r="EL132" s="43" t="n">
        <f aca="false">Tasks[[#This Row],[_Res4WorkPerWD]]*MAX(0,Tasks[[#This Row],[_StartWorkday]]-1)</f>
        <v>0</v>
      </c>
      <c r="EM132" s="43" t="n">
        <f aca="false">Tasks[[#This Row],[_Res4Work]]*Tasks[[#This Row],[_LeafProgress]]</f>
        <v>0</v>
      </c>
      <c r="EN132" s="43" t="n">
        <f aca="false">IF(ISNUMBER(Tasks[[#This Row],[% Complete]]),Tasks[[#This Row],[% Complete]],IF(Tasks[[#This Row],[Stage]]="",0,IFERROR(INDEX(stg_Pct,MATCH(Tasks[[#This Row],[Stage]],stg_Name,0)),0)))</f>
        <v>0</v>
      </c>
      <c r="EO132" s="43" t="n">
        <f aca="false">IF(NOT(Tasks[[#This Row],[_IsLeaf]]=1),0,IF(N(Tasks[[#This Row],[Actual Finish]])&gt;0,1,MIN(1,Tasks[[#This Row],[_Pct]])))</f>
        <v>0</v>
      </c>
      <c r="EP132" s="43" t="n">
        <f aca="false">IF(OR(NOT(Tasks[[#This Row],[_IsLeaf]]=1),Tasks[[#This Row],[_Res1Row]]=0),0,N(Tasks[[#This Row],[_Days]])*HoursPerDay*IF(Tasks[[#This Row],[_Units1]]="",DefaultUnits,Tasks[[#This Row],[_Units1]]))</f>
        <v>0</v>
      </c>
      <c r="EQ132" s="43" t="n">
        <f aca="false">Tasks[[#This Row],[_LeafWork]]+Tasks[[#This Row],[_Res2Work]]+Tasks[[#This Row],[_Res3Work]]+Tasks[[#This Row],[_Res4Work]]</f>
        <v>0</v>
      </c>
      <c r="ER13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2" s="43" t="n">
        <f aca="false">IF(NOT(Tasks[[#This Row],[_IsLeaf]]=1),0,MAX(_xlfn.MAXIFS(Tasks[_Row],Tasks[_Pred1UID],Tasks[[#This Row],[UID]]),_xlfn.MAXIFS(Tasks[_Row],Tasks[_Pred2UID],Tasks[[#This Row],[UID]]),_xlfn.MAXIFS(Tasks[_Row],Tasks[_Pred3UID],Tasks[[#This Row],[UID]]),_xlfn.MAXIFS(Tasks[_Row],Tasks[_Pred4UID],Tasks[[#This Row],[UID]])))</f>
        <v>0</v>
      </c>
      <c r="FA13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2" s="91" t="str">
        <f aca="false">IF(NOT(Tasks[[#This Row],[_IsLeaf]]=1),"",IF(N(Tasks[[#This Row],[_Days]])&lt;=0,Tasks[[#This Row],[_LeafLateFinish]],WORKDAY.INTL(Tasks[[#This Row],[_LeafLateFinish]],-(Tasks[[#This Row],[_Days]]-1),WorkWeek,Holidays)))</f>
        <v/>
      </c>
      <c r="FD13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2" s="90" t="b">
        <f aca="false">AND(Tasks[[#This Row],[_IsLeaf]]=1,Tasks[[#This Row],[_LeafProgress]]&lt;1,N(Tasks[[#This Row],[_LeafTotalSlack]])&lt;=CriticalSlackDays)</f>
        <v>0</v>
      </c>
      <c r="FF132" s="43" t="n">
        <f aca="false">IF(AND(Tasks[[#This Row],[_IsLeaf]]=1,Tasks[[#This Row],[_ConstraintCode]]=1,Tasks[[#This Row],[Mode]]&lt;&gt;"Manual",N(Tasks[[#This Row],[Actual Start]])=0),MAX(0,N(Tasks[[#This Row],[Free Slack]])),0)</f>
        <v>0</v>
      </c>
      <c r="FG132" s="91" t="str">
        <f aca="false">IF(NOT(Tasks[[#This Row],[_IsLeaf]]=1),"",IF(Tasks[[#This Row],[_AlapShift]]=0,Tasks[[#This Row],[_LeafCalcStart]],WORKDAY.INTL(Tasks[[#This Row],[_LeafCalcStart]],Tasks[[#This Row],[_AlapShift]],WorkWeek,Holidays)))</f>
        <v/>
      </c>
      <c r="FH132" s="91" t="str">
        <f aca="false">IF(NOT(Tasks[[#This Row],[_IsLeaf]]=1),"",IF(Tasks[[#This Row],[_AlapShift]]=0,Tasks[[#This Row],[_LeafCalcFinish]],WORKDAY.INTL(Tasks[[#This Row],[_LeafCalcFinish]],Tasks[[#This Row],[_AlapShift]],WorkWeek,Holidays)))</f>
        <v/>
      </c>
      <c r="FI132" s="91" t="str">
        <f aca="false">IF(NOT(Tasks[[#This Row],[_IsLeaf]]=1),"",IF(Tasks[[#This Row],[_AlapShift]]=0,Tasks[[#This Row],[_LeafFcstStart]],WORKDAY.INTL(Tasks[[#This Row],[_LeafFcstStart]],Tasks[[#This Row],[_AlapShift]],WorkWeek,Holidays)))</f>
        <v/>
      </c>
      <c r="FJ132" s="91" t="str">
        <f aca="false">IF(NOT(Tasks[[#This Row],[_IsLeaf]]=1),"",IF(Tasks[[#This Row],[_AlapShift]]=0,Tasks[[#This Row],[_LeafFcstFinish]],WORKDAY.INTL(Tasks[[#This Row],[_LeafFcstFinish]],Tasks[[#This Row],[_AlapShift]],WorkWeek,Holidays)))</f>
        <v/>
      </c>
      <c r="FK132" s="91" t="str">
        <f aca="false">IF(Tasks[[#This Row],[Task Name]]="","",IF(Tasks[[#This Row],[_IsSummary]],MIN(INDEX(Tasks[_ShownCalcStart],Tasks[[#This Row],[_Row]]+1):INDEX(Tasks[_ShownCalcStart],Tasks[[#This Row],[_Row]]+Tasks[[#This Row],[_Descendants]])),Tasks[[#This Row],[_ShownCalcStart]]))</f>
        <v/>
      </c>
      <c r="FL132" s="91" t="str">
        <f aca="false">IF(Tasks[[#This Row],[Task Name]]="","",IF(Tasks[[#This Row],[_IsSummary]],MAX(INDEX(Tasks[_ShownCalcFinish],Tasks[[#This Row],[_Row]]+1):INDEX(Tasks[_ShownCalcFinish],Tasks[[#This Row],[_Row]]+Tasks[[#This Row],[_Descendants]])),Tasks[[#This Row],[_ShownCalcFinish]]))</f>
        <v/>
      </c>
      <c r="FM13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2" s="43" t="n">
        <f aca="false">IF(AND(Tasks[[#This Row],[_IsLeaf]]=1,Tasks[[#This Row],[_LeafTotalWork]]&gt;0),NETWORKDAYS.INTL(ProjectStart,Tasks[[#This Row],[_ShownFcstStart]],WorkWeek,Holidays),0)</f>
        <v>0</v>
      </c>
      <c r="FZ132" s="43" t="n">
        <f aca="false">IF(AND(Tasks[[#This Row],[_IsLeaf]]=1,Tasks[[#This Row],[_LeafTotalWork]]&gt;0),MAX(Tasks[[#This Row],[_StartWorkday]],NETWORKDAYS.INTL(ProjectStart,Tasks[[#This Row],[_ShownFcstFinish]],WorkWeek,Holidays)),0)</f>
        <v>0</v>
      </c>
      <c r="GA132" s="43" t="n">
        <f aca="false">IF(AND(Tasks[[#This Row],[_IsLeaf]]=1,Tasks[[#This Row],[_LeafTotalWork]]&gt;0),Tasks[[#This Row],[_LeafWork]]/(Tasks[[#This Row],[_FinishWorkday]]-Tasks[[#This Row],[_StartWorkday]]+1),0)</f>
        <v>0</v>
      </c>
      <c r="GB132" s="43" t="n">
        <f aca="false">Tasks[[#This Row],[_WorkPerWorkday]]*(Tasks[[#This Row],[_StartWorkday]]-1)</f>
        <v>-0</v>
      </c>
      <c r="GC132" s="43" t="n">
        <f aca="false">IF(Tasks[[#This Row],[_IsLeaf]]=1,MAX(N(Tasks[[#This Row],[_Days]]),0.1),0)</f>
        <v>0</v>
      </c>
      <c r="GD132" s="43" t="n">
        <f aca="false">Tasks[[#This Row],[_WeightDur]]*Tasks[[#This Row],[_LeafProgress]]</f>
        <v>0</v>
      </c>
      <c r="GE132" s="43" t="n">
        <f aca="false">Tasks[[#This Row],[_WeightDur]]*Tasks[[#This Row],[_PlannedPct]]</f>
        <v>0</v>
      </c>
      <c r="GF13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2" s="43" t="str">
        <f aca="false">IF(AND(Tasks[[#This Row],[_IsLeaf]]=1,N(Tasks[[#This Row],[_Days]])=0,Tasks[[#This Row],[_LeafProgress]]&lt;1),Tasks[[#This Row],[_ShownFcstFinish]]+Tasks[[#This Row],[_Row]]/100000,"")</f>
        <v/>
      </c>
      <c r="GH13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2" s="43" t="str">
        <f aca="false">IF(Tasks[[#This Row],[Task Name]]="","",LEFT(Tasks[[#This Row],[WBS]],FIND(".",Tasks[[#This Row],[WBS]]&amp;".")-1))</f>
        <v/>
      </c>
      <c r="GJ132" s="43" t="str">
        <f aca="false">IF(AND(Tasks[[#This Row],[Task Name]]&lt;&gt;"",Tasks[[#This Row],[_Level]]=1),Tasks[[#This Row],[_Row]],"")</f>
        <v/>
      </c>
      <c r="GK132" s="43" t="str">
        <f aca="false">IF(AND(Tasks[[#This Row],[_IsLeaf]]=1,N(Tasks[[#This Row],[_Days]])=0),Tasks[[#This Row],[Planned Finish]]+Tasks[[#This Row],[_Row]]/100000,"")</f>
        <v/>
      </c>
      <c r="GL132" s="43" t="str">
        <f aca="false">IF(AND(Tasks[[#This Row],[_IsLeaf]]=1,Tasks[[#This Row],[_LeafProgress]]&lt;1,OR(N(Tasks[[#This Row],[Finish Var]])&gt;0,Tasks[[#This Row],[Status]]="Late Start")),MAX(0,Tasks[[#This Row],[Finish Var]])+1-Tasks[[#This Row],[_Row]]/1000000,"")</f>
        <v/>
      </c>
      <c r="GM132" s="43" t="str">
        <f aca="false">IF(AND(Tasks[[#This Row],[_IsLeaf]]=1,N(Tasks[[#This Row],[Actual Start]])=0,Tasks[[#This Row],[_ShownFcstStart]]&gt;=StatusDate,Tasks[[#This Row],[_ShownFcstStart]]&lt;=LookaheadEnd),Tasks[[#This Row],[_ShownFcstStart]]+Tasks[[#This Row],[_Row]]/100000,"")</f>
        <v/>
      </c>
      <c r="GN132" s="43" t="str">
        <f aca="false">IF(AND(Tasks[[#This Row],[_IsLeaf]]=1,Tasks[[#This Row],[_LeafProgress]]&lt;1,Tasks[[#This Row],[_ShownFcstFinish]]&gt;=StatusDate,Tasks[[#This Row],[_ShownFcstFinish]]&lt;=LookaheadEnd),Tasks[[#This Row],[_ShownFcstFinish]]+Tasks[[#This Row],[_Row]]/100000,"")</f>
        <v/>
      </c>
      <c r="GO132" s="43" t="str">
        <f aca="false">IF(Tasks[[#This Row],[_LeafCritical]],Tasks[[#This Row],[_ShownFcstStart]]+Tasks[[#This Row],[_Row]]/100000,"")</f>
        <v/>
      </c>
      <c r="GP132" s="43" t="n">
        <f aca="false">Tasks[[#This Row],[_LeafWork]]*Tasks[[#This Row],[_LeafProgress]]</f>
        <v>0</v>
      </c>
      <c r="GQ132" s="91" t="str">
        <f aca="false">IF(AND(Tasks[[#This Row],[_IsLeaf]]=1,Tasks[[#This Row],[_LeafProgress]]&gt;=1),IF(N(Tasks[[#This Row],[Actual Finish]])&gt;0,Tasks[[#This Row],[Actual Finish]],Tasks[[#This Row],[_ShownFcstFinish]]),"")</f>
        <v/>
      </c>
      <c r="GR132" s="43" t="n">
        <f aca="false">IF(Tasks[[#This Row],[_IsLeaf]]=1,N(Tasks[[#This Row],[Story Points]]),0)</f>
        <v>0</v>
      </c>
      <c r="GS132" s="43" t="str">
        <f aca="false">""</f>
        <v/>
      </c>
      <c r="GT132" s="90" t="b">
        <f aca="false">IF(Tasks[[#This Row],[Task Name]]="",FALSE(),AND(Tasks[[#This Row],[_IsLeaf]]=1,N(Tasks[[#This Row],[_Days]])=0))</f>
        <v>0</v>
      </c>
      <c r="GU132" s="91" t="n">
        <f aca="false">IF(Tasks[[#This Row],[Task Name]]="",0,IF(AND(Tasks[[#This Row],[_IsLeaf]]=1,NOT(Tasks[[#This Row],[_IsMilestone]]),N(Tasks[[#This Row],[Progress]])&gt;0),Tasks[[#This Row],[Start]],0))</f>
        <v>0</v>
      </c>
      <c r="GV132" s="91" t="n">
        <f aca="false">IF(Tasks[[#This Row],[_DoneFrom]]=0,0,IF(Tasks[[#This Row],[Progress]]&gt;=1,Tasks[[#This Row],[Finish]],MAX(Tasks[[#This Row],[_DoneFrom]],Tasks[[#This Row],[Start]]+ROUND((Tasks[[#This Row],[Finish]]-Tasks[[#This Row],[Start]]+1)*Tasks[[#This Row],[Progress]],0)-1)))</f>
        <v>0</v>
      </c>
      <c r="GW132" s="91" t="n">
        <f aca="false">IF(Tasks[[#This Row],[Task Name]]="",0,IF(OR(NOT(Tasks[[#This Row],[_IsLeaf]]=1),Tasks[[#This Row],[_IsMilestone]],N(Tasks[[#This Row],[Progress]])&gt;=1),0,IF(Tasks[[#This Row],[_DoneTo]]&gt;0,Tasks[[#This Row],[_DoneTo]]+1,Tasks[[#This Row],[Start]])))</f>
        <v>0</v>
      </c>
      <c r="GX132" s="91" t="n">
        <f aca="false">IF(Tasks[[#This Row],[_RemFrom]]=0,0,Tasks[[#This Row],[Finish]])</f>
        <v>0</v>
      </c>
      <c r="GY132" s="90" t="b">
        <f aca="false">IF(Tasks[[#This Row],[Task Name]]="",FALSE(),OR(NOT(BaselineSet),N(Tasks[[#This Row],[Baseline Start]])&gt;0))</f>
        <v>0</v>
      </c>
      <c r="GZ13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2" s="92" t="str">
        <f aca="false">IF(Tasks[[#This Row],[_IsLeaf]]=1,Tasks[[#This Row],[_Row]],"")</f>
        <v/>
      </c>
      <c r="HD132" s="92" t="str">
        <f aca="false">IFERROR(INDEX(Tasks[UID],SMALL(Tasks[_PickKey],Tasks[[#This Row],[_Row]]))&amp;" "&amp;INDEX(Tasks[Task Name],SMALL(Tasks[_PickKey],Tasks[[#This Row],[_Row]])),"")</f>
        <v/>
      </c>
      <c r="HE132" s="43" t="str">
        <f aca="false">IF(Tasks[[#This Row],[Task Name]]="","",IF(Tasks[[#This Row],[_IsSummary]],NETWORKDAYS.INTL(Tasks[[#This Row],[Start]],Tasks[[#This Row],[Finish]],WorkWeek,Holidays),N(Tasks[[#This Row],[_Days]])))</f>
        <v/>
      </c>
      <c r="HF132" s="43" t="n">
        <f aca="false">IF(Tasks[[#This Row],[Expected]]="",0,((Tasks[[#This Row],[Pessimistic]]-Tasks[[#This Row],[Optimistic]])/6)^2)</f>
        <v>0</v>
      </c>
      <c r="HG132" s="43" t="n">
        <f aca="false">IF(Tasks[[#This Row],[Expected]]="",0,Tasks[[#This Row],[Expected]]-N(Tasks[[#This Row],[_Days]]))</f>
        <v>0</v>
      </c>
    </row>
    <row r="133" customFormat="false" ht="15" hidden="false" customHeight="false" outlineLevel="0" collapsed="false">
      <c r="A133" s="21" t="str">
        <f aca="false">IF(Tasks[[#This Row],[Task Name]]="","",COUNTA(Tasks[[#Headers],[Task Name]]:Tasks[[#This Row],[Task Name]])-1)</f>
        <v/>
      </c>
      <c r="B133" s="22" t="n">
        <v>141</v>
      </c>
      <c r="C133" s="22"/>
      <c r="D133" s="23"/>
      <c r="E133" s="22"/>
      <c r="F133" s="23"/>
      <c r="G133" s="22"/>
      <c r="H133" s="22"/>
      <c r="I133" s="23"/>
      <c r="J133" s="22"/>
      <c r="K133" s="22"/>
      <c r="L133" s="23"/>
      <c r="M133" s="22"/>
      <c r="N133" s="22"/>
      <c r="O133" s="23"/>
      <c r="P133" s="22"/>
      <c r="Q133" s="22"/>
      <c r="R133" s="23"/>
      <c r="S133" s="23"/>
      <c r="T133" s="84"/>
      <c r="U133" s="23"/>
      <c r="V133" s="84"/>
      <c r="W133" s="23"/>
      <c r="X133" s="84"/>
      <c r="Y133" s="23"/>
      <c r="Z133" s="84"/>
      <c r="AA133" s="23"/>
      <c r="AB133" s="23"/>
      <c r="AC133" s="7"/>
      <c r="AD133" s="7"/>
      <c r="AE133" s="63" t="str">
        <f aca="false">IF(Tasks[[#This Row],[Task Name]]="","",IF(Tasks[[#This Row],[_IsSummary]],MIN(INDEX(Tasks[_ShownFcstStart],Tasks[[#This Row],[_Row]]+1):INDEX(Tasks[_ShownFcstStart],Tasks[[#This Row],[_Row]]+Tasks[[#This Row],[_Descendants]])),Tasks[[#This Row],[_ShownFcstStart]]))</f>
        <v/>
      </c>
      <c r="AF133" s="63" t="str">
        <f aca="false">IF(Tasks[[#This Row],[Task Name]]="","",IF(Tasks[[#This Row],[_IsSummary]],MAX(INDEX(Tasks[_ShownFcstFinish],Tasks[[#This Row],[_Row]]+1):INDEX(Tasks[_ShownFcstFinish],Tasks[[#This Row],[_Row]]+Tasks[[#This Row],[_Descendants]])),Tasks[[#This Row],[_ShownFcstFinish]]))</f>
        <v/>
      </c>
      <c r="AG133" s="21" t="str">
        <f aca="false">""</f>
        <v/>
      </c>
      <c r="AH133" s="23"/>
      <c r="AI1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3" s="7"/>
      <c r="AK133" s="22"/>
      <c r="AL133" s="23"/>
      <c r="AM133" s="7"/>
      <c r="AN133" s="47" t="str">
        <f aca="false">IF(Tasks[[#This Row],[Task Name]]="","",IF(Tasks[[#This Row],[Finish]]&gt;=Tasks[[#This Row],[Planned Finish]],NETWORKDAYS.INTL(Tasks[[#This Row],[Planned Finish]],Tasks[[#This Row],[Finish]],WorkWeek,Holidays)-1,1-NETWORKDAYS.INTL(Tasks[[#This Row],[Finish]],Tasks[[#This Row],[Planned Finish]],WorkWeek,Holidays)))</f>
        <v/>
      </c>
      <c r="AO133" s="21" t="str">
        <f aca="false">IF(Tasks[[#This Row],[Task Name]]="","",IF(Tasks[[#This Row],[Progress]]&gt;=1,"Complete",IF(OR(N(Tasks[[#This Row],[Actual Start]])&gt;0,Tasks[[#This Row],[Progress]]&gt;0),IF(Tasks[[#This Row],[Finish Var]]&gt;0,"Behind","In Progress"),IF(Tasks[[#This Row],[Planned Start]]&lt;StatusDate,"Late Start","Not Started"))))</f>
        <v/>
      </c>
      <c r="AP133" s="21" t="str">
        <f aca="false">IF(Tasks[[#This Row],[Task Name]]="","",IF(IF(Tasks[[#This Row],[_IsSummary]],COUNTIF(INDEX(Tasks[_LeafCritical],Tasks[[#This Row],[_Row]]+1):INDEX(Tasks[_LeafCritical],Tasks[[#This Row],[_Row]]+Tasks[[#This Row],[_Descendants]]),TRUE())&gt;0,Tasks[[#This Row],[_LeafCritical]]),"Yes",""))</f>
        <v/>
      </c>
      <c r="AQ133" s="63" t="str">
        <f aca="false">IF(Tasks[[#This Row],[Task Name]]="","",IF(N(Tasks[[#This Row],[Baseline Start]])&gt;0,Tasks[[#This Row],[Baseline Start]],Tasks[[#This Row],[_CalcStart]]))</f>
        <v/>
      </c>
      <c r="AR133" s="63" t="str">
        <f aca="false">IF(Tasks[[#This Row],[Task Name]]="","",IF(N(Tasks[[#This Row],[Baseline Finish]])&gt;0,Tasks[[#This Row],[Baseline Finish]],Tasks[[#This Row],[_CalcFinish]]))</f>
        <v/>
      </c>
      <c r="AS133" s="47" t="str">
        <f aca="false">IF(Tasks[[#This Row],[Task Name]]="","",IF(Tasks[[#This Row],[Start]]&gt;=Tasks[[#This Row],[Planned Start]],NETWORKDAYS.INTL(Tasks[[#This Row],[Planned Start]],Tasks[[#This Row],[Start]],WorkWeek,Holidays)-1,1-NETWORKDAYS.INTL(Tasks[[#This Row],[Start]],Tasks[[#This Row],[Planned Start]],WorkWeek,Holidays)))</f>
        <v/>
      </c>
      <c r="AT133" s="63" t="str">
        <f aca="false">IF(Tasks[[#This Row],[Task Name]]="","",IF(Tasks[[#This Row],[_IsSummary]],MIN(INDEX(Tasks[_LeafLateStart],Tasks[[#This Row],[_Row]]+1):INDEX(Tasks[_LeafLateStart],Tasks[[#This Row],[_Row]]+Tasks[[#This Row],[_Descendants]])),Tasks[[#This Row],[_LeafLateStart]]))</f>
        <v/>
      </c>
      <c r="AU133" s="63" t="str">
        <f aca="false">IF(Tasks[[#This Row],[Task Name]]="","",IF(Tasks[[#This Row],[_IsSummary]],MAX(INDEX(Tasks[_LeafLateFinish],Tasks[[#This Row],[_Row]]+1):INDEX(Tasks[_LeafLateFinish],Tasks[[#This Row],[_Row]]+Tasks[[#This Row],[_Descendants]])),Tasks[[#This Row],[_LeafLateFinish]]))</f>
        <v/>
      </c>
      <c r="AV133" s="47" t="str">
        <f aca="false">IF(Tasks[[#This Row],[Task Name]]="","",IF(Tasks[[#This Row],[_IsSummary]],MIN(INDEX(Tasks[_LeafTotalSlack],Tasks[[#This Row],[_Row]]+1):INDEX(Tasks[_LeafTotalSlack],Tasks[[#This Row],[_Row]]+Tasks[[#This Row],[_Descendants]])),Tasks[[#This Row],[_LeafTotalSlack]]))</f>
        <v/>
      </c>
      <c r="AW1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5"/>
      <c r="BA13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1" t="str">
        <f aca="false">IF(Tasks[[#This Row],[Task Name]]="","",IF(Tasks[[#This Row],[_Level]]&lt;=OutlineShowLevel,"Yes","No"))</f>
        <v/>
      </c>
      <c r="BE133" s="86" t="str">
        <f aca="false">IF(Tasks[[#This Row],[Task Name]]="","",IF(Tasks[[#This Row],[_IsSummary]],SUM(INDEX(Tasks[_LeafTotalWork],Tasks[[#This Row],[_Row]]+1):INDEX(Tasks[_LeafTotalWork],Tasks[[#This Row],[_Row]]+Tasks[[#This Row],[_Descendants]])),Tasks[[#This Row],[_LeafTotalWork]]))</f>
        <v/>
      </c>
      <c r="BF133" s="23"/>
      <c r="BG1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3" s="21" t="str">
        <f aca="false">""</f>
        <v/>
      </c>
      <c r="BI133" s="87"/>
      <c r="BJ133" s="22"/>
      <c r="BK133" s="47" t="str">
        <f aca="false">IF(OR(Tasks[[#This Row],[Task Name]]="",Tasks[[#This Row],[Baseline Duration]]=""),"",Tasks[[#This Row],[_SpanDays]]-N(Tasks[[#This Row],[Baseline Duration]]))</f>
        <v/>
      </c>
      <c r="BL133" s="86" t="str">
        <f aca="false">IF(OR(Tasks[[#This Row],[Task Name]]="",Tasks[[#This Row],[Baseline Work]]=""),"",Tasks[[#This Row],[Work]]-N(Tasks[[#This Row],[Baseline Work]]))</f>
        <v/>
      </c>
      <c r="BM133" s="63" t="str">
        <f aca="false">IF(Tasks[[#This Row],[Task Name]]="","",IF(OR(TakeBaseline="Yes",N(Tasks[[#This Row],[Baseline Start]])=0),Tasks[[#This Row],[Start]],Tasks[[#This Row],[Baseline Start]]))</f>
        <v/>
      </c>
      <c r="BN133" s="63" t="str">
        <f aca="false">IF(Tasks[[#This Row],[Task Name]]="","",IF(OR(TakeBaseline="Yes",N(Tasks[[#This Row],[Baseline Finish]])=0),Tasks[[#This Row],[Finish]],Tasks[[#This Row],[Baseline Finish]]))</f>
        <v/>
      </c>
      <c r="BO133" s="21" t="str">
        <f aca="false">IF(Tasks[[#This Row],[Task Name]]="","",IF(OR(TakeBaseline="Yes",N(Tasks[[#This Row],[Baseline Duration]])=0),Tasks[[#This Row],[_SpanDays]],Tasks[[#This Row],[Baseline Duration]]))</f>
        <v/>
      </c>
      <c r="BP133" s="86" t="str">
        <f aca="false">IF(Tasks[[#This Row],[Task Name]]="","",IF(OR(TakeBaseline="Yes",N(Tasks[[#This Row],[Baseline Work]])=0),Tasks[[#This Row],[Work]],Tasks[[#This Row],[Baseline Work]]))</f>
        <v/>
      </c>
      <c r="BQ133" s="7"/>
      <c r="BR133" s="7"/>
      <c r="BS133" s="22"/>
      <c r="BT133" s="88"/>
      <c r="BU133" s="23"/>
      <c r="BV133" s="23"/>
      <c r="BW133" s="23"/>
      <c r="BX133" s="89" t="str">
        <f aca="false">IF(AND(Tasks[[#This Row],[_IsLeaf]]=1,ISNUMBER(Tasks[[#This Row],[Optimistic]]),ISNUMBER(Tasks[[#This Row],[Pessimistic]])),ROUND((Tasks[[#This Row],[Optimistic]]+4*N(Tasks[[#This Row],[_Days]])+Tasks[[#This Row],[Pessimistic]])/6,1),"")</f>
        <v/>
      </c>
      <c r="BY133" s="87"/>
      <c r="BZ133" s="87"/>
      <c r="CA133" s="22"/>
      <c r="CB133" s="43" t="str">
        <f aca="false">IF(Tasks[[#This Row],[Task Name]]="","",MAX(1,N(Tasks[[#This Row],[Level]])))</f>
        <v/>
      </c>
      <c r="CC133" s="43" t="n">
        <f aca="false">ROW()-ROW(Tasks[[#Headers],[ID]])</f>
        <v>128</v>
      </c>
      <c r="CD133" s="43" t="n">
        <f aca="false">IF(OR(Tasks[[#This Row],[Task Name]]="",Tasks[[#This Row],[_Level]]&lt;=1),0,IFERROR(LOOKUP(2,1/(Tasks[[#Headers],[_Level]]:Tasks[[#This Row],[_Level]]=Tasks[[#This Row],[_Level]]-1),ROW(Tasks[[#Headers],[_Level]]:Tasks[[#This Row],[_Level]])),0))</f>
        <v>0</v>
      </c>
      <c r="CE133" s="43" t="n">
        <f aca="false">IFERROR(N(INDEX(Tasks[_Level],Tasks[[#This Row],[_Row]]+1)),0)</f>
        <v>0</v>
      </c>
      <c r="CF133" s="90" t="b">
        <f aca="false">AND(Tasks[[#This Row],[Task Name]]&lt;&gt;"",Tasks[[#This Row],[_NextLevel]]&gt;Tasks[[#This Row],[_Level]])</f>
        <v>0</v>
      </c>
      <c r="CG133" s="43" t="n">
        <f aca="false">IF(Tasks[[#This Row],[_IsSummary]],COUNTIF(Tasks[WBS],Tasks[[#This Row],[WBS]]&amp;".*"),0)</f>
        <v>0</v>
      </c>
      <c r="CH133" s="43" t="n">
        <f aca="false">IF(AND(Tasks[[#This Row],[Task Name]]&lt;&gt;"",NOT(Tasks[[#This Row],[_IsSummary]])),1,0)</f>
        <v>0</v>
      </c>
      <c r="CI133" s="43" t="n">
        <f aca="false">IF(N(Tasks[[#This Row],[_Pred1UID]])=0,0,IFERROR(MATCH(Tasks[[#This Row],[_Pred1UID]],Tasks[UID],0),-1))</f>
        <v>0</v>
      </c>
      <c r="CJ133" s="43" t="n">
        <f aca="false">IF(N(Tasks[[#This Row],[_Pred2UID]])=0,0,IFERROR(MATCH(Tasks[[#This Row],[_Pred2UID]],Tasks[UID],0),-1))</f>
        <v>0</v>
      </c>
      <c r="CK133" s="43" t="n">
        <f aca="false">IF(N(Tasks[[#This Row],[_Pred3UID]])=0,0,IFERROR(MATCH(Tasks[[#This Row],[_Pred3UID]],Tasks[UID],0),-1))</f>
        <v>0</v>
      </c>
      <c r="CL133" s="43" t="n">
        <f aca="false">IF(N(Tasks[[#This Row],[_Pred4UID]])=0,0,IFERROR(MATCH(Tasks[[#This Row],[_Pred4UID]],Tasks[UID],0),-1))</f>
        <v>0</v>
      </c>
      <c r="CM13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3" s="91" t="n">
        <f aca="false">IF(OR(Tasks[[#This Row],[_ConstraintCode]]=2,Tasks[[#This Row],[_ConstraintCode]]=3,Tasks[[#This Row],[_ConstraintCode]]=4,Tasks[[#This Row],[_ConstraintCode]]=6),Tasks[[#This Row],[_ConstraintStart]],0)</f>
        <v>0</v>
      </c>
      <c r="CP133" s="91" t="n">
        <f aca="false">IF(OR(Tasks[[#This Row],[_ConstraintCode]]=2,Tasks[[#This Row],[_ConstraintCode]]=3,Tasks[[#This Row],[_ConstraintCode]]=5,Tasks[[#This Row],[_ConstraintCode]]=7),Tasks[[#This Row],[_ConstraintStart]],2958465)</f>
        <v>2958465</v>
      </c>
      <c r="CQ13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3" s="91" t="str">
        <f aca="false">IF(NOT(Tasks[[#This Row],[_IsLeaf]]=1),"",IF(N(Tasks[[#This Row],[_Days]])&lt;=0,Tasks[[#This Row],[_LeafCalcStart]],WORKDAY.INTL(Tasks[[#This Row],[_LeafCalcStart]],Tasks[[#This Row],[_Days]]-1,WorkWeek,Holidays)))</f>
        <v/>
      </c>
      <c r="CS13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3" s="43" t="str">
        <f aca="false">IF(Tasks[[#This Row],[_Predecessors]]="","",TRIM(MID(SUBSTITUTE(SUBSTITUTE(SUBSTITUTE(UPPER(Tasks[[#This Row],[_Predecessors]]),";",",")," ",""),",",REPT(" ",99)),1,99)))</f>
        <v/>
      </c>
      <c r="CV133" s="43" t="str">
        <f aca="false">IF(Tasks[[#This Row],[_Pred1Text]]="","",IFERROR(VALUE(LEFT(Tasks[[#This Row],[_Pred1Text]],MIN(FIND("F",Tasks[[#This Row],[_Pred1Text]]&amp;"F"),FIND("S",Tasks[[#This Row],[_Pred1Text]]&amp;"S"),FIND("+",Tasks[[#This Row],[_Pred1Text]]&amp;"+"),FIND("-",Tasks[[#This Row],[_Pred1Text]]&amp;"-"))-1)),""))</f>
        <v/>
      </c>
      <c r="CW13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3" s="43" t="str">
        <f aca="false">IF(Tasks[[#This Row],[_Pred1Text]]="","",TRIM(MID(SUBSTITUTE(SUBSTITUTE(SUBSTITUTE(UPPER(Tasks[[#This Row],[_Predecessors]]),";",",")," ",""),",",REPT(" ",99)),100,99)))</f>
        <v/>
      </c>
      <c r="CZ133" s="43" t="str">
        <f aca="false">IF(Tasks[[#This Row],[_Pred2Text]]="","",IFERROR(VALUE(LEFT(Tasks[[#This Row],[_Pred2Text]],MIN(FIND("F",Tasks[[#This Row],[_Pred2Text]]&amp;"F"),FIND("S",Tasks[[#This Row],[_Pred2Text]]&amp;"S"),FIND("+",Tasks[[#This Row],[_Pred2Text]]&amp;"+"),FIND("-",Tasks[[#This Row],[_Pred2Text]]&amp;"-"))-1)),""))</f>
        <v/>
      </c>
      <c r="DA13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3" s="43" t="str">
        <f aca="false">IF(Tasks[[#This Row],[_Pred2Text]]="","",TRIM(MID(SUBSTITUTE(SUBSTITUTE(SUBSTITUTE(UPPER(Tasks[[#This Row],[_Predecessors]]),";",",")," ",""),",",REPT(" ",99)),199,99)))</f>
        <v/>
      </c>
      <c r="DD133" s="43" t="str">
        <f aca="false">IF(Tasks[[#This Row],[_Pred3Text]]="","",IFERROR(VALUE(LEFT(Tasks[[#This Row],[_Pred3Text]],MIN(FIND("F",Tasks[[#This Row],[_Pred3Text]]&amp;"F"),FIND("S",Tasks[[#This Row],[_Pred3Text]]&amp;"S"),FIND("+",Tasks[[#This Row],[_Pred3Text]]&amp;"+"),FIND("-",Tasks[[#This Row],[_Pred3Text]]&amp;"-"))-1)),""))</f>
        <v/>
      </c>
      <c r="DE13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3" s="43" t="str">
        <f aca="false">IF(Tasks[[#This Row],[_Pred3Text]]="","",TRIM(MID(SUBSTITUTE(SUBSTITUTE(SUBSTITUTE(UPPER(Tasks[[#This Row],[_Predecessors]]),";",",")," ",""),",",REPT(" ",99)),298,99)))</f>
        <v/>
      </c>
      <c r="DH133" s="43" t="str">
        <f aca="false">IF(Tasks[[#This Row],[_Pred4Text]]="","",IFERROR(VALUE(LEFT(Tasks[[#This Row],[_Pred4Text]],MIN(FIND("F",Tasks[[#This Row],[_Pred4Text]]&amp;"F"),FIND("S",Tasks[[#This Row],[_Pred4Text]]&amp;"S"),FIND("+",Tasks[[#This Row],[_Pred4Text]]&amp;"+"),FIND("-",Tasks[[#This Row],[_Pred4Text]]&amp;"-"))-1)),""))</f>
        <v/>
      </c>
      <c r="DI13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3" s="43" t="str">
        <f aca="false">IF(OR(Tasks[[#This Row],[Task Name]]="",Tasks[[#This Row],[_Resources]]=""),"",TRIM(MID(SUBSTITUTE(Tasks[[#This Row],[_Resources]],",",REPT(" ",99)),1,99)))</f>
        <v/>
      </c>
      <c r="DL133" s="43" t="str">
        <f aca="false">IF(Tasks[[#This Row],[_Res1Text]]="","",TRIM(MID(SUBSTITUTE(Tasks[[#This Row],[_Resources]],",",REPT(" ",99)),100,99)))</f>
        <v/>
      </c>
      <c r="DM133" s="43" t="str">
        <f aca="false">IF(Tasks[[#This Row],[_Res2Text]]="","",TRIM(MID(SUBSTITUTE(Tasks[[#This Row],[_Resources]],",",REPT(" ",99)),199,99)))</f>
        <v/>
      </c>
      <c r="DN133" s="43" t="str">
        <f aca="false">IF(Tasks[[#This Row],[_Res3Text]]="","",TRIM(MID(SUBSTITUTE(Tasks[[#This Row],[_Resources]],",",REPT(" ",99)),298,99)))</f>
        <v/>
      </c>
      <c r="DO133" s="43" t="n">
        <f aca="false">IF(Tasks[[#This Row],[_Res1Text]]="",0,IFERROR(MATCH(TRIM(LEFT(Tasks[[#This Row],[_Res1Text]],FIND("[",Tasks[[#This Row],[_Res1Text]]&amp;"[")-1)),res_Name,0),IFERROR(MATCH(TRIM(LEFT(Tasks[[#This Row],[_Res1Text]],FIND("[",Tasks[[#This Row],[_Res1Text]]&amp;"[")-1)),res_Initials,0),0)))</f>
        <v>0</v>
      </c>
      <c r="DP133" s="43" t="n">
        <f aca="false">IF(Tasks[[#This Row],[_Res2Text]]="",0,IFERROR(MATCH(TRIM(LEFT(Tasks[[#This Row],[_Res2Text]],FIND("[",Tasks[[#This Row],[_Res2Text]]&amp;"[")-1)),res_Name,0),IFERROR(MATCH(TRIM(LEFT(Tasks[[#This Row],[_Res2Text]],FIND("[",Tasks[[#This Row],[_Res2Text]]&amp;"[")-1)),res_Initials,0),0)))</f>
        <v>0</v>
      </c>
      <c r="DQ133" s="43" t="n">
        <f aca="false">IF(Tasks[[#This Row],[_Res3Text]]="",0,IFERROR(MATCH(TRIM(LEFT(Tasks[[#This Row],[_Res3Text]],FIND("[",Tasks[[#This Row],[_Res3Text]]&amp;"[")-1)),res_Name,0),IFERROR(MATCH(TRIM(LEFT(Tasks[[#This Row],[_Res3Text]],FIND("[",Tasks[[#This Row],[_Res3Text]]&amp;"[")-1)),res_Initials,0),0)))</f>
        <v>0</v>
      </c>
      <c r="DR133" s="43" t="n">
        <f aca="false">IF(Tasks[[#This Row],[_Res4Text]]="",0,IFERROR(MATCH(TRIM(LEFT(Tasks[[#This Row],[_Res4Text]],FIND("[",Tasks[[#This Row],[_Res4Text]]&amp;"[")-1)),res_Name,0),IFERROR(MATCH(TRIM(LEFT(Tasks[[#This Row],[_Res4Text]],FIND("[",Tasks[[#This Row],[_Res4Text]]&amp;"[")-1)),res_Initials,0),0)))</f>
        <v>0</v>
      </c>
      <c r="DS133" s="43" t="str">
        <f aca="false">IF(Tasks[[#This Row],[_Res1Text]]="","",IF(Tasks[[#This Row],[_Res1Row]]&gt;0,INDEX(res_Name,Tasks[[#This Row],[_Res1Row]]),TRIM(LEFT(Tasks[[#This Row],[_Res1Text]],FIND("[",Tasks[[#This Row],[_Res1Text]]&amp;"[")-1))))</f>
        <v/>
      </c>
      <c r="DT13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3" s="43" t="n">
        <f aca="false">IF(NOT(Tasks[[#This Row],[_IsLeaf]]=1),0,(Tasks[[#This Row],[_Resource1]]&lt;&gt;"")+(Tasks[[#This Row],[_Res2]]&lt;&gt;"")+(Tasks[[#This Row],[_Res3]]&lt;&gt;"")+(Tasks[[#This Row],[_Res4]]&lt;&gt;""))</f>
        <v>0</v>
      </c>
      <c r="DV133" s="43" t="str">
        <f aca="false">IF(Tasks[[#This Row],[_Res2Text]]="","",IF(Tasks[[#This Row],[_Res2Row]]&gt;0,INDEX(res_Name,Tasks[[#This Row],[_Res2Row]]),TRIM(LEFT(Tasks[[#This Row],[_Res2Text]],FIND("[",Tasks[[#This Row],[_Res2Text]]&amp;"[")-1))))</f>
        <v/>
      </c>
      <c r="DW13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3" s="43" t="n">
        <f aca="false">IF(OR(NOT(Tasks[[#This Row],[_IsLeaf]]=1),Tasks[[#This Row],[_Res2Row]]=0),0,N(Tasks[[#This Row],[_Days]])*HoursPerDay*IF(Tasks[[#This Row],[_Res2Units]]="",DefaultUnits,Tasks[[#This Row],[_Res2Units]]))</f>
        <v>0</v>
      </c>
      <c r="DY133" s="43" t="n">
        <f aca="false">IF(AND(AND(Tasks[[#This Row],[_IsLeaf]]=1,Tasks[[#This Row],[_LeafTotalWork]]&gt;0),Tasks[[#This Row],[_Res2Work]]&gt;0),Tasks[[#This Row],[_Res2Work]]/(Tasks[[#This Row],[_FinishWorkday]]-Tasks[[#This Row],[_StartWorkday]]+1),0)</f>
        <v>0</v>
      </c>
      <c r="DZ133" s="43" t="n">
        <f aca="false">Tasks[[#This Row],[_Res2WorkPerWD]]*MAX(0,Tasks[[#This Row],[_StartWorkday]]-1)</f>
        <v>0</v>
      </c>
      <c r="EA133" s="43" t="n">
        <f aca="false">Tasks[[#This Row],[_Res2Work]]*Tasks[[#This Row],[_LeafProgress]]</f>
        <v>0</v>
      </c>
      <c r="EB133" s="43" t="str">
        <f aca="false">IF(Tasks[[#This Row],[_Res3Text]]="","",IF(Tasks[[#This Row],[_Res3Row]]&gt;0,INDEX(res_Name,Tasks[[#This Row],[_Res3Row]]),TRIM(LEFT(Tasks[[#This Row],[_Res3Text]],FIND("[",Tasks[[#This Row],[_Res3Text]]&amp;"[")-1))))</f>
        <v/>
      </c>
      <c r="EC13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3" s="43" t="n">
        <f aca="false">IF(OR(NOT(Tasks[[#This Row],[_IsLeaf]]=1),Tasks[[#This Row],[_Res3Row]]=0),0,N(Tasks[[#This Row],[_Days]])*HoursPerDay*IF(Tasks[[#This Row],[_Res3Units]]="",DefaultUnits,Tasks[[#This Row],[_Res3Units]]))</f>
        <v>0</v>
      </c>
      <c r="EE133" s="43" t="n">
        <f aca="false">IF(AND(AND(Tasks[[#This Row],[_IsLeaf]]=1,Tasks[[#This Row],[_LeafTotalWork]]&gt;0),Tasks[[#This Row],[_Res3Work]]&gt;0),Tasks[[#This Row],[_Res3Work]]/(Tasks[[#This Row],[_FinishWorkday]]-Tasks[[#This Row],[_StartWorkday]]+1),0)</f>
        <v>0</v>
      </c>
      <c r="EF133" s="43" t="n">
        <f aca="false">Tasks[[#This Row],[_Res3WorkPerWD]]*MAX(0,Tasks[[#This Row],[_StartWorkday]]-1)</f>
        <v>0</v>
      </c>
      <c r="EG133" s="43" t="n">
        <f aca="false">Tasks[[#This Row],[_Res3Work]]*Tasks[[#This Row],[_LeafProgress]]</f>
        <v>0</v>
      </c>
      <c r="EH133" s="43" t="str">
        <f aca="false">IF(Tasks[[#This Row],[_Res4Text]]="","",IF(Tasks[[#This Row],[_Res4Row]]&gt;0,INDEX(res_Name,Tasks[[#This Row],[_Res4Row]]),TRIM(LEFT(Tasks[[#This Row],[_Res4Text]],FIND("[",Tasks[[#This Row],[_Res4Text]]&amp;"[")-1))))</f>
        <v/>
      </c>
      <c r="EI13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3" s="43" t="n">
        <f aca="false">IF(OR(NOT(Tasks[[#This Row],[_IsLeaf]]=1),Tasks[[#This Row],[_Res4Row]]=0),0,N(Tasks[[#This Row],[_Days]])*HoursPerDay*IF(Tasks[[#This Row],[_Res4Units]]="",DefaultUnits,Tasks[[#This Row],[_Res4Units]]))</f>
        <v>0</v>
      </c>
      <c r="EK133" s="43" t="n">
        <f aca="false">IF(AND(AND(Tasks[[#This Row],[_IsLeaf]]=1,Tasks[[#This Row],[_LeafTotalWork]]&gt;0),Tasks[[#This Row],[_Res4Work]]&gt;0),Tasks[[#This Row],[_Res4Work]]/(Tasks[[#This Row],[_FinishWorkday]]-Tasks[[#This Row],[_StartWorkday]]+1),0)</f>
        <v>0</v>
      </c>
      <c r="EL133" s="43" t="n">
        <f aca="false">Tasks[[#This Row],[_Res4WorkPerWD]]*MAX(0,Tasks[[#This Row],[_StartWorkday]]-1)</f>
        <v>0</v>
      </c>
      <c r="EM133" s="43" t="n">
        <f aca="false">Tasks[[#This Row],[_Res4Work]]*Tasks[[#This Row],[_LeafProgress]]</f>
        <v>0</v>
      </c>
      <c r="EN133" s="43" t="n">
        <f aca="false">IF(ISNUMBER(Tasks[[#This Row],[% Complete]]),Tasks[[#This Row],[% Complete]],IF(Tasks[[#This Row],[Stage]]="",0,IFERROR(INDEX(stg_Pct,MATCH(Tasks[[#This Row],[Stage]],stg_Name,0)),0)))</f>
        <v>0</v>
      </c>
      <c r="EO133" s="43" t="n">
        <f aca="false">IF(NOT(Tasks[[#This Row],[_IsLeaf]]=1),0,IF(N(Tasks[[#This Row],[Actual Finish]])&gt;0,1,MIN(1,Tasks[[#This Row],[_Pct]])))</f>
        <v>0</v>
      </c>
      <c r="EP133" s="43" t="n">
        <f aca="false">IF(OR(NOT(Tasks[[#This Row],[_IsLeaf]]=1),Tasks[[#This Row],[_Res1Row]]=0),0,N(Tasks[[#This Row],[_Days]])*HoursPerDay*IF(Tasks[[#This Row],[_Units1]]="",DefaultUnits,Tasks[[#This Row],[_Units1]]))</f>
        <v>0</v>
      </c>
      <c r="EQ133" s="43" t="n">
        <f aca="false">Tasks[[#This Row],[_LeafWork]]+Tasks[[#This Row],[_Res2Work]]+Tasks[[#This Row],[_Res3Work]]+Tasks[[#This Row],[_Res4Work]]</f>
        <v>0</v>
      </c>
      <c r="ER13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3" s="43" t="n">
        <f aca="false">IF(NOT(Tasks[[#This Row],[_IsLeaf]]=1),0,MAX(_xlfn.MAXIFS(Tasks[_Row],Tasks[_Pred1UID],Tasks[[#This Row],[UID]]),_xlfn.MAXIFS(Tasks[_Row],Tasks[_Pred2UID],Tasks[[#This Row],[UID]]),_xlfn.MAXIFS(Tasks[_Row],Tasks[_Pred3UID],Tasks[[#This Row],[UID]]),_xlfn.MAXIFS(Tasks[_Row],Tasks[_Pred4UID],Tasks[[#This Row],[UID]])))</f>
        <v>0</v>
      </c>
      <c r="FA13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3" s="91" t="str">
        <f aca="false">IF(NOT(Tasks[[#This Row],[_IsLeaf]]=1),"",IF(N(Tasks[[#This Row],[_Days]])&lt;=0,Tasks[[#This Row],[_LeafLateFinish]],WORKDAY.INTL(Tasks[[#This Row],[_LeafLateFinish]],-(Tasks[[#This Row],[_Days]]-1),WorkWeek,Holidays)))</f>
        <v/>
      </c>
      <c r="FD13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3" s="90" t="b">
        <f aca="false">AND(Tasks[[#This Row],[_IsLeaf]]=1,Tasks[[#This Row],[_LeafProgress]]&lt;1,N(Tasks[[#This Row],[_LeafTotalSlack]])&lt;=CriticalSlackDays)</f>
        <v>0</v>
      </c>
      <c r="FF133" s="43" t="n">
        <f aca="false">IF(AND(Tasks[[#This Row],[_IsLeaf]]=1,Tasks[[#This Row],[_ConstraintCode]]=1,Tasks[[#This Row],[Mode]]&lt;&gt;"Manual",N(Tasks[[#This Row],[Actual Start]])=0),MAX(0,N(Tasks[[#This Row],[Free Slack]])),0)</f>
        <v>0</v>
      </c>
      <c r="FG133" s="91" t="str">
        <f aca="false">IF(NOT(Tasks[[#This Row],[_IsLeaf]]=1),"",IF(Tasks[[#This Row],[_AlapShift]]=0,Tasks[[#This Row],[_LeafCalcStart]],WORKDAY.INTL(Tasks[[#This Row],[_LeafCalcStart]],Tasks[[#This Row],[_AlapShift]],WorkWeek,Holidays)))</f>
        <v/>
      </c>
      <c r="FH133" s="91" t="str">
        <f aca="false">IF(NOT(Tasks[[#This Row],[_IsLeaf]]=1),"",IF(Tasks[[#This Row],[_AlapShift]]=0,Tasks[[#This Row],[_LeafCalcFinish]],WORKDAY.INTL(Tasks[[#This Row],[_LeafCalcFinish]],Tasks[[#This Row],[_AlapShift]],WorkWeek,Holidays)))</f>
        <v/>
      </c>
      <c r="FI133" s="91" t="str">
        <f aca="false">IF(NOT(Tasks[[#This Row],[_IsLeaf]]=1),"",IF(Tasks[[#This Row],[_AlapShift]]=0,Tasks[[#This Row],[_LeafFcstStart]],WORKDAY.INTL(Tasks[[#This Row],[_LeafFcstStart]],Tasks[[#This Row],[_AlapShift]],WorkWeek,Holidays)))</f>
        <v/>
      </c>
      <c r="FJ133" s="91" t="str">
        <f aca="false">IF(NOT(Tasks[[#This Row],[_IsLeaf]]=1),"",IF(Tasks[[#This Row],[_AlapShift]]=0,Tasks[[#This Row],[_LeafFcstFinish]],WORKDAY.INTL(Tasks[[#This Row],[_LeafFcstFinish]],Tasks[[#This Row],[_AlapShift]],WorkWeek,Holidays)))</f>
        <v/>
      </c>
      <c r="FK133" s="91" t="str">
        <f aca="false">IF(Tasks[[#This Row],[Task Name]]="","",IF(Tasks[[#This Row],[_IsSummary]],MIN(INDEX(Tasks[_ShownCalcStart],Tasks[[#This Row],[_Row]]+1):INDEX(Tasks[_ShownCalcStart],Tasks[[#This Row],[_Row]]+Tasks[[#This Row],[_Descendants]])),Tasks[[#This Row],[_ShownCalcStart]]))</f>
        <v/>
      </c>
      <c r="FL133" s="91" t="str">
        <f aca="false">IF(Tasks[[#This Row],[Task Name]]="","",IF(Tasks[[#This Row],[_IsSummary]],MAX(INDEX(Tasks[_ShownCalcFinish],Tasks[[#This Row],[_Row]]+1):INDEX(Tasks[_ShownCalcFinish],Tasks[[#This Row],[_Row]]+Tasks[[#This Row],[_Descendants]])),Tasks[[#This Row],[_ShownCalcFinish]]))</f>
        <v/>
      </c>
      <c r="FM13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3" s="43" t="n">
        <f aca="false">IF(AND(Tasks[[#This Row],[_IsLeaf]]=1,Tasks[[#This Row],[_LeafTotalWork]]&gt;0),NETWORKDAYS.INTL(ProjectStart,Tasks[[#This Row],[_ShownFcstStart]],WorkWeek,Holidays),0)</f>
        <v>0</v>
      </c>
      <c r="FZ133" s="43" t="n">
        <f aca="false">IF(AND(Tasks[[#This Row],[_IsLeaf]]=1,Tasks[[#This Row],[_LeafTotalWork]]&gt;0),MAX(Tasks[[#This Row],[_StartWorkday]],NETWORKDAYS.INTL(ProjectStart,Tasks[[#This Row],[_ShownFcstFinish]],WorkWeek,Holidays)),0)</f>
        <v>0</v>
      </c>
      <c r="GA133" s="43" t="n">
        <f aca="false">IF(AND(Tasks[[#This Row],[_IsLeaf]]=1,Tasks[[#This Row],[_LeafTotalWork]]&gt;0),Tasks[[#This Row],[_LeafWork]]/(Tasks[[#This Row],[_FinishWorkday]]-Tasks[[#This Row],[_StartWorkday]]+1),0)</f>
        <v>0</v>
      </c>
      <c r="GB133" s="43" t="n">
        <f aca="false">Tasks[[#This Row],[_WorkPerWorkday]]*(Tasks[[#This Row],[_StartWorkday]]-1)</f>
        <v>-0</v>
      </c>
      <c r="GC133" s="43" t="n">
        <f aca="false">IF(Tasks[[#This Row],[_IsLeaf]]=1,MAX(N(Tasks[[#This Row],[_Days]]),0.1),0)</f>
        <v>0</v>
      </c>
      <c r="GD133" s="43" t="n">
        <f aca="false">Tasks[[#This Row],[_WeightDur]]*Tasks[[#This Row],[_LeafProgress]]</f>
        <v>0</v>
      </c>
      <c r="GE133" s="43" t="n">
        <f aca="false">Tasks[[#This Row],[_WeightDur]]*Tasks[[#This Row],[_PlannedPct]]</f>
        <v>0</v>
      </c>
      <c r="GF13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3" s="43" t="str">
        <f aca="false">IF(AND(Tasks[[#This Row],[_IsLeaf]]=1,N(Tasks[[#This Row],[_Days]])=0,Tasks[[#This Row],[_LeafProgress]]&lt;1),Tasks[[#This Row],[_ShownFcstFinish]]+Tasks[[#This Row],[_Row]]/100000,"")</f>
        <v/>
      </c>
      <c r="GH13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3" s="43" t="str">
        <f aca="false">IF(Tasks[[#This Row],[Task Name]]="","",LEFT(Tasks[[#This Row],[WBS]],FIND(".",Tasks[[#This Row],[WBS]]&amp;".")-1))</f>
        <v/>
      </c>
      <c r="GJ133" s="43" t="str">
        <f aca="false">IF(AND(Tasks[[#This Row],[Task Name]]&lt;&gt;"",Tasks[[#This Row],[_Level]]=1),Tasks[[#This Row],[_Row]],"")</f>
        <v/>
      </c>
      <c r="GK133" s="43" t="str">
        <f aca="false">IF(AND(Tasks[[#This Row],[_IsLeaf]]=1,N(Tasks[[#This Row],[_Days]])=0),Tasks[[#This Row],[Planned Finish]]+Tasks[[#This Row],[_Row]]/100000,"")</f>
        <v/>
      </c>
      <c r="GL133" s="43" t="str">
        <f aca="false">IF(AND(Tasks[[#This Row],[_IsLeaf]]=1,Tasks[[#This Row],[_LeafProgress]]&lt;1,OR(N(Tasks[[#This Row],[Finish Var]])&gt;0,Tasks[[#This Row],[Status]]="Late Start")),MAX(0,Tasks[[#This Row],[Finish Var]])+1-Tasks[[#This Row],[_Row]]/1000000,"")</f>
        <v/>
      </c>
      <c r="GM133" s="43" t="str">
        <f aca="false">IF(AND(Tasks[[#This Row],[_IsLeaf]]=1,N(Tasks[[#This Row],[Actual Start]])=0,Tasks[[#This Row],[_ShownFcstStart]]&gt;=StatusDate,Tasks[[#This Row],[_ShownFcstStart]]&lt;=LookaheadEnd),Tasks[[#This Row],[_ShownFcstStart]]+Tasks[[#This Row],[_Row]]/100000,"")</f>
        <v/>
      </c>
      <c r="GN133" s="43" t="str">
        <f aca="false">IF(AND(Tasks[[#This Row],[_IsLeaf]]=1,Tasks[[#This Row],[_LeafProgress]]&lt;1,Tasks[[#This Row],[_ShownFcstFinish]]&gt;=StatusDate,Tasks[[#This Row],[_ShownFcstFinish]]&lt;=LookaheadEnd),Tasks[[#This Row],[_ShownFcstFinish]]+Tasks[[#This Row],[_Row]]/100000,"")</f>
        <v/>
      </c>
      <c r="GO133" s="43" t="str">
        <f aca="false">IF(Tasks[[#This Row],[_LeafCritical]],Tasks[[#This Row],[_ShownFcstStart]]+Tasks[[#This Row],[_Row]]/100000,"")</f>
        <v/>
      </c>
      <c r="GP133" s="43" t="n">
        <f aca="false">Tasks[[#This Row],[_LeafWork]]*Tasks[[#This Row],[_LeafProgress]]</f>
        <v>0</v>
      </c>
      <c r="GQ133" s="91" t="str">
        <f aca="false">IF(AND(Tasks[[#This Row],[_IsLeaf]]=1,Tasks[[#This Row],[_LeafProgress]]&gt;=1),IF(N(Tasks[[#This Row],[Actual Finish]])&gt;0,Tasks[[#This Row],[Actual Finish]],Tasks[[#This Row],[_ShownFcstFinish]]),"")</f>
        <v/>
      </c>
      <c r="GR133" s="43" t="n">
        <f aca="false">IF(Tasks[[#This Row],[_IsLeaf]]=1,N(Tasks[[#This Row],[Story Points]]),0)</f>
        <v>0</v>
      </c>
      <c r="GS133" s="43" t="str">
        <f aca="false">""</f>
        <v/>
      </c>
      <c r="GT133" s="90" t="b">
        <f aca="false">IF(Tasks[[#This Row],[Task Name]]="",FALSE(),AND(Tasks[[#This Row],[_IsLeaf]]=1,N(Tasks[[#This Row],[_Days]])=0))</f>
        <v>0</v>
      </c>
      <c r="GU133" s="91" t="n">
        <f aca="false">IF(Tasks[[#This Row],[Task Name]]="",0,IF(AND(Tasks[[#This Row],[_IsLeaf]]=1,NOT(Tasks[[#This Row],[_IsMilestone]]),N(Tasks[[#This Row],[Progress]])&gt;0),Tasks[[#This Row],[Start]],0))</f>
        <v>0</v>
      </c>
      <c r="GV133" s="91" t="n">
        <f aca="false">IF(Tasks[[#This Row],[_DoneFrom]]=0,0,IF(Tasks[[#This Row],[Progress]]&gt;=1,Tasks[[#This Row],[Finish]],MAX(Tasks[[#This Row],[_DoneFrom]],Tasks[[#This Row],[Start]]+ROUND((Tasks[[#This Row],[Finish]]-Tasks[[#This Row],[Start]]+1)*Tasks[[#This Row],[Progress]],0)-1)))</f>
        <v>0</v>
      </c>
      <c r="GW133" s="91" t="n">
        <f aca="false">IF(Tasks[[#This Row],[Task Name]]="",0,IF(OR(NOT(Tasks[[#This Row],[_IsLeaf]]=1),Tasks[[#This Row],[_IsMilestone]],N(Tasks[[#This Row],[Progress]])&gt;=1),0,IF(Tasks[[#This Row],[_DoneTo]]&gt;0,Tasks[[#This Row],[_DoneTo]]+1,Tasks[[#This Row],[Start]])))</f>
        <v>0</v>
      </c>
      <c r="GX133" s="91" t="n">
        <f aca="false">IF(Tasks[[#This Row],[_RemFrom]]=0,0,Tasks[[#This Row],[Finish]])</f>
        <v>0</v>
      </c>
      <c r="GY133" s="90" t="b">
        <f aca="false">IF(Tasks[[#This Row],[Task Name]]="",FALSE(),OR(NOT(BaselineSet),N(Tasks[[#This Row],[Baseline Start]])&gt;0))</f>
        <v>0</v>
      </c>
      <c r="GZ13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3" s="92" t="str">
        <f aca="false">IF(Tasks[[#This Row],[_IsLeaf]]=1,Tasks[[#This Row],[_Row]],"")</f>
        <v/>
      </c>
      <c r="HD133" s="92" t="str">
        <f aca="false">IFERROR(INDEX(Tasks[UID],SMALL(Tasks[_PickKey],Tasks[[#This Row],[_Row]]))&amp;" "&amp;INDEX(Tasks[Task Name],SMALL(Tasks[_PickKey],Tasks[[#This Row],[_Row]])),"")</f>
        <v/>
      </c>
      <c r="HE133" s="43" t="str">
        <f aca="false">IF(Tasks[[#This Row],[Task Name]]="","",IF(Tasks[[#This Row],[_IsSummary]],NETWORKDAYS.INTL(Tasks[[#This Row],[Start]],Tasks[[#This Row],[Finish]],WorkWeek,Holidays),N(Tasks[[#This Row],[_Days]])))</f>
        <v/>
      </c>
      <c r="HF133" s="43" t="n">
        <f aca="false">IF(Tasks[[#This Row],[Expected]]="",0,((Tasks[[#This Row],[Pessimistic]]-Tasks[[#This Row],[Optimistic]])/6)^2)</f>
        <v>0</v>
      </c>
      <c r="HG133" s="43" t="n">
        <f aca="false">IF(Tasks[[#This Row],[Expected]]="",0,Tasks[[#This Row],[Expected]]-N(Tasks[[#This Row],[_Days]]))</f>
        <v>0</v>
      </c>
    </row>
    <row r="134" customFormat="false" ht="15" hidden="false" customHeight="false" outlineLevel="0" collapsed="false">
      <c r="A134" s="21" t="str">
        <f aca="false">IF(Tasks[[#This Row],[Task Name]]="","",COUNTA(Tasks[[#Headers],[Task Name]]:Tasks[[#This Row],[Task Name]])-1)</f>
        <v/>
      </c>
      <c r="B134" s="22" t="n">
        <v>142</v>
      </c>
      <c r="C134" s="22"/>
      <c r="D134" s="23"/>
      <c r="E134" s="22"/>
      <c r="F134" s="23"/>
      <c r="G134" s="22"/>
      <c r="H134" s="22"/>
      <c r="I134" s="23"/>
      <c r="J134" s="22"/>
      <c r="K134" s="22"/>
      <c r="L134" s="23"/>
      <c r="M134" s="22"/>
      <c r="N134" s="22"/>
      <c r="O134" s="23"/>
      <c r="P134" s="22"/>
      <c r="Q134" s="22"/>
      <c r="R134" s="23"/>
      <c r="S134" s="23"/>
      <c r="T134" s="84"/>
      <c r="U134" s="23"/>
      <c r="V134" s="84"/>
      <c r="W134" s="23"/>
      <c r="X134" s="84"/>
      <c r="Y134" s="23"/>
      <c r="Z134" s="84"/>
      <c r="AA134" s="23"/>
      <c r="AB134" s="23"/>
      <c r="AC134" s="7"/>
      <c r="AD134" s="7"/>
      <c r="AE134" s="63" t="str">
        <f aca="false">IF(Tasks[[#This Row],[Task Name]]="","",IF(Tasks[[#This Row],[_IsSummary]],MIN(INDEX(Tasks[_ShownFcstStart],Tasks[[#This Row],[_Row]]+1):INDEX(Tasks[_ShownFcstStart],Tasks[[#This Row],[_Row]]+Tasks[[#This Row],[_Descendants]])),Tasks[[#This Row],[_ShownFcstStart]]))</f>
        <v/>
      </c>
      <c r="AF134" s="63" t="str">
        <f aca="false">IF(Tasks[[#This Row],[Task Name]]="","",IF(Tasks[[#This Row],[_IsSummary]],MAX(INDEX(Tasks[_ShownFcstFinish],Tasks[[#This Row],[_Row]]+1):INDEX(Tasks[_ShownFcstFinish],Tasks[[#This Row],[_Row]]+Tasks[[#This Row],[_Descendants]])),Tasks[[#This Row],[_ShownFcstFinish]]))</f>
        <v/>
      </c>
      <c r="AG134" s="21" t="str">
        <f aca="false">""</f>
        <v/>
      </c>
      <c r="AH134" s="23"/>
      <c r="AI1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4" s="7"/>
      <c r="AK134" s="22"/>
      <c r="AL134" s="23"/>
      <c r="AM134" s="7"/>
      <c r="AN134" s="47" t="str">
        <f aca="false">IF(Tasks[[#This Row],[Task Name]]="","",IF(Tasks[[#This Row],[Finish]]&gt;=Tasks[[#This Row],[Planned Finish]],NETWORKDAYS.INTL(Tasks[[#This Row],[Planned Finish]],Tasks[[#This Row],[Finish]],WorkWeek,Holidays)-1,1-NETWORKDAYS.INTL(Tasks[[#This Row],[Finish]],Tasks[[#This Row],[Planned Finish]],WorkWeek,Holidays)))</f>
        <v/>
      </c>
      <c r="AO134" s="21" t="str">
        <f aca="false">IF(Tasks[[#This Row],[Task Name]]="","",IF(Tasks[[#This Row],[Progress]]&gt;=1,"Complete",IF(OR(N(Tasks[[#This Row],[Actual Start]])&gt;0,Tasks[[#This Row],[Progress]]&gt;0),IF(Tasks[[#This Row],[Finish Var]]&gt;0,"Behind","In Progress"),IF(Tasks[[#This Row],[Planned Start]]&lt;StatusDate,"Late Start","Not Started"))))</f>
        <v/>
      </c>
      <c r="AP134" s="21" t="str">
        <f aca="false">IF(Tasks[[#This Row],[Task Name]]="","",IF(IF(Tasks[[#This Row],[_IsSummary]],COUNTIF(INDEX(Tasks[_LeafCritical],Tasks[[#This Row],[_Row]]+1):INDEX(Tasks[_LeafCritical],Tasks[[#This Row],[_Row]]+Tasks[[#This Row],[_Descendants]]),TRUE())&gt;0,Tasks[[#This Row],[_LeafCritical]]),"Yes",""))</f>
        <v/>
      </c>
      <c r="AQ134" s="63" t="str">
        <f aca="false">IF(Tasks[[#This Row],[Task Name]]="","",IF(N(Tasks[[#This Row],[Baseline Start]])&gt;0,Tasks[[#This Row],[Baseline Start]],Tasks[[#This Row],[_CalcStart]]))</f>
        <v/>
      </c>
      <c r="AR134" s="63" t="str">
        <f aca="false">IF(Tasks[[#This Row],[Task Name]]="","",IF(N(Tasks[[#This Row],[Baseline Finish]])&gt;0,Tasks[[#This Row],[Baseline Finish]],Tasks[[#This Row],[_CalcFinish]]))</f>
        <v/>
      </c>
      <c r="AS134" s="47" t="str">
        <f aca="false">IF(Tasks[[#This Row],[Task Name]]="","",IF(Tasks[[#This Row],[Start]]&gt;=Tasks[[#This Row],[Planned Start]],NETWORKDAYS.INTL(Tasks[[#This Row],[Planned Start]],Tasks[[#This Row],[Start]],WorkWeek,Holidays)-1,1-NETWORKDAYS.INTL(Tasks[[#This Row],[Start]],Tasks[[#This Row],[Planned Start]],WorkWeek,Holidays)))</f>
        <v/>
      </c>
      <c r="AT134" s="63" t="str">
        <f aca="false">IF(Tasks[[#This Row],[Task Name]]="","",IF(Tasks[[#This Row],[_IsSummary]],MIN(INDEX(Tasks[_LeafLateStart],Tasks[[#This Row],[_Row]]+1):INDEX(Tasks[_LeafLateStart],Tasks[[#This Row],[_Row]]+Tasks[[#This Row],[_Descendants]])),Tasks[[#This Row],[_LeafLateStart]]))</f>
        <v/>
      </c>
      <c r="AU134" s="63" t="str">
        <f aca="false">IF(Tasks[[#This Row],[Task Name]]="","",IF(Tasks[[#This Row],[_IsSummary]],MAX(INDEX(Tasks[_LeafLateFinish],Tasks[[#This Row],[_Row]]+1):INDEX(Tasks[_LeafLateFinish],Tasks[[#This Row],[_Row]]+Tasks[[#This Row],[_Descendants]])),Tasks[[#This Row],[_LeafLateFinish]]))</f>
        <v/>
      </c>
      <c r="AV134" s="47" t="str">
        <f aca="false">IF(Tasks[[#This Row],[Task Name]]="","",IF(Tasks[[#This Row],[_IsSummary]],MIN(INDEX(Tasks[_LeafTotalSlack],Tasks[[#This Row],[_Row]]+1):INDEX(Tasks[_LeafTotalSlack],Tasks[[#This Row],[_Row]]+Tasks[[#This Row],[_Descendants]])),Tasks[[#This Row],[_LeafTotalSlack]]))</f>
        <v/>
      </c>
      <c r="AW1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5"/>
      <c r="BA13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1" t="str">
        <f aca="false">IF(Tasks[[#This Row],[Task Name]]="","",IF(Tasks[[#This Row],[_Level]]&lt;=OutlineShowLevel,"Yes","No"))</f>
        <v/>
      </c>
      <c r="BE134" s="86" t="str">
        <f aca="false">IF(Tasks[[#This Row],[Task Name]]="","",IF(Tasks[[#This Row],[_IsSummary]],SUM(INDEX(Tasks[_LeafTotalWork],Tasks[[#This Row],[_Row]]+1):INDEX(Tasks[_LeafTotalWork],Tasks[[#This Row],[_Row]]+Tasks[[#This Row],[_Descendants]])),Tasks[[#This Row],[_LeafTotalWork]]))</f>
        <v/>
      </c>
      <c r="BF134" s="23"/>
      <c r="BG1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4" s="21" t="str">
        <f aca="false">""</f>
        <v/>
      </c>
      <c r="BI134" s="87"/>
      <c r="BJ134" s="22"/>
      <c r="BK134" s="47" t="str">
        <f aca="false">IF(OR(Tasks[[#This Row],[Task Name]]="",Tasks[[#This Row],[Baseline Duration]]=""),"",Tasks[[#This Row],[_SpanDays]]-N(Tasks[[#This Row],[Baseline Duration]]))</f>
        <v/>
      </c>
      <c r="BL134" s="86" t="str">
        <f aca="false">IF(OR(Tasks[[#This Row],[Task Name]]="",Tasks[[#This Row],[Baseline Work]]=""),"",Tasks[[#This Row],[Work]]-N(Tasks[[#This Row],[Baseline Work]]))</f>
        <v/>
      </c>
      <c r="BM134" s="63" t="str">
        <f aca="false">IF(Tasks[[#This Row],[Task Name]]="","",IF(OR(TakeBaseline="Yes",N(Tasks[[#This Row],[Baseline Start]])=0),Tasks[[#This Row],[Start]],Tasks[[#This Row],[Baseline Start]]))</f>
        <v/>
      </c>
      <c r="BN134" s="63" t="str">
        <f aca="false">IF(Tasks[[#This Row],[Task Name]]="","",IF(OR(TakeBaseline="Yes",N(Tasks[[#This Row],[Baseline Finish]])=0),Tasks[[#This Row],[Finish]],Tasks[[#This Row],[Baseline Finish]]))</f>
        <v/>
      </c>
      <c r="BO134" s="21" t="str">
        <f aca="false">IF(Tasks[[#This Row],[Task Name]]="","",IF(OR(TakeBaseline="Yes",N(Tasks[[#This Row],[Baseline Duration]])=0),Tasks[[#This Row],[_SpanDays]],Tasks[[#This Row],[Baseline Duration]]))</f>
        <v/>
      </c>
      <c r="BP134" s="86" t="str">
        <f aca="false">IF(Tasks[[#This Row],[Task Name]]="","",IF(OR(TakeBaseline="Yes",N(Tasks[[#This Row],[Baseline Work]])=0),Tasks[[#This Row],[Work]],Tasks[[#This Row],[Baseline Work]]))</f>
        <v/>
      </c>
      <c r="BQ134" s="7"/>
      <c r="BR134" s="7"/>
      <c r="BS134" s="22"/>
      <c r="BT134" s="88"/>
      <c r="BU134" s="23"/>
      <c r="BV134" s="23"/>
      <c r="BW134" s="23"/>
      <c r="BX134" s="89" t="str">
        <f aca="false">IF(AND(Tasks[[#This Row],[_IsLeaf]]=1,ISNUMBER(Tasks[[#This Row],[Optimistic]]),ISNUMBER(Tasks[[#This Row],[Pessimistic]])),ROUND((Tasks[[#This Row],[Optimistic]]+4*N(Tasks[[#This Row],[_Days]])+Tasks[[#This Row],[Pessimistic]])/6,1),"")</f>
        <v/>
      </c>
      <c r="BY134" s="87"/>
      <c r="BZ134" s="87"/>
      <c r="CA134" s="22"/>
      <c r="CB134" s="43" t="str">
        <f aca="false">IF(Tasks[[#This Row],[Task Name]]="","",MAX(1,N(Tasks[[#This Row],[Level]])))</f>
        <v/>
      </c>
      <c r="CC134" s="43" t="n">
        <f aca="false">ROW()-ROW(Tasks[[#Headers],[ID]])</f>
        <v>129</v>
      </c>
      <c r="CD134" s="43" t="n">
        <f aca="false">IF(OR(Tasks[[#This Row],[Task Name]]="",Tasks[[#This Row],[_Level]]&lt;=1),0,IFERROR(LOOKUP(2,1/(Tasks[[#Headers],[_Level]]:Tasks[[#This Row],[_Level]]=Tasks[[#This Row],[_Level]]-1),ROW(Tasks[[#Headers],[_Level]]:Tasks[[#This Row],[_Level]])),0))</f>
        <v>0</v>
      </c>
      <c r="CE134" s="43" t="n">
        <f aca="false">IFERROR(N(INDEX(Tasks[_Level],Tasks[[#This Row],[_Row]]+1)),0)</f>
        <v>0</v>
      </c>
      <c r="CF134" s="90" t="b">
        <f aca="false">AND(Tasks[[#This Row],[Task Name]]&lt;&gt;"",Tasks[[#This Row],[_NextLevel]]&gt;Tasks[[#This Row],[_Level]])</f>
        <v>0</v>
      </c>
      <c r="CG134" s="43" t="n">
        <f aca="false">IF(Tasks[[#This Row],[_IsSummary]],COUNTIF(Tasks[WBS],Tasks[[#This Row],[WBS]]&amp;".*"),0)</f>
        <v>0</v>
      </c>
      <c r="CH134" s="43" t="n">
        <f aca="false">IF(AND(Tasks[[#This Row],[Task Name]]&lt;&gt;"",NOT(Tasks[[#This Row],[_IsSummary]])),1,0)</f>
        <v>0</v>
      </c>
      <c r="CI134" s="43" t="n">
        <f aca="false">IF(N(Tasks[[#This Row],[_Pred1UID]])=0,0,IFERROR(MATCH(Tasks[[#This Row],[_Pred1UID]],Tasks[UID],0),-1))</f>
        <v>0</v>
      </c>
      <c r="CJ134" s="43" t="n">
        <f aca="false">IF(N(Tasks[[#This Row],[_Pred2UID]])=0,0,IFERROR(MATCH(Tasks[[#This Row],[_Pred2UID]],Tasks[UID],0),-1))</f>
        <v>0</v>
      </c>
      <c r="CK134" s="43" t="n">
        <f aca="false">IF(N(Tasks[[#This Row],[_Pred3UID]])=0,0,IFERROR(MATCH(Tasks[[#This Row],[_Pred3UID]],Tasks[UID],0),-1))</f>
        <v>0</v>
      </c>
      <c r="CL134" s="43" t="n">
        <f aca="false">IF(N(Tasks[[#This Row],[_Pred4UID]])=0,0,IFERROR(MATCH(Tasks[[#This Row],[_Pred4UID]],Tasks[UID],0),-1))</f>
        <v>0</v>
      </c>
      <c r="CM13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4" s="91" t="n">
        <f aca="false">IF(OR(Tasks[[#This Row],[_ConstraintCode]]=2,Tasks[[#This Row],[_ConstraintCode]]=3,Tasks[[#This Row],[_ConstraintCode]]=4,Tasks[[#This Row],[_ConstraintCode]]=6),Tasks[[#This Row],[_ConstraintStart]],0)</f>
        <v>0</v>
      </c>
      <c r="CP134" s="91" t="n">
        <f aca="false">IF(OR(Tasks[[#This Row],[_ConstraintCode]]=2,Tasks[[#This Row],[_ConstraintCode]]=3,Tasks[[#This Row],[_ConstraintCode]]=5,Tasks[[#This Row],[_ConstraintCode]]=7),Tasks[[#This Row],[_ConstraintStart]],2958465)</f>
        <v>2958465</v>
      </c>
      <c r="CQ13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4" s="91" t="str">
        <f aca="false">IF(NOT(Tasks[[#This Row],[_IsLeaf]]=1),"",IF(N(Tasks[[#This Row],[_Days]])&lt;=0,Tasks[[#This Row],[_LeafCalcStart]],WORKDAY.INTL(Tasks[[#This Row],[_LeafCalcStart]],Tasks[[#This Row],[_Days]]-1,WorkWeek,Holidays)))</f>
        <v/>
      </c>
      <c r="CS13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4" s="43" t="str">
        <f aca="false">IF(Tasks[[#This Row],[_Predecessors]]="","",TRIM(MID(SUBSTITUTE(SUBSTITUTE(SUBSTITUTE(UPPER(Tasks[[#This Row],[_Predecessors]]),";",",")," ",""),",",REPT(" ",99)),1,99)))</f>
        <v/>
      </c>
      <c r="CV134" s="43" t="str">
        <f aca="false">IF(Tasks[[#This Row],[_Pred1Text]]="","",IFERROR(VALUE(LEFT(Tasks[[#This Row],[_Pred1Text]],MIN(FIND("F",Tasks[[#This Row],[_Pred1Text]]&amp;"F"),FIND("S",Tasks[[#This Row],[_Pred1Text]]&amp;"S"),FIND("+",Tasks[[#This Row],[_Pred1Text]]&amp;"+"),FIND("-",Tasks[[#This Row],[_Pred1Text]]&amp;"-"))-1)),""))</f>
        <v/>
      </c>
      <c r="CW13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4" s="43" t="str">
        <f aca="false">IF(Tasks[[#This Row],[_Pred1Text]]="","",TRIM(MID(SUBSTITUTE(SUBSTITUTE(SUBSTITUTE(UPPER(Tasks[[#This Row],[_Predecessors]]),";",",")," ",""),",",REPT(" ",99)),100,99)))</f>
        <v/>
      </c>
      <c r="CZ134" s="43" t="str">
        <f aca="false">IF(Tasks[[#This Row],[_Pred2Text]]="","",IFERROR(VALUE(LEFT(Tasks[[#This Row],[_Pred2Text]],MIN(FIND("F",Tasks[[#This Row],[_Pred2Text]]&amp;"F"),FIND("S",Tasks[[#This Row],[_Pred2Text]]&amp;"S"),FIND("+",Tasks[[#This Row],[_Pred2Text]]&amp;"+"),FIND("-",Tasks[[#This Row],[_Pred2Text]]&amp;"-"))-1)),""))</f>
        <v/>
      </c>
      <c r="DA13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4" s="43" t="str">
        <f aca="false">IF(Tasks[[#This Row],[_Pred2Text]]="","",TRIM(MID(SUBSTITUTE(SUBSTITUTE(SUBSTITUTE(UPPER(Tasks[[#This Row],[_Predecessors]]),";",",")," ",""),",",REPT(" ",99)),199,99)))</f>
        <v/>
      </c>
      <c r="DD134" s="43" t="str">
        <f aca="false">IF(Tasks[[#This Row],[_Pred3Text]]="","",IFERROR(VALUE(LEFT(Tasks[[#This Row],[_Pred3Text]],MIN(FIND("F",Tasks[[#This Row],[_Pred3Text]]&amp;"F"),FIND("S",Tasks[[#This Row],[_Pred3Text]]&amp;"S"),FIND("+",Tasks[[#This Row],[_Pred3Text]]&amp;"+"),FIND("-",Tasks[[#This Row],[_Pred3Text]]&amp;"-"))-1)),""))</f>
        <v/>
      </c>
      <c r="DE13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4" s="43" t="str">
        <f aca="false">IF(Tasks[[#This Row],[_Pred3Text]]="","",TRIM(MID(SUBSTITUTE(SUBSTITUTE(SUBSTITUTE(UPPER(Tasks[[#This Row],[_Predecessors]]),";",",")," ",""),",",REPT(" ",99)),298,99)))</f>
        <v/>
      </c>
      <c r="DH134" s="43" t="str">
        <f aca="false">IF(Tasks[[#This Row],[_Pred4Text]]="","",IFERROR(VALUE(LEFT(Tasks[[#This Row],[_Pred4Text]],MIN(FIND("F",Tasks[[#This Row],[_Pred4Text]]&amp;"F"),FIND("S",Tasks[[#This Row],[_Pred4Text]]&amp;"S"),FIND("+",Tasks[[#This Row],[_Pred4Text]]&amp;"+"),FIND("-",Tasks[[#This Row],[_Pred4Text]]&amp;"-"))-1)),""))</f>
        <v/>
      </c>
      <c r="DI13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4" s="43" t="str">
        <f aca="false">IF(OR(Tasks[[#This Row],[Task Name]]="",Tasks[[#This Row],[_Resources]]=""),"",TRIM(MID(SUBSTITUTE(Tasks[[#This Row],[_Resources]],",",REPT(" ",99)),1,99)))</f>
        <v/>
      </c>
      <c r="DL134" s="43" t="str">
        <f aca="false">IF(Tasks[[#This Row],[_Res1Text]]="","",TRIM(MID(SUBSTITUTE(Tasks[[#This Row],[_Resources]],",",REPT(" ",99)),100,99)))</f>
        <v/>
      </c>
      <c r="DM134" s="43" t="str">
        <f aca="false">IF(Tasks[[#This Row],[_Res2Text]]="","",TRIM(MID(SUBSTITUTE(Tasks[[#This Row],[_Resources]],",",REPT(" ",99)),199,99)))</f>
        <v/>
      </c>
      <c r="DN134" s="43" t="str">
        <f aca="false">IF(Tasks[[#This Row],[_Res3Text]]="","",TRIM(MID(SUBSTITUTE(Tasks[[#This Row],[_Resources]],",",REPT(" ",99)),298,99)))</f>
        <v/>
      </c>
      <c r="DO134" s="43" t="n">
        <f aca="false">IF(Tasks[[#This Row],[_Res1Text]]="",0,IFERROR(MATCH(TRIM(LEFT(Tasks[[#This Row],[_Res1Text]],FIND("[",Tasks[[#This Row],[_Res1Text]]&amp;"[")-1)),res_Name,0),IFERROR(MATCH(TRIM(LEFT(Tasks[[#This Row],[_Res1Text]],FIND("[",Tasks[[#This Row],[_Res1Text]]&amp;"[")-1)),res_Initials,0),0)))</f>
        <v>0</v>
      </c>
      <c r="DP134" s="43" t="n">
        <f aca="false">IF(Tasks[[#This Row],[_Res2Text]]="",0,IFERROR(MATCH(TRIM(LEFT(Tasks[[#This Row],[_Res2Text]],FIND("[",Tasks[[#This Row],[_Res2Text]]&amp;"[")-1)),res_Name,0),IFERROR(MATCH(TRIM(LEFT(Tasks[[#This Row],[_Res2Text]],FIND("[",Tasks[[#This Row],[_Res2Text]]&amp;"[")-1)),res_Initials,0),0)))</f>
        <v>0</v>
      </c>
      <c r="DQ134" s="43" t="n">
        <f aca="false">IF(Tasks[[#This Row],[_Res3Text]]="",0,IFERROR(MATCH(TRIM(LEFT(Tasks[[#This Row],[_Res3Text]],FIND("[",Tasks[[#This Row],[_Res3Text]]&amp;"[")-1)),res_Name,0),IFERROR(MATCH(TRIM(LEFT(Tasks[[#This Row],[_Res3Text]],FIND("[",Tasks[[#This Row],[_Res3Text]]&amp;"[")-1)),res_Initials,0),0)))</f>
        <v>0</v>
      </c>
      <c r="DR134" s="43" t="n">
        <f aca="false">IF(Tasks[[#This Row],[_Res4Text]]="",0,IFERROR(MATCH(TRIM(LEFT(Tasks[[#This Row],[_Res4Text]],FIND("[",Tasks[[#This Row],[_Res4Text]]&amp;"[")-1)),res_Name,0),IFERROR(MATCH(TRIM(LEFT(Tasks[[#This Row],[_Res4Text]],FIND("[",Tasks[[#This Row],[_Res4Text]]&amp;"[")-1)),res_Initials,0),0)))</f>
        <v>0</v>
      </c>
      <c r="DS134" s="43" t="str">
        <f aca="false">IF(Tasks[[#This Row],[_Res1Text]]="","",IF(Tasks[[#This Row],[_Res1Row]]&gt;0,INDEX(res_Name,Tasks[[#This Row],[_Res1Row]]),TRIM(LEFT(Tasks[[#This Row],[_Res1Text]],FIND("[",Tasks[[#This Row],[_Res1Text]]&amp;"[")-1))))</f>
        <v/>
      </c>
      <c r="DT13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4" s="43" t="n">
        <f aca="false">IF(NOT(Tasks[[#This Row],[_IsLeaf]]=1),0,(Tasks[[#This Row],[_Resource1]]&lt;&gt;"")+(Tasks[[#This Row],[_Res2]]&lt;&gt;"")+(Tasks[[#This Row],[_Res3]]&lt;&gt;"")+(Tasks[[#This Row],[_Res4]]&lt;&gt;""))</f>
        <v>0</v>
      </c>
      <c r="DV134" s="43" t="str">
        <f aca="false">IF(Tasks[[#This Row],[_Res2Text]]="","",IF(Tasks[[#This Row],[_Res2Row]]&gt;0,INDEX(res_Name,Tasks[[#This Row],[_Res2Row]]),TRIM(LEFT(Tasks[[#This Row],[_Res2Text]],FIND("[",Tasks[[#This Row],[_Res2Text]]&amp;"[")-1))))</f>
        <v/>
      </c>
      <c r="DW13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4" s="43" t="n">
        <f aca="false">IF(OR(NOT(Tasks[[#This Row],[_IsLeaf]]=1),Tasks[[#This Row],[_Res2Row]]=0),0,N(Tasks[[#This Row],[_Days]])*HoursPerDay*IF(Tasks[[#This Row],[_Res2Units]]="",DefaultUnits,Tasks[[#This Row],[_Res2Units]]))</f>
        <v>0</v>
      </c>
      <c r="DY134" s="43" t="n">
        <f aca="false">IF(AND(AND(Tasks[[#This Row],[_IsLeaf]]=1,Tasks[[#This Row],[_LeafTotalWork]]&gt;0),Tasks[[#This Row],[_Res2Work]]&gt;0),Tasks[[#This Row],[_Res2Work]]/(Tasks[[#This Row],[_FinishWorkday]]-Tasks[[#This Row],[_StartWorkday]]+1),0)</f>
        <v>0</v>
      </c>
      <c r="DZ134" s="43" t="n">
        <f aca="false">Tasks[[#This Row],[_Res2WorkPerWD]]*MAX(0,Tasks[[#This Row],[_StartWorkday]]-1)</f>
        <v>0</v>
      </c>
      <c r="EA134" s="43" t="n">
        <f aca="false">Tasks[[#This Row],[_Res2Work]]*Tasks[[#This Row],[_LeafProgress]]</f>
        <v>0</v>
      </c>
      <c r="EB134" s="43" t="str">
        <f aca="false">IF(Tasks[[#This Row],[_Res3Text]]="","",IF(Tasks[[#This Row],[_Res3Row]]&gt;0,INDEX(res_Name,Tasks[[#This Row],[_Res3Row]]),TRIM(LEFT(Tasks[[#This Row],[_Res3Text]],FIND("[",Tasks[[#This Row],[_Res3Text]]&amp;"[")-1))))</f>
        <v/>
      </c>
      <c r="EC13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4" s="43" t="n">
        <f aca="false">IF(OR(NOT(Tasks[[#This Row],[_IsLeaf]]=1),Tasks[[#This Row],[_Res3Row]]=0),0,N(Tasks[[#This Row],[_Days]])*HoursPerDay*IF(Tasks[[#This Row],[_Res3Units]]="",DefaultUnits,Tasks[[#This Row],[_Res3Units]]))</f>
        <v>0</v>
      </c>
      <c r="EE134" s="43" t="n">
        <f aca="false">IF(AND(AND(Tasks[[#This Row],[_IsLeaf]]=1,Tasks[[#This Row],[_LeafTotalWork]]&gt;0),Tasks[[#This Row],[_Res3Work]]&gt;0),Tasks[[#This Row],[_Res3Work]]/(Tasks[[#This Row],[_FinishWorkday]]-Tasks[[#This Row],[_StartWorkday]]+1),0)</f>
        <v>0</v>
      </c>
      <c r="EF134" s="43" t="n">
        <f aca="false">Tasks[[#This Row],[_Res3WorkPerWD]]*MAX(0,Tasks[[#This Row],[_StartWorkday]]-1)</f>
        <v>0</v>
      </c>
      <c r="EG134" s="43" t="n">
        <f aca="false">Tasks[[#This Row],[_Res3Work]]*Tasks[[#This Row],[_LeafProgress]]</f>
        <v>0</v>
      </c>
      <c r="EH134" s="43" t="str">
        <f aca="false">IF(Tasks[[#This Row],[_Res4Text]]="","",IF(Tasks[[#This Row],[_Res4Row]]&gt;0,INDEX(res_Name,Tasks[[#This Row],[_Res4Row]]),TRIM(LEFT(Tasks[[#This Row],[_Res4Text]],FIND("[",Tasks[[#This Row],[_Res4Text]]&amp;"[")-1))))</f>
        <v/>
      </c>
      <c r="EI13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4" s="43" t="n">
        <f aca="false">IF(OR(NOT(Tasks[[#This Row],[_IsLeaf]]=1),Tasks[[#This Row],[_Res4Row]]=0),0,N(Tasks[[#This Row],[_Days]])*HoursPerDay*IF(Tasks[[#This Row],[_Res4Units]]="",DefaultUnits,Tasks[[#This Row],[_Res4Units]]))</f>
        <v>0</v>
      </c>
      <c r="EK134" s="43" t="n">
        <f aca="false">IF(AND(AND(Tasks[[#This Row],[_IsLeaf]]=1,Tasks[[#This Row],[_LeafTotalWork]]&gt;0),Tasks[[#This Row],[_Res4Work]]&gt;0),Tasks[[#This Row],[_Res4Work]]/(Tasks[[#This Row],[_FinishWorkday]]-Tasks[[#This Row],[_StartWorkday]]+1),0)</f>
        <v>0</v>
      </c>
      <c r="EL134" s="43" t="n">
        <f aca="false">Tasks[[#This Row],[_Res4WorkPerWD]]*MAX(0,Tasks[[#This Row],[_StartWorkday]]-1)</f>
        <v>0</v>
      </c>
      <c r="EM134" s="43" t="n">
        <f aca="false">Tasks[[#This Row],[_Res4Work]]*Tasks[[#This Row],[_LeafProgress]]</f>
        <v>0</v>
      </c>
      <c r="EN134" s="43" t="n">
        <f aca="false">IF(ISNUMBER(Tasks[[#This Row],[% Complete]]),Tasks[[#This Row],[% Complete]],IF(Tasks[[#This Row],[Stage]]="",0,IFERROR(INDEX(stg_Pct,MATCH(Tasks[[#This Row],[Stage]],stg_Name,0)),0)))</f>
        <v>0</v>
      </c>
      <c r="EO134" s="43" t="n">
        <f aca="false">IF(NOT(Tasks[[#This Row],[_IsLeaf]]=1),0,IF(N(Tasks[[#This Row],[Actual Finish]])&gt;0,1,MIN(1,Tasks[[#This Row],[_Pct]])))</f>
        <v>0</v>
      </c>
      <c r="EP134" s="43" t="n">
        <f aca="false">IF(OR(NOT(Tasks[[#This Row],[_IsLeaf]]=1),Tasks[[#This Row],[_Res1Row]]=0),0,N(Tasks[[#This Row],[_Days]])*HoursPerDay*IF(Tasks[[#This Row],[_Units1]]="",DefaultUnits,Tasks[[#This Row],[_Units1]]))</f>
        <v>0</v>
      </c>
      <c r="EQ134" s="43" t="n">
        <f aca="false">Tasks[[#This Row],[_LeafWork]]+Tasks[[#This Row],[_Res2Work]]+Tasks[[#This Row],[_Res3Work]]+Tasks[[#This Row],[_Res4Work]]</f>
        <v>0</v>
      </c>
      <c r="ER13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4" s="43" t="n">
        <f aca="false">IF(NOT(Tasks[[#This Row],[_IsLeaf]]=1),0,MAX(_xlfn.MAXIFS(Tasks[_Row],Tasks[_Pred1UID],Tasks[[#This Row],[UID]]),_xlfn.MAXIFS(Tasks[_Row],Tasks[_Pred2UID],Tasks[[#This Row],[UID]]),_xlfn.MAXIFS(Tasks[_Row],Tasks[_Pred3UID],Tasks[[#This Row],[UID]]),_xlfn.MAXIFS(Tasks[_Row],Tasks[_Pred4UID],Tasks[[#This Row],[UID]])))</f>
        <v>0</v>
      </c>
      <c r="FA13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4" s="91" t="str">
        <f aca="false">IF(NOT(Tasks[[#This Row],[_IsLeaf]]=1),"",IF(N(Tasks[[#This Row],[_Days]])&lt;=0,Tasks[[#This Row],[_LeafLateFinish]],WORKDAY.INTL(Tasks[[#This Row],[_LeafLateFinish]],-(Tasks[[#This Row],[_Days]]-1),WorkWeek,Holidays)))</f>
        <v/>
      </c>
      <c r="FD13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4" s="90" t="b">
        <f aca="false">AND(Tasks[[#This Row],[_IsLeaf]]=1,Tasks[[#This Row],[_LeafProgress]]&lt;1,N(Tasks[[#This Row],[_LeafTotalSlack]])&lt;=CriticalSlackDays)</f>
        <v>0</v>
      </c>
      <c r="FF134" s="43" t="n">
        <f aca="false">IF(AND(Tasks[[#This Row],[_IsLeaf]]=1,Tasks[[#This Row],[_ConstraintCode]]=1,Tasks[[#This Row],[Mode]]&lt;&gt;"Manual",N(Tasks[[#This Row],[Actual Start]])=0),MAX(0,N(Tasks[[#This Row],[Free Slack]])),0)</f>
        <v>0</v>
      </c>
      <c r="FG134" s="91" t="str">
        <f aca="false">IF(NOT(Tasks[[#This Row],[_IsLeaf]]=1),"",IF(Tasks[[#This Row],[_AlapShift]]=0,Tasks[[#This Row],[_LeafCalcStart]],WORKDAY.INTL(Tasks[[#This Row],[_LeafCalcStart]],Tasks[[#This Row],[_AlapShift]],WorkWeek,Holidays)))</f>
        <v/>
      </c>
      <c r="FH134" s="91" t="str">
        <f aca="false">IF(NOT(Tasks[[#This Row],[_IsLeaf]]=1),"",IF(Tasks[[#This Row],[_AlapShift]]=0,Tasks[[#This Row],[_LeafCalcFinish]],WORKDAY.INTL(Tasks[[#This Row],[_LeafCalcFinish]],Tasks[[#This Row],[_AlapShift]],WorkWeek,Holidays)))</f>
        <v/>
      </c>
      <c r="FI134" s="91" t="str">
        <f aca="false">IF(NOT(Tasks[[#This Row],[_IsLeaf]]=1),"",IF(Tasks[[#This Row],[_AlapShift]]=0,Tasks[[#This Row],[_LeafFcstStart]],WORKDAY.INTL(Tasks[[#This Row],[_LeafFcstStart]],Tasks[[#This Row],[_AlapShift]],WorkWeek,Holidays)))</f>
        <v/>
      </c>
      <c r="FJ134" s="91" t="str">
        <f aca="false">IF(NOT(Tasks[[#This Row],[_IsLeaf]]=1),"",IF(Tasks[[#This Row],[_AlapShift]]=0,Tasks[[#This Row],[_LeafFcstFinish]],WORKDAY.INTL(Tasks[[#This Row],[_LeafFcstFinish]],Tasks[[#This Row],[_AlapShift]],WorkWeek,Holidays)))</f>
        <v/>
      </c>
      <c r="FK134" s="91" t="str">
        <f aca="false">IF(Tasks[[#This Row],[Task Name]]="","",IF(Tasks[[#This Row],[_IsSummary]],MIN(INDEX(Tasks[_ShownCalcStart],Tasks[[#This Row],[_Row]]+1):INDEX(Tasks[_ShownCalcStart],Tasks[[#This Row],[_Row]]+Tasks[[#This Row],[_Descendants]])),Tasks[[#This Row],[_ShownCalcStart]]))</f>
        <v/>
      </c>
      <c r="FL134" s="91" t="str">
        <f aca="false">IF(Tasks[[#This Row],[Task Name]]="","",IF(Tasks[[#This Row],[_IsSummary]],MAX(INDEX(Tasks[_ShownCalcFinish],Tasks[[#This Row],[_Row]]+1):INDEX(Tasks[_ShownCalcFinish],Tasks[[#This Row],[_Row]]+Tasks[[#This Row],[_Descendants]])),Tasks[[#This Row],[_ShownCalcFinish]]))</f>
        <v/>
      </c>
      <c r="FM13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4" s="43" t="n">
        <f aca="false">IF(AND(Tasks[[#This Row],[_IsLeaf]]=1,Tasks[[#This Row],[_LeafTotalWork]]&gt;0),NETWORKDAYS.INTL(ProjectStart,Tasks[[#This Row],[_ShownFcstStart]],WorkWeek,Holidays),0)</f>
        <v>0</v>
      </c>
      <c r="FZ134" s="43" t="n">
        <f aca="false">IF(AND(Tasks[[#This Row],[_IsLeaf]]=1,Tasks[[#This Row],[_LeafTotalWork]]&gt;0),MAX(Tasks[[#This Row],[_StartWorkday]],NETWORKDAYS.INTL(ProjectStart,Tasks[[#This Row],[_ShownFcstFinish]],WorkWeek,Holidays)),0)</f>
        <v>0</v>
      </c>
      <c r="GA134" s="43" t="n">
        <f aca="false">IF(AND(Tasks[[#This Row],[_IsLeaf]]=1,Tasks[[#This Row],[_LeafTotalWork]]&gt;0),Tasks[[#This Row],[_LeafWork]]/(Tasks[[#This Row],[_FinishWorkday]]-Tasks[[#This Row],[_StartWorkday]]+1),0)</f>
        <v>0</v>
      </c>
      <c r="GB134" s="43" t="n">
        <f aca="false">Tasks[[#This Row],[_WorkPerWorkday]]*(Tasks[[#This Row],[_StartWorkday]]-1)</f>
        <v>-0</v>
      </c>
      <c r="GC134" s="43" t="n">
        <f aca="false">IF(Tasks[[#This Row],[_IsLeaf]]=1,MAX(N(Tasks[[#This Row],[_Days]]),0.1),0)</f>
        <v>0</v>
      </c>
      <c r="GD134" s="43" t="n">
        <f aca="false">Tasks[[#This Row],[_WeightDur]]*Tasks[[#This Row],[_LeafProgress]]</f>
        <v>0</v>
      </c>
      <c r="GE134" s="43" t="n">
        <f aca="false">Tasks[[#This Row],[_WeightDur]]*Tasks[[#This Row],[_PlannedPct]]</f>
        <v>0</v>
      </c>
      <c r="GF13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4" s="43" t="str">
        <f aca="false">IF(AND(Tasks[[#This Row],[_IsLeaf]]=1,N(Tasks[[#This Row],[_Days]])=0,Tasks[[#This Row],[_LeafProgress]]&lt;1),Tasks[[#This Row],[_ShownFcstFinish]]+Tasks[[#This Row],[_Row]]/100000,"")</f>
        <v/>
      </c>
      <c r="GH13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4" s="43" t="str">
        <f aca="false">IF(Tasks[[#This Row],[Task Name]]="","",LEFT(Tasks[[#This Row],[WBS]],FIND(".",Tasks[[#This Row],[WBS]]&amp;".")-1))</f>
        <v/>
      </c>
      <c r="GJ134" s="43" t="str">
        <f aca="false">IF(AND(Tasks[[#This Row],[Task Name]]&lt;&gt;"",Tasks[[#This Row],[_Level]]=1),Tasks[[#This Row],[_Row]],"")</f>
        <v/>
      </c>
      <c r="GK134" s="43" t="str">
        <f aca="false">IF(AND(Tasks[[#This Row],[_IsLeaf]]=1,N(Tasks[[#This Row],[_Days]])=0),Tasks[[#This Row],[Planned Finish]]+Tasks[[#This Row],[_Row]]/100000,"")</f>
        <v/>
      </c>
      <c r="GL134" s="43" t="str">
        <f aca="false">IF(AND(Tasks[[#This Row],[_IsLeaf]]=1,Tasks[[#This Row],[_LeafProgress]]&lt;1,OR(N(Tasks[[#This Row],[Finish Var]])&gt;0,Tasks[[#This Row],[Status]]="Late Start")),MAX(0,Tasks[[#This Row],[Finish Var]])+1-Tasks[[#This Row],[_Row]]/1000000,"")</f>
        <v/>
      </c>
      <c r="GM134" s="43" t="str">
        <f aca="false">IF(AND(Tasks[[#This Row],[_IsLeaf]]=1,N(Tasks[[#This Row],[Actual Start]])=0,Tasks[[#This Row],[_ShownFcstStart]]&gt;=StatusDate,Tasks[[#This Row],[_ShownFcstStart]]&lt;=LookaheadEnd),Tasks[[#This Row],[_ShownFcstStart]]+Tasks[[#This Row],[_Row]]/100000,"")</f>
        <v/>
      </c>
      <c r="GN134" s="43" t="str">
        <f aca="false">IF(AND(Tasks[[#This Row],[_IsLeaf]]=1,Tasks[[#This Row],[_LeafProgress]]&lt;1,Tasks[[#This Row],[_ShownFcstFinish]]&gt;=StatusDate,Tasks[[#This Row],[_ShownFcstFinish]]&lt;=LookaheadEnd),Tasks[[#This Row],[_ShownFcstFinish]]+Tasks[[#This Row],[_Row]]/100000,"")</f>
        <v/>
      </c>
      <c r="GO134" s="43" t="str">
        <f aca="false">IF(Tasks[[#This Row],[_LeafCritical]],Tasks[[#This Row],[_ShownFcstStart]]+Tasks[[#This Row],[_Row]]/100000,"")</f>
        <v/>
      </c>
      <c r="GP134" s="43" t="n">
        <f aca="false">Tasks[[#This Row],[_LeafWork]]*Tasks[[#This Row],[_LeafProgress]]</f>
        <v>0</v>
      </c>
      <c r="GQ134" s="91" t="str">
        <f aca="false">IF(AND(Tasks[[#This Row],[_IsLeaf]]=1,Tasks[[#This Row],[_LeafProgress]]&gt;=1),IF(N(Tasks[[#This Row],[Actual Finish]])&gt;0,Tasks[[#This Row],[Actual Finish]],Tasks[[#This Row],[_ShownFcstFinish]]),"")</f>
        <v/>
      </c>
      <c r="GR134" s="43" t="n">
        <f aca="false">IF(Tasks[[#This Row],[_IsLeaf]]=1,N(Tasks[[#This Row],[Story Points]]),0)</f>
        <v>0</v>
      </c>
      <c r="GS134" s="43" t="str">
        <f aca="false">""</f>
        <v/>
      </c>
      <c r="GT134" s="90" t="b">
        <f aca="false">IF(Tasks[[#This Row],[Task Name]]="",FALSE(),AND(Tasks[[#This Row],[_IsLeaf]]=1,N(Tasks[[#This Row],[_Days]])=0))</f>
        <v>0</v>
      </c>
      <c r="GU134" s="91" t="n">
        <f aca="false">IF(Tasks[[#This Row],[Task Name]]="",0,IF(AND(Tasks[[#This Row],[_IsLeaf]]=1,NOT(Tasks[[#This Row],[_IsMilestone]]),N(Tasks[[#This Row],[Progress]])&gt;0),Tasks[[#This Row],[Start]],0))</f>
        <v>0</v>
      </c>
      <c r="GV134" s="91" t="n">
        <f aca="false">IF(Tasks[[#This Row],[_DoneFrom]]=0,0,IF(Tasks[[#This Row],[Progress]]&gt;=1,Tasks[[#This Row],[Finish]],MAX(Tasks[[#This Row],[_DoneFrom]],Tasks[[#This Row],[Start]]+ROUND((Tasks[[#This Row],[Finish]]-Tasks[[#This Row],[Start]]+1)*Tasks[[#This Row],[Progress]],0)-1)))</f>
        <v>0</v>
      </c>
      <c r="GW134" s="91" t="n">
        <f aca="false">IF(Tasks[[#This Row],[Task Name]]="",0,IF(OR(NOT(Tasks[[#This Row],[_IsLeaf]]=1),Tasks[[#This Row],[_IsMilestone]],N(Tasks[[#This Row],[Progress]])&gt;=1),0,IF(Tasks[[#This Row],[_DoneTo]]&gt;0,Tasks[[#This Row],[_DoneTo]]+1,Tasks[[#This Row],[Start]])))</f>
        <v>0</v>
      </c>
      <c r="GX134" s="91" t="n">
        <f aca="false">IF(Tasks[[#This Row],[_RemFrom]]=0,0,Tasks[[#This Row],[Finish]])</f>
        <v>0</v>
      </c>
      <c r="GY134" s="90" t="b">
        <f aca="false">IF(Tasks[[#This Row],[Task Name]]="",FALSE(),OR(NOT(BaselineSet),N(Tasks[[#This Row],[Baseline Start]])&gt;0))</f>
        <v>0</v>
      </c>
      <c r="GZ13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4" s="92" t="str">
        <f aca="false">IF(Tasks[[#This Row],[_IsLeaf]]=1,Tasks[[#This Row],[_Row]],"")</f>
        <v/>
      </c>
      <c r="HD134" s="92" t="str">
        <f aca="false">IFERROR(INDEX(Tasks[UID],SMALL(Tasks[_PickKey],Tasks[[#This Row],[_Row]]))&amp;" "&amp;INDEX(Tasks[Task Name],SMALL(Tasks[_PickKey],Tasks[[#This Row],[_Row]])),"")</f>
        <v/>
      </c>
      <c r="HE134" s="43" t="str">
        <f aca="false">IF(Tasks[[#This Row],[Task Name]]="","",IF(Tasks[[#This Row],[_IsSummary]],NETWORKDAYS.INTL(Tasks[[#This Row],[Start]],Tasks[[#This Row],[Finish]],WorkWeek,Holidays),N(Tasks[[#This Row],[_Days]])))</f>
        <v/>
      </c>
      <c r="HF134" s="43" t="n">
        <f aca="false">IF(Tasks[[#This Row],[Expected]]="",0,((Tasks[[#This Row],[Pessimistic]]-Tasks[[#This Row],[Optimistic]])/6)^2)</f>
        <v>0</v>
      </c>
      <c r="HG134" s="43" t="n">
        <f aca="false">IF(Tasks[[#This Row],[Expected]]="",0,Tasks[[#This Row],[Expected]]-N(Tasks[[#This Row],[_Days]]))</f>
        <v>0</v>
      </c>
    </row>
    <row r="135" customFormat="false" ht="15" hidden="false" customHeight="false" outlineLevel="0" collapsed="false">
      <c r="A135" s="21" t="str">
        <f aca="false">IF(Tasks[[#This Row],[Task Name]]="","",COUNTA(Tasks[[#Headers],[Task Name]]:Tasks[[#This Row],[Task Name]])-1)</f>
        <v/>
      </c>
      <c r="B135" s="22" t="n">
        <v>143</v>
      </c>
      <c r="C135" s="22"/>
      <c r="D135" s="23"/>
      <c r="E135" s="22"/>
      <c r="F135" s="23"/>
      <c r="G135" s="22"/>
      <c r="H135" s="22"/>
      <c r="I135" s="23"/>
      <c r="J135" s="22"/>
      <c r="K135" s="22"/>
      <c r="L135" s="23"/>
      <c r="M135" s="22"/>
      <c r="N135" s="22"/>
      <c r="O135" s="23"/>
      <c r="P135" s="22"/>
      <c r="Q135" s="22"/>
      <c r="R135" s="23"/>
      <c r="S135" s="23"/>
      <c r="T135" s="84"/>
      <c r="U135" s="23"/>
      <c r="V135" s="84"/>
      <c r="W135" s="23"/>
      <c r="X135" s="84"/>
      <c r="Y135" s="23"/>
      <c r="Z135" s="84"/>
      <c r="AA135" s="23"/>
      <c r="AB135" s="23"/>
      <c r="AC135" s="7"/>
      <c r="AD135" s="7"/>
      <c r="AE135" s="63" t="str">
        <f aca="false">IF(Tasks[[#This Row],[Task Name]]="","",IF(Tasks[[#This Row],[_IsSummary]],MIN(INDEX(Tasks[_ShownFcstStart],Tasks[[#This Row],[_Row]]+1):INDEX(Tasks[_ShownFcstStart],Tasks[[#This Row],[_Row]]+Tasks[[#This Row],[_Descendants]])),Tasks[[#This Row],[_ShownFcstStart]]))</f>
        <v/>
      </c>
      <c r="AF135" s="63" t="str">
        <f aca="false">IF(Tasks[[#This Row],[Task Name]]="","",IF(Tasks[[#This Row],[_IsSummary]],MAX(INDEX(Tasks[_ShownFcstFinish],Tasks[[#This Row],[_Row]]+1):INDEX(Tasks[_ShownFcstFinish],Tasks[[#This Row],[_Row]]+Tasks[[#This Row],[_Descendants]])),Tasks[[#This Row],[_ShownFcstFinish]]))</f>
        <v/>
      </c>
      <c r="AG135" s="21" t="str">
        <f aca="false">""</f>
        <v/>
      </c>
      <c r="AH135" s="23"/>
      <c r="AI1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5" s="7"/>
      <c r="AK135" s="22"/>
      <c r="AL135" s="23"/>
      <c r="AM135" s="7"/>
      <c r="AN135" s="47" t="str">
        <f aca="false">IF(Tasks[[#This Row],[Task Name]]="","",IF(Tasks[[#This Row],[Finish]]&gt;=Tasks[[#This Row],[Planned Finish]],NETWORKDAYS.INTL(Tasks[[#This Row],[Planned Finish]],Tasks[[#This Row],[Finish]],WorkWeek,Holidays)-1,1-NETWORKDAYS.INTL(Tasks[[#This Row],[Finish]],Tasks[[#This Row],[Planned Finish]],WorkWeek,Holidays)))</f>
        <v/>
      </c>
      <c r="AO135" s="21" t="str">
        <f aca="false">IF(Tasks[[#This Row],[Task Name]]="","",IF(Tasks[[#This Row],[Progress]]&gt;=1,"Complete",IF(OR(N(Tasks[[#This Row],[Actual Start]])&gt;0,Tasks[[#This Row],[Progress]]&gt;0),IF(Tasks[[#This Row],[Finish Var]]&gt;0,"Behind","In Progress"),IF(Tasks[[#This Row],[Planned Start]]&lt;StatusDate,"Late Start","Not Started"))))</f>
        <v/>
      </c>
      <c r="AP135" s="21" t="str">
        <f aca="false">IF(Tasks[[#This Row],[Task Name]]="","",IF(IF(Tasks[[#This Row],[_IsSummary]],COUNTIF(INDEX(Tasks[_LeafCritical],Tasks[[#This Row],[_Row]]+1):INDEX(Tasks[_LeafCritical],Tasks[[#This Row],[_Row]]+Tasks[[#This Row],[_Descendants]]),TRUE())&gt;0,Tasks[[#This Row],[_LeafCritical]]),"Yes",""))</f>
        <v/>
      </c>
      <c r="AQ135" s="63" t="str">
        <f aca="false">IF(Tasks[[#This Row],[Task Name]]="","",IF(N(Tasks[[#This Row],[Baseline Start]])&gt;0,Tasks[[#This Row],[Baseline Start]],Tasks[[#This Row],[_CalcStart]]))</f>
        <v/>
      </c>
      <c r="AR135" s="63" t="str">
        <f aca="false">IF(Tasks[[#This Row],[Task Name]]="","",IF(N(Tasks[[#This Row],[Baseline Finish]])&gt;0,Tasks[[#This Row],[Baseline Finish]],Tasks[[#This Row],[_CalcFinish]]))</f>
        <v/>
      </c>
      <c r="AS135" s="47" t="str">
        <f aca="false">IF(Tasks[[#This Row],[Task Name]]="","",IF(Tasks[[#This Row],[Start]]&gt;=Tasks[[#This Row],[Planned Start]],NETWORKDAYS.INTL(Tasks[[#This Row],[Planned Start]],Tasks[[#This Row],[Start]],WorkWeek,Holidays)-1,1-NETWORKDAYS.INTL(Tasks[[#This Row],[Start]],Tasks[[#This Row],[Planned Start]],WorkWeek,Holidays)))</f>
        <v/>
      </c>
      <c r="AT135" s="63" t="str">
        <f aca="false">IF(Tasks[[#This Row],[Task Name]]="","",IF(Tasks[[#This Row],[_IsSummary]],MIN(INDEX(Tasks[_LeafLateStart],Tasks[[#This Row],[_Row]]+1):INDEX(Tasks[_LeafLateStart],Tasks[[#This Row],[_Row]]+Tasks[[#This Row],[_Descendants]])),Tasks[[#This Row],[_LeafLateStart]]))</f>
        <v/>
      </c>
      <c r="AU135" s="63" t="str">
        <f aca="false">IF(Tasks[[#This Row],[Task Name]]="","",IF(Tasks[[#This Row],[_IsSummary]],MAX(INDEX(Tasks[_LeafLateFinish],Tasks[[#This Row],[_Row]]+1):INDEX(Tasks[_LeafLateFinish],Tasks[[#This Row],[_Row]]+Tasks[[#This Row],[_Descendants]])),Tasks[[#This Row],[_LeafLateFinish]]))</f>
        <v/>
      </c>
      <c r="AV135" s="47" t="str">
        <f aca="false">IF(Tasks[[#This Row],[Task Name]]="","",IF(Tasks[[#This Row],[_IsSummary]],MIN(INDEX(Tasks[_LeafTotalSlack],Tasks[[#This Row],[_Row]]+1):INDEX(Tasks[_LeafTotalSlack],Tasks[[#This Row],[_Row]]+Tasks[[#This Row],[_Descendants]])),Tasks[[#This Row],[_LeafTotalSlack]]))</f>
        <v/>
      </c>
      <c r="AW1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5"/>
      <c r="BA13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1" t="str">
        <f aca="false">IF(Tasks[[#This Row],[Task Name]]="","",IF(Tasks[[#This Row],[_Level]]&lt;=OutlineShowLevel,"Yes","No"))</f>
        <v/>
      </c>
      <c r="BE135" s="86" t="str">
        <f aca="false">IF(Tasks[[#This Row],[Task Name]]="","",IF(Tasks[[#This Row],[_IsSummary]],SUM(INDEX(Tasks[_LeafTotalWork],Tasks[[#This Row],[_Row]]+1):INDEX(Tasks[_LeafTotalWork],Tasks[[#This Row],[_Row]]+Tasks[[#This Row],[_Descendants]])),Tasks[[#This Row],[_LeafTotalWork]]))</f>
        <v/>
      </c>
      <c r="BF135" s="23"/>
      <c r="BG1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5" s="21" t="str">
        <f aca="false">""</f>
        <v/>
      </c>
      <c r="BI135" s="87"/>
      <c r="BJ135" s="22"/>
      <c r="BK135" s="47" t="str">
        <f aca="false">IF(OR(Tasks[[#This Row],[Task Name]]="",Tasks[[#This Row],[Baseline Duration]]=""),"",Tasks[[#This Row],[_SpanDays]]-N(Tasks[[#This Row],[Baseline Duration]]))</f>
        <v/>
      </c>
      <c r="BL135" s="86" t="str">
        <f aca="false">IF(OR(Tasks[[#This Row],[Task Name]]="",Tasks[[#This Row],[Baseline Work]]=""),"",Tasks[[#This Row],[Work]]-N(Tasks[[#This Row],[Baseline Work]]))</f>
        <v/>
      </c>
      <c r="BM135" s="63" t="str">
        <f aca="false">IF(Tasks[[#This Row],[Task Name]]="","",IF(OR(TakeBaseline="Yes",N(Tasks[[#This Row],[Baseline Start]])=0),Tasks[[#This Row],[Start]],Tasks[[#This Row],[Baseline Start]]))</f>
        <v/>
      </c>
      <c r="BN135" s="63" t="str">
        <f aca="false">IF(Tasks[[#This Row],[Task Name]]="","",IF(OR(TakeBaseline="Yes",N(Tasks[[#This Row],[Baseline Finish]])=0),Tasks[[#This Row],[Finish]],Tasks[[#This Row],[Baseline Finish]]))</f>
        <v/>
      </c>
      <c r="BO135" s="21" t="str">
        <f aca="false">IF(Tasks[[#This Row],[Task Name]]="","",IF(OR(TakeBaseline="Yes",N(Tasks[[#This Row],[Baseline Duration]])=0),Tasks[[#This Row],[_SpanDays]],Tasks[[#This Row],[Baseline Duration]]))</f>
        <v/>
      </c>
      <c r="BP135" s="86" t="str">
        <f aca="false">IF(Tasks[[#This Row],[Task Name]]="","",IF(OR(TakeBaseline="Yes",N(Tasks[[#This Row],[Baseline Work]])=0),Tasks[[#This Row],[Work]],Tasks[[#This Row],[Baseline Work]]))</f>
        <v/>
      </c>
      <c r="BQ135" s="7"/>
      <c r="BR135" s="7"/>
      <c r="BS135" s="22"/>
      <c r="BT135" s="88"/>
      <c r="BU135" s="23"/>
      <c r="BV135" s="23"/>
      <c r="BW135" s="23"/>
      <c r="BX135" s="89" t="str">
        <f aca="false">IF(AND(Tasks[[#This Row],[_IsLeaf]]=1,ISNUMBER(Tasks[[#This Row],[Optimistic]]),ISNUMBER(Tasks[[#This Row],[Pessimistic]])),ROUND((Tasks[[#This Row],[Optimistic]]+4*N(Tasks[[#This Row],[_Days]])+Tasks[[#This Row],[Pessimistic]])/6,1),"")</f>
        <v/>
      </c>
      <c r="BY135" s="87"/>
      <c r="BZ135" s="87"/>
      <c r="CA135" s="22"/>
      <c r="CB135" s="43" t="str">
        <f aca="false">IF(Tasks[[#This Row],[Task Name]]="","",MAX(1,N(Tasks[[#This Row],[Level]])))</f>
        <v/>
      </c>
      <c r="CC135" s="43" t="n">
        <f aca="false">ROW()-ROW(Tasks[[#Headers],[ID]])</f>
        <v>130</v>
      </c>
      <c r="CD135" s="43" t="n">
        <f aca="false">IF(OR(Tasks[[#This Row],[Task Name]]="",Tasks[[#This Row],[_Level]]&lt;=1),0,IFERROR(LOOKUP(2,1/(Tasks[[#Headers],[_Level]]:Tasks[[#This Row],[_Level]]=Tasks[[#This Row],[_Level]]-1),ROW(Tasks[[#Headers],[_Level]]:Tasks[[#This Row],[_Level]])),0))</f>
        <v>0</v>
      </c>
      <c r="CE135" s="43" t="n">
        <f aca="false">IFERROR(N(INDEX(Tasks[_Level],Tasks[[#This Row],[_Row]]+1)),0)</f>
        <v>0</v>
      </c>
      <c r="CF135" s="90" t="b">
        <f aca="false">AND(Tasks[[#This Row],[Task Name]]&lt;&gt;"",Tasks[[#This Row],[_NextLevel]]&gt;Tasks[[#This Row],[_Level]])</f>
        <v>0</v>
      </c>
      <c r="CG135" s="43" t="n">
        <f aca="false">IF(Tasks[[#This Row],[_IsSummary]],COUNTIF(Tasks[WBS],Tasks[[#This Row],[WBS]]&amp;".*"),0)</f>
        <v>0</v>
      </c>
      <c r="CH135" s="43" t="n">
        <f aca="false">IF(AND(Tasks[[#This Row],[Task Name]]&lt;&gt;"",NOT(Tasks[[#This Row],[_IsSummary]])),1,0)</f>
        <v>0</v>
      </c>
      <c r="CI135" s="43" t="n">
        <f aca="false">IF(N(Tasks[[#This Row],[_Pred1UID]])=0,0,IFERROR(MATCH(Tasks[[#This Row],[_Pred1UID]],Tasks[UID],0),-1))</f>
        <v>0</v>
      </c>
      <c r="CJ135" s="43" t="n">
        <f aca="false">IF(N(Tasks[[#This Row],[_Pred2UID]])=0,0,IFERROR(MATCH(Tasks[[#This Row],[_Pred2UID]],Tasks[UID],0),-1))</f>
        <v>0</v>
      </c>
      <c r="CK135" s="43" t="n">
        <f aca="false">IF(N(Tasks[[#This Row],[_Pred3UID]])=0,0,IFERROR(MATCH(Tasks[[#This Row],[_Pred3UID]],Tasks[UID],0),-1))</f>
        <v>0</v>
      </c>
      <c r="CL135" s="43" t="n">
        <f aca="false">IF(N(Tasks[[#This Row],[_Pred4UID]])=0,0,IFERROR(MATCH(Tasks[[#This Row],[_Pred4UID]],Tasks[UID],0),-1))</f>
        <v>0</v>
      </c>
      <c r="CM13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5" s="91" t="n">
        <f aca="false">IF(OR(Tasks[[#This Row],[_ConstraintCode]]=2,Tasks[[#This Row],[_ConstraintCode]]=3,Tasks[[#This Row],[_ConstraintCode]]=4,Tasks[[#This Row],[_ConstraintCode]]=6),Tasks[[#This Row],[_ConstraintStart]],0)</f>
        <v>0</v>
      </c>
      <c r="CP135" s="91" t="n">
        <f aca="false">IF(OR(Tasks[[#This Row],[_ConstraintCode]]=2,Tasks[[#This Row],[_ConstraintCode]]=3,Tasks[[#This Row],[_ConstraintCode]]=5,Tasks[[#This Row],[_ConstraintCode]]=7),Tasks[[#This Row],[_ConstraintStart]],2958465)</f>
        <v>2958465</v>
      </c>
      <c r="CQ13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5" s="91" t="str">
        <f aca="false">IF(NOT(Tasks[[#This Row],[_IsLeaf]]=1),"",IF(N(Tasks[[#This Row],[_Days]])&lt;=0,Tasks[[#This Row],[_LeafCalcStart]],WORKDAY.INTL(Tasks[[#This Row],[_LeafCalcStart]],Tasks[[#This Row],[_Days]]-1,WorkWeek,Holidays)))</f>
        <v/>
      </c>
      <c r="CS13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5" s="43" t="str">
        <f aca="false">IF(Tasks[[#This Row],[_Predecessors]]="","",TRIM(MID(SUBSTITUTE(SUBSTITUTE(SUBSTITUTE(UPPER(Tasks[[#This Row],[_Predecessors]]),";",",")," ",""),",",REPT(" ",99)),1,99)))</f>
        <v/>
      </c>
      <c r="CV135" s="43" t="str">
        <f aca="false">IF(Tasks[[#This Row],[_Pred1Text]]="","",IFERROR(VALUE(LEFT(Tasks[[#This Row],[_Pred1Text]],MIN(FIND("F",Tasks[[#This Row],[_Pred1Text]]&amp;"F"),FIND("S",Tasks[[#This Row],[_Pred1Text]]&amp;"S"),FIND("+",Tasks[[#This Row],[_Pred1Text]]&amp;"+"),FIND("-",Tasks[[#This Row],[_Pred1Text]]&amp;"-"))-1)),""))</f>
        <v/>
      </c>
      <c r="CW13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5" s="43" t="str">
        <f aca="false">IF(Tasks[[#This Row],[_Pred1Text]]="","",TRIM(MID(SUBSTITUTE(SUBSTITUTE(SUBSTITUTE(UPPER(Tasks[[#This Row],[_Predecessors]]),";",",")," ",""),",",REPT(" ",99)),100,99)))</f>
        <v/>
      </c>
      <c r="CZ135" s="43" t="str">
        <f aca="false">IF(Tasks[[#This Row],[_Pred2Text]]="","",IFERROR(VALUE(LEFT(Tasks[[#This Row],[_Pred2Text]],MIN(FIND("F",Tasks[[#This Row],[_Pred2Text]]&amp;"F"),FIND("S",Tasks[[#This Row],[_Pred2Text]]&amp;"S"),FIND("+",Tasks[[#This Row],[_Pred2Text]]&amp;"+"),FIND("-",Tasks[[#This Row],[_Pred2Text]]&amp;"-"))-1)),""))</f>
        <v/>
      </c>
      <c r="DA13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5" s="43" t="str">
        <f aca="false">IF(Tasks[[#This Row],[_Pred2Text]]="","",TRIM(MID(SUBSTITUTE(SUBSTITUTE(SUBSTITUTE(UPPER(Tasks[[#This Row],[_Predecessors]]),";",",")," ",""),",",REPT(" ",99)),199,99)))</f>
        <v/>
      </c>
      <c r="DD135" s="43" t="str">
        <f aca="false">IF(Tasks[[#This Row],[_Pred3Text]]="","",IFERROR(VALUE(LEFT(Tasks[[#This Row],[_Pred3Text]],MIN(FIND("F",Tasks[[#This Row],[_Pred3Text]]&amp;"F"),FIND("S",Tasks[[#This Row],[_Pred3Text]]&amp;"S"),FIND("+",Tasks[[#This Row],[_Pred3Text]]&amp;"+"),FIND("-",Tasks[[#This Row],[_Pred3Text]]&amp;"-"))-1)),""))</f>
        <v/>
      </c>
      <c r="DE13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5" s="43" t="str">
        <f aca="false">IF(Tasks[[#This Row],[_Pred3Text]]="","",TRIM(MID(SUBSTITUTE(SUBSTITUTE(SUBSTITUTE(UPPER(Tasks[[#This Row],[_Predecessors]]),";",",")," ",""),",",REPT(" ",99)),298,99)))</f>
        <v/>
      </c>
      <c r="DH135" s="43" t="str">
        <f aca="false">IF(Tasks[[#This Row],[_Pred4Text]]="","",IFERROR(VALUE(LEFT(Tasks[[#This Row],[_Pred4Text]],MIN(FIND("F",Tasks[[#This Row],[_Pred4Text]]&amp;"F"),FIND("S",Tasks[[#This Row],[_Pred4Text]]&amp;"S"),FIND("+",Tasks[[#This Row],[_Pred4Text]]&amp;"+"),FIND("-",Tasks[[#This Row],[_Pred4Text]]&amp;"-"))-1)),""))</f>
        <v/>
      </c>
      <c r="DI13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5" s="43" t="str">
        <f aca="false">IF(OR(Tasks[[#This Row],[Task Name]]="",Tasks[[#This Row],[_Resources]]=""),"",TRIM(MID(SUBSTITUTE(Tasks[[#This Row],[_Resources]],",",REPT(" ",99)),1,99)))</f>
        <v/>
      </c>
      <c r="DL135" s="43" t="str">
        <f aca="false">IF(Tasks[[#This Row],[_Res1Text]]="","",TRIM(MID(SUBSTITUTE(Tasks[[#This Row],[_Resources]],",",REPT(" ",99)),100,99)))</f>
        <v/>
      </c>
      <c r="DM135" s="43" t="str">
        <f aca="false">IF(Tasks[[#This Row],[_Res2Text]]="","",TRIM(MID(SUBSTITUTE(Tasks[[#This Row],[_Resources]],",",REPT(" ",99)),199,99)))</f>
        <v/>
      </c>
      <c r="DN135" s="43" t="str">
        <f aca="false">IF(Tasks[[#This Row],[_Res3Text]]="","",TRIM(MID(SUBSTITUTE(Tasks[[#This Row],[_Resources]],",",REPT(" ",99)),298,99)))</f>
        <v/>
      </c>
      <c r="DO135" s="43" t="n">
        <f aca="false">IF(Tasks[[#This Row],[_Res1Text]]="",0,IFERROR(MATCH(TRIM(LEFT(Tasks[[#This Row],[_Res1Text]],FIND("[",Tasks[[#This Row],[_Res1Text]]&amp;"[")-1)),res_Name,0),IFERROR(MATCH(TRIM(LEFT(Tasks[[#This Row],[_Res1Text]],FIND("[",Tasks[[#This Row],[_Res1Text]]&amp;"[")-1)),res_Initials,0),0)))</f>
        <v>0</v>
      </c>
      <c r="DP135" s="43" t="n">
        <f aca="false">IF(Tasks[[#This Row],[_Res2Text]]="",0,IFERROR(MATCH(TRIM(LEFT(Tasks[[#This Row],[_Res2Text]],FIND("[",Tasks[[#This Row],[_Res2Text]]&amp;"[")-1)),res_Name,0),IFERROR(MATCH(TRIM(LEFT(Tasks[[#This Row],[_Res2Text]],FIND("[",Tasks[[#This Row],[_Res2Text]]&amp;"[")-1)),res_Initials,0),0)))</f>
        <v>0</v>
      </c>
      <c r="DQ135" s="43" t="n">
        <f aca="false">IF(Tasks[[#This Row],[_Res3Text]]="",0,IFERROR(MATCH(TRIM(LEFT(Tasks[[#This Row],[_Res3Text]],FIND("[",Tasks[[#This Row],[_Res3Text]]&amp;"[")-1)),res_Name,0),IFERROR(MATCH(TRIM(LEFT(Tasks[[#This Row],[_Res3Text]],FIND("[",Tasks[[#This Row],[_Res3Text]]&amp;"[")-1)),res_Initials,0),0)))</f>
        <v>0</v>
      </c>
      <c r="DR135" s="43" t="n">
        <f aca="false">IF(Tasks[[#This Row],[_Res4Text]]="",0,IFERROR(MATCH(TRIM(LEFT(Tasks[[#This Row],[_Res4Text]],FIND("[",Tasks[[#This Row],[_Res4Text]]&amp;"[")-1)),res_Name,0),IFERROR(MATCH(TRIM(LEFT(Tasks[[#This Row],[_Res4Text]],FIND("[",Tasks[[#This Row],[_Res4Text]]&amp;"[")-1)),res_Initials,0),0)))</f>
        <v>0</v>
      </c>
      <c r="DS135" s="43" t="str">
        <f aca="false">IF(Tasks[[#This Row],[_Res1Text]]="","",IF(Tasks[[#This Row],[_Res1Row]]&gt;0,INDEX(res_Name,Tasks[[#This Row],[_Res1Row]]),TRIM(LEFT(Tasks[[#This Row],[_Res1Text]],FIND("[",Tasks[[#This Row],[_Res1Text]]&amp;"[")-1))))</f>
        <v/>
      </c>
      <c r="DT13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5" s="43" t="n">
        <f aca="false">IF(NOT(Tasks[[#This Row],[_IsLeaf]]=1),0,(Tasks[[#This Row],[_Resource1]]&lt;&gt;"")+(Tasks[[#This Row],[_Res2]]&lt;&gt;"")+(Tasks[[#This Row],[_Res3]]&lt;&gt;"")+(Tasks[[#This Row],[_Res4]]&lt;&gt;""))</f>
        <v>0</v>
      </c>
      <c r="DV135" s="43" t="str">
        <f aca="false">IF(Tasks[[#This Row],[_Res2Text]]="","",IF(Tasks[[#This Row],[_Res2Row]]&gt;0,INDEX(res_Name,Tasks[[#This Row],[_Res2Row]]),TRIM(LEFT(Tasks[[#This Row],[_Res2Text]],FIND("[",Tasks[[#This Row],[_Res2Text]]&amp;"[")-1))))</f>
        <v/>
      </c>
      <c r="DW13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5" s="43" t="n">
        <f aca="false">IF(OR(NOT(Tasks[[#This Row],[_IsLeaf]]=1),Tasks[[#This Row],[_Res2Row]]=0),0,N(Tasks[[#This Row],[_Days]])*HoursPerDay*IF(Tasks[[#This Row],[_Res2Units]]="",DefaultUnits,Tasks[[#This Row],[_Res2Units]]))</f>
        <v>0</v>
      </c>
      <c r="DY135" s="43" t="n">
        <f aca="false">IF(AND(AND(Tasks[[#This Row],[_IsLeaf]]=1,Tasks[[#This Row],[_LeafTotalWork]]&gt;0),Tasks[[#This Row],[_Res2Work]]&gt;0),Tasks[[#This Row],[_Res2Work]]/(Tasks[[#This Row],[_FinishWorkday]]-Tasks[[#This Row],[_StartWorkday]]+1),0)</f>
        <v>0</v>
      </c>
      <c r="DZ135" s="43" t="n">
        <f aca="false">Tasks[[#This Row],[_Res2WorkPerWD]]*MAX(0,Tasks[[#This Row],[_StartWorkday]]-1)</f>
        <v>0</v>
      </c>
      <c r="EA135" s="43" t="n">
        <f aca="false">Tasks[[#This Row],[_Res2Work]]*Tasks[[#This Row],[_LeafProgress]]</f>
        <v>0</v>
      </c>
      <c r="EB135" s="43" t="str">
        <f aca="false">IF(Tasks[[#This Row],[_Res3Text]]="","",IF(Tasks[[#This Row],[_Res3Row]]&gt;0,INDEX(res_Name,Tasks[[#This Row],[_Res3Row]]),TRIM(LEFT(Tasks[[#This Row],[_Res3Text]],FIND("[",Tasks[[#This Row],[_Res3Text]]&amp;"[")-1))))</f>
        <v/>
      </c>
      <c r="EC13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5" s="43" t="n">
        <f aca="false">IF(OR(NOT(Tasks[[#This Row],[_IsLeaf]]=1),Tasks[[#This Row],[_Res3Row]]=0),0,N(Tasks[[#This Row],[_Days]])*HoursPerDay*IF(Tasks[[#This Row],[_Res3Units]]="",DefaultUnits,Tasks[[#This Row],[_Res3Units]]))</f>
        <v>0</v>
      </c>
      <c r="EE135" s="43" t="n">
        <f aca="false">IF(AND(AND(Tasks[[#This Row],[_IsLeaf]]=1,Tasks[[#This Row],[_LeafTotalWork]]&gt;0),Tasks[[#This Row],[_Res3Work]]&gt;0),Tasks[[#This Row],[_Res3Work]]/(Tasks[[#This Row],[_FinishWorkday]]-Tasks[[#This Row],[_StartWorkday]]+1),0)</f>
        <v>0</v>
      </c>
      <c r="EF135" s="43" t="n">
        <f aca="false">Tasks[[#This Row],[_Res3WorkPerWD]]*MAX(0,Tasks[[#This Row],[_StartWorkday]]-1)</f>
        <v>0</v>
      </c>
      <c r="EG135" s="43" t="n">
        <f aca="false">Tasks[[#This Row],[_Res3Work]]*Tasks[[#This Row],[_LeafProgress]]</f>
        <v>0</v>
      </c>
      <c r="EH135" s="43" t="str">
        <f aca="false">IF(Tasks[[#This Row],[_Res4Text]]="","",IF(Tasks[[#This Row],[_Res4Row]]&gt;0,INDEX(res_Name,Tasks[[#This Row],[_Res4Row]]),TRIM(LEFT(Tasks[[#This Row],[_Res4Text]],FIND("[",Tasks[[#This Row],[_Res4Text]]&amp;"[")-1))))</f>
        <v/>
      </c>
      <c r="EI13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5" s="43" t="n">
        <f aca="false">IF(OR(NOT(Tasks[[#This Row],[_IsLeaf]]=1),Tasks[[#This Row],[_Res4Row]]=0),0,N(Tasks[[#This Row],[_Days]])*HoursPerDay*IF(Tasks[[#This Row],[_Res4Units]]="",DefaultUnits,Tasks[[#This Row],[_Res4Units]]))</f>
        <v>0</v>
      </c>
      <c r="EK135" s="43" t="n">
        <f aca="false">IF(AND(AND(Tasks[[#This Row],[_IsLeaf]]=1,Tasks[[#This Row],[_LeafTotalWork]]&gt;0),Tasks[[#This Row],[_Res4Work]]&gt;0),Tasks[[#This Row],[_Res4Work]]/(Tasks[[#This Row],[_FinishWorkday]]-Tasks[[#This Row],[_StartWorkday]]+1),0)</f>
        <v>0</v>
      </c>
      <c r="EL135" s="43" t="n">
        <f aca="false">Tasks[[#This Row],[_Res4WorkPerWD]]*MAX(0,Tasks[[#This Row],[_StartWorkday]]-1)</f>
        <v>0</v>
      </c>
      <c r="EM135" s="43" t="n">
        <f aca="false">Tasks[[#This Row],[_Res4Work]]*Tasks[[#This Row],[_LeafProgress]]</f>
        <v>0</v>
      </c>
      <c r="EN135" s="43" t="n">
        <f aca="false">IF(ISNUMBER(Tasks[[#This Row],[% Complete]]),Tasks[[#This Row],[% Complete]],IF(Tasks[[#This Row],[Stage]]="",0,IFERROR(INDEX(stg_Pct,MATCH(Tasks[[#This Row],[Stage]],stg_Name,0)),0)))</f>
        <v>0</v>
      </c>
      <c r="EO135" s="43" t="n">
        <f aca="false">IF(NOT(Tasks[[#This Row],[_IsLeaf]]=1),0,IF(N(Tasks[[#This Row],[Actual Finish]])&gt;0,1,MIN(1,Tasks[[#This Row],[_Pct]])))</f>
        <v>0</v>
      </c>
      <c r="EP135" s="43" t="n">
        <f aca="false">IF(OR(NOT(Tasks[[#This Row],[_IsLeaf]]=1),Tasks[[#This Row],[_Res1Row]]=0),0,N(Tasks[[#This Row],[_Days]])*HoursPerDay*IF(Tasks[[#This Row],[_Units1]]="",DefaultUnits,Tasks[[#This Row],[_Units1]]))</f>
        <v>0</v>
      </c>
      <c r="EQ135" s="43" t="n">
        <f aca="false">Tasks[[#This Row],[_LeafWork]]+Tasks[[#This Row],[_Res2Work]]+Tasks[[#This Row],[_Res3Work]]+Tasks[[#This Row],[_Res4Work]]</f>
        <v>0</v>
      </c>
      <c r="ER13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5" s="43" t="n">
        <f aca="false">IF(NOT(Tasks[[#This Row],[_IsLeaf]]=1),0,MAX(_xlfn.MAXIFS(Tasks[_Row],Tasks[_Pred1UID],Tasks[[#This Row],[UID]]),_xlfn.MAXIFS(Tasks[_Row],Tasks[_Pred2UID],Tasks[[#This Row],[UID]]),_xlfn.MAXIFS(Tasks[_Row],Tasks[_Pred3UID],Tasks[[#This Row],[UID]]),_xlfn.MAXIFS(Tasks[_Row],Tasks[_Pred4UID],Tasks[[#This Row],[UID]])))</f>
        <v>0</v>
      </c>
      <c r="FA13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5" s="91" t="str">
        <f aca="false">IF(NOT(Tasks[[#This Row],[_IsLeaf]]=1),"",IF(N(Tasks[[#This Row],[_Days]])&lt;=0,Tasks[[#This Row],[_LeafLateFinish]],WORKDAY.INTL(Tasks[[#This Row],[_LeafLateFinish]],-(Tasks[[#This Row],[_Days]]-1),WorkWeek,Holidays)))</f>
        <v/>
      </c>
      <c r="FD13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5" s="90" t="b">
        <f aca="false">AND(Tasks[[#This Row],[_IsLeaf]]=1,Tasks[[#This Row],[_LeafProgress]]&lt;1,N(Tasks[[#This Row],[_LeafTotalSlack]])&lt;=CriticalSlackDays)</f>
        <v>0</v>
      </c>
      <c r="FF135" s="43" t="n">
        <f aca="false">IF(AND(Tasks[[#This Row],[_IsLeaf]]=1,Tasks[[#This Row],[_ConstraintCode]]=1,Tasks[[#This Row],[Mode]]&lt;&gt;"Manual",N(Tasks[[#This Row],[Actual Start]])=0),MAX(0,N(Tasks[[#This Row],[Free Slack]])),0)</f>
        <v>0</v>
      </c>
      <c r="FG135" s="91" t="str">
        <f aca="false">IF(NOT(Tasks[[#This Row],[_IsLeaf]]=1),"",IF(Tasks[[#This Row],[_AlapShift]]=0,Tasks[[#This Row],[_LeafCalcStart]],WORKDAY.INTL(Tasks[[#This Row],[_LeafCalcStart]],Tasks[[#This Row],[_AlapShift]],WorkWeek,Holidays)))</f>
        <v/>
      </c>
      <c r="FH135" s="91" t="str">
        <f aca="false">IF(NOT(Tasks[[#This Row],[_IsLeaf]]=1),"",IF(Tasks[[#This Row],[_AlapShift]]=0,Tasks[[#This Row],[_LeafCalcFinish]],WORKDAY.INTL(Tasks[[#This Row],[_LeafCalcFinish]],Tasks[[#This Row],[_AlapShift]],WorkWeek,Holidays)))</f>
        <v/>
      </c>
      <c r="FI135" s="91" t="str">
        <f aca="false">IF(NOT(Tasks[[#This Row],[_IsLeaf]]=1),"",IF(Tasks[[#This Row],[_AlapShift]]=0,Tasks[[#This Row],[_LeafFcstStart]],WORKDAY.INTL(Tasks[[#This Row],[_LeafFcstStart]],Tasks[[#This Row],[_AlapShift]],WorkWeek,Holidays)))</f>
        <v/>
      </c>
      <c r="FJ135" s="91" t="str">
        <f aca="false">IF(NOT(Tasks[[#This Row],[_IsLeaf]]=1),"",IF(Tasks[[#This Row],[_AlapShift]]=0,Tasks[[#This Row],[_LeafFcstFinish]],WORKDAY.INTL(Tasks[[#This Row],[_LeafFcstFinish]],Tasks[[#This Row],[_AlapShift]],WorkWeek,Holidays)))</f>
        <v/>
      </c>
      <c r="FK135" s="91" t="str">
        <f aca="false">IF(Tasks[[#This Row],[Task Name]]="","",IF(Tasks[[#This Row],[_IsSummary]],MIN(INDEX(Tasks[_ShownCalcStart],Tasks[[#This Row],[_Row]]+1):INDEX(Tasks[_ShownCalcStart],Tasks[[#This Row],[_Row]]+Tasks[[#This Row],[_Descendants]])),Tasks[[#This Row],[_ShownCalcStart]]))</f>
        <v/>
      </c>
      <c r="FL135" s="91" t="str">
        <f aca="false">IF(Tasks[[#This Row],[Task Name]]="","",IF(Tasks[[#This Row],[_IsSummary]],MAX(INDEX(Tasks[_ShownCalcFinish],Tasks[[#This Row],[_Row]]+1):INDEX(Tasks[_ShownCalcFinish],Tasks[[#This Row],[_Row]]+Tasks[[#This Row],[_Descendants]])),Tasks[[#This Row],[_ShownCalcFinish]]))</f>
        <v/>
      </c>
      <c r="FM13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5" s="43" t="n">
        <f aca="false">IF(AND(Tasks[[#This Row],[_IsLeaf]]=1,Tasks[[#This Row],[_LeafTotalWork]]&gt;0),NETWORKDAYS.INTL(ProjectStart,Tasks[[#This Row],[_ShownFcstStart]],WorkWeek,Holidays),0)</f>
        <v>0</v>
      </c>
      <c r="FZ135" s="43" t="n">
        <f aca="false">IF(AND(Tasks[[#This Row],[_IsLeaf]]=1,Tasks[[#This Row],[_LeafTotalWork]]&gt;0),MAX(Tasks[[#This Row],[_StartWorkday]],NETWORKDAYS.INTL(ProjectStart,Tasks[[#This Row],[_ShownFcstFinish]],WorkWeek,Holidays)),0)</f>
        <v>0</v>
      </c>
      <c r="GA135" s="43" t="n">
        <f aca="false">IF(AND(Tasks[[#This Row],[_IsLeaf]]=1,Tasks[[#This Row],[_LeafTotalWork]]&gt;0),Tasks[[#This Row],[_LeafWork]]/(Tasks[[#This Row],[_FinishWorkday]]-Tasks[[#This Row],[_StartWorkday]]+1),0)</f>
        <v>0</v>
      </c>
      <c r="GB135" s="43" t="n">
        <f aca="false">Tasks[[#This Row],[_WorkPerWorkday]]*(Tasks[[#This Row],[_StartWorkday]]-1)</f>
        <v>-0</v>
      </c>
      <c r="GC135" s="43" t="n">
        <f aca="false">IF(Tasks[[#This Row],[_IsLeaf]]=1,MAX(N(Tasks[[#This Row],[_Days]]),0.1),0)</f>
        <v>0</v>
      </c>
      <c r="GD135" s="43" t="n">
        <f aca="false">Tasks[[#This Row],[_WeightDur]]*Tasks[[#This Row],[_LeafProgress]]</f>
        <v>0</v>
      </c>
      <c r="GE135" s="43" t="n">
        <f aca="false">Tasks[[#This Row],[_WeightDur]]*Tasks[[#This Row],[_PlannedPct]]</f>
        <v>0</v>
      </c>
      <c r="GF13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5" s="43" t="str">
        <f aca="false">IF(AND(Tasks[[#This Row],[_IsLeaf]]=1,N(Tasks[[#This Row],[_Days]])=0,Tasks[[#This Row],[_LeafProgress]]&lt;1),Tasks[[#This Row],[_ShownFcstFinish]]+Tasks[[#This Row],[_Row]]/100000,"")</f>
        <v/>
      </c>
      <c r="GH13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5" s="43" t="str">
        <f aca="false">IF(Tasks[[#This Row],[Task Name]]="","",LEFT(Tasks[[#This Row],[WBS]],FIND(".",Tasks[[#This Row],[WBS]]&amp;".")-1))</f>
        <v/>
      </c>
      <c r="GJ135" s="43" t="str">
        <f aca="false">IF(AND(Tasks[[#This Row],[Task Name]]&lt;&gt;"",Tasks[[#This Row],[_Level]]=1),Tasks[[#This Row],[_Row]],"")</f>
        <v/>
      </c>
      <c r="GK135" s="43" t="str">
        <f aca="false">IF(AND(Tasks[[#This Row],[_IsLeaf]]=1,N(Tasks[[#This Row],[_Days]])=0),Tasks[[#This Row],[Planned Finish]]+Tasks[[#This Row],[_Row]]/100000,"")</f>
        <v/>
      </c>
      <c r="GL135" s="43" t="str">
        <f aca="false">IF(AND(Tasks[[#This Row],[_IsLeaf]]=1,Tasks[[#This Row],[_LeafProgress]]&lt;1,OR(N(Tasks[[#This Row],[Finish Var]])&gt;0,Tasks[[#This Row],[Status]]="Late Start")),MAX(0,Tasks[[#This Row],[Finish Var]])+1-Tasks[[#This Row],[_Row]]/1000000,"")</f>
        <v/>
      </c>
      <c r="GM135" s="43" t="str">
        <f aca="false">IF(AND(Tasks[[#This Row],[_IsLeaf]]=1,N(Tasks[[#This Row],[Actual Start]])=0,Tasks[[#This Row],[_ShownFcstStart]]&gt;=StatusDate,Tasks[[#This Row],[_ShownFcstStart]]&lt;=LookaheadEnd),Tasks[[#This Row],[_ShownFcstStart]]+Tasks[[#This Row],[_Row]]/100000,"")</f>
        <v/>
      </c>
      <c r="GN135" s="43" t="str">
        <f aca="false">IF(AND(Tasks[[#This Row],[_IsLeaf]]=1,Tasks[[#This Row],[_LeafProgress]]&lt;1,Tasks[[#This Row],[_ShownFcstFinish]]&gt;=StatusDate,Tasks[[#This Row],[_ShownFcstFinish]]&lt;=LookaheadEnd),Tasks[[#This Row],[_ShownFcstFinish]]+Tasks[[#This Row],[_Row]]/100000,"")</f>
        <v/>
      </c>
      <c r="GO135" s="43" t="str">
        <f aca="false">IF(Tasks[[#This Row],[_LeafCritical]],Tasks[[#This Row],[_ShownFcstStart]]+Tasks[[#This Row],[_Row]]/100000,"")</f>
        <v/>
      </c>
      <c r="GP135" s="43" t="n">
        <f aca="false">Tasks[[#This Row],[_LeafWork]]*Tasks[[#This Row],[_LeafProgress]]</f>
        <v>0</v>
      </c>
      <c r="GQ135" s="91" t="str">
        <f aca="false">IF(AND(Tasks[[#This Row],[_IsLeaf]]=1,Tasks[[#This Row],[_LeafProgress]]&gt;=1),IF(N(Tasks[[#This Row],[Actual Finish]])&gt;0,Tasks[[#This Row],[Actual Finish]],Tasks[[#This Row],[_ShownFcstFinish]]),"")</f>
        <v/>
      </c>
      <c r="GR135" s="43" t="n">
        <f aca="false">IF(Tasks[[#This Row],[_IsLeaf]]=1,N(Tasks[[#This Row],[Story Points]]),0)</f>
        <v>0</v>
      </c>
      <c r="GS135" s="43" t="str">
        <f aca="false">""</f>
        <v/>
      </c>
      <c r="GT135" s="90" t="b">
        <f aca="false">IF(Tasks[[#This Row],[Task Name]]="",FALSE(),AND(Tasks[[#This Row],[_IsLeaf]]=1,N(Tasks[[#This Row],[_Days]])=0))</f>
        <v>0</v>
      </c>
      <c r="GU135" s="91" t="n">
        <f aca="false">IF(Tasks[[#This Row],[Task Name]]="",0,IF(AND(Tasks[[#This Row],[_IsLeaf]]=1,NOT(Tasks[[#This Row],[_IsMilestone]]),N(Tasks[[#This Row],[Progress]])&gt;0),Tasks[[#This Row],[Start]],0))</f>
        <v>0</v>
      </c>
      <c r="GV135" s="91" t="n">
        <f aca="false">IF(Tasks[[#This Row],[_DoneFrom]]=0,0,IF(Tasks[[#This Row],[Progress]]&gt;=1,Tasks[[#This Row],[Finish]],MAX(Tasks[[#This Row],[_DoneFrom]],Tasks[[#This Row],[Start]]+ROUND((Tasks[[#This Row],[Finish]]-Tasks[[#This Row],[Start]]+1)*Tasks[[#This Row],[Progress]],0)-1)))</f>
        <v>0</v>
      </c>
      <c r="GW135" s="91" t="n">
        <f aca="false">IF(Tasks[[#This Row],[Task Name]]="",0,IF(OR(NOT(Tasks[[#This Row],[_IsLeaf]]=1),Tasks[[#This Row],[_IsMilestone]],N(Tasks[[#This Row],[Progress]])&gt;=1),0,IF(Tasks[[#This Row],[_DoneTo]]&gt;0,Tasks[[#This Row],[_DoneTo]]+1,Tasks[[#This Row],[Start]])))</f>
        <v>0</v>
      </c>
      <c r="GX135" s="91" t="n">
        <f aca="false">IF(Tasks[[#This Row],[_RemFrom]]=0,0,Tasks[[#This Row],[Finish]])</f>
        <v>0</v>
      </c>
      <c r="GY135" s="90" t="b">
        <f aca="false">IF(Tasks[[#This Row],[Task Name]]="",FALSE(),OR(NOT(BaselineSet),N(Tasks[[#This Row],[Baseline Start]])&gt;0))</f>
        <v>0</v>
      </c>
      <c r="GZ13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5" s="92" t="str">
        <f aca="false">IF(Tasks[[#This Row],[_IsLeaf]]=1,Tasks[[#This Row],[_Row]],"")</f>
        <v/>
      </c>
      <c r="HD135" s="92" t="str">
        <f aca="false">IFERROR(INDEX(Tasks[UID],SMALL(Tasks[_PickKey],Tasks[[#This Row],[_Row]]))&amp;" "&amp;INDEX(Tasks[Task Name],SMALL(Tasks[_PickKey],Tasks[[#This Row],[_Row]])),"")</f>
        <v/>
      </c>
      <c r="HE135" s="43" t="str">
        <f aca="false">IF(Tasks[[#This Row],[Task Name]]="","",IF(Tasks[[#This Row],[_IsSummary]],NETWORKDAYS.INTL(Tasks[[#This Row],[Start]],Tasks[[#This Row],[Finish]],WorkWeek,Holidays),N(Tasks[[#This Row],[_Days]])))</f>
        <v/>
      </c>
      <c r="HF135" s="43" t="n">
        <f aca="false">IF(Tasks[[#This Row],[Expected]]="",0,((Tasks[[#This Row],[Pessimistic]]-Tasks[[#This Row],[Optimistic]])/6)^2)</f>
        <v>0</v>
      </c>
      <c r="HG135" s="43" t="n">
        <f aca="false">IF(Tasks[[#This Row],[Expected]]="",0,Tasks[[#This Row],[Expected]]-N(Tasks[[#This Row],[_Days]]))</f>
        <v>0</v>
      </c>
    </row>
    <row r="136" customFormat="false" ht="15" hidden="false" customHeight="false" outlineLevel="0" collapsed="false">
      <c r="A136" s="21" t="str">
        <f aca="false">IF(Tasks[[#This Row],[Task Name]]="","",COUNTA(Tasks[[#Headers],[Task Name]]:Tasks[[#This Row],[Task Name]])-1)</f>
        <v/>
      </c>
      <c r="B136" s="22" t="n">
        <v>144</v>
      </c>
      <c r="C136" s="22"/>
      <c r="D136" s="23"/>
      <c r="E136" s="22"/>
      <c r="F136" s="23"/>
      <c r="G136" s="22"/>
      <c r="H136" s="22"/>
      <c r="I136" s="23"/>
      <c r="J136" s="22"/>
      <c r="K136" s="22"/>
      <c r="L136" s="23"/>
      <c r="M136" s="22"/>
      <c r="N136" s="22"/>
      <c r="O136" s="23"/>
      <c r="P136" s="22"/>
      <c r="Q136" s="22"/>
      <c r="R136" s="23"/>
      <c r="S136" s="23"/>
      <c r="T136" s="84"/>
      <c r="U136" s="23"/>
      <c r="V136" s="84"/>
      <c r="W136" s="23"/>
      <c r="X136" s="84"/>
      <c r="Y136" s="23"/>
      <c r="Z136" s="84"/>
      <c r="AA136" s="23"/>
      <c r="AB136" s="23"/>
      <c r="AC136" s="7"/>
      <c r="AD136" s="7"/>
      <c r="AE136" s="63" t="str">
        <f aca="false">IF(Tasks[[#This Row],[Task Name]]="","",IF(Tasks[[#This Row],[_IsSummary]],MIN(INDEX(Tasks[_ShownFcstStart],Tasks[[#This Row],[_Row]]+1):INDEX(Tasks[_ShownFcstStart],Tasks[[#This Row],[_Row]]+Tasks[[#This Row],[_Descendants]])),Tasks[[#This Row],[_ShownFcstStart]]))</f>
        <v/>
      </c>
      <c r="AF136" s="63" t="str">
        <f aca="false">IF(Tasks[[#This Row],[Task Name]]="","",IF(Tasks[[#This Row],[_IsSummary]],MAX(INDEX(Tasks[_ShownFcstFinish],Tasks[[#This Row],[_Row]]+1):INDEX(Tasks[_ShownFcstFinish],Tasks[[#This Row],[_Row]]+Tasks[[#This Row],[_Descendants]])),Tasks[[#This Row],[_ShownFcstFinish]]))</f>
        <v/>
      </c>
      <c r="AG136" s="21" t="str">
        <f aca="false">""</f>
        <v/>
      </c>
      <c r="AH136" s="23"/>
      <c r="AI1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6" s="7"/>
      <c r="AK136" s="22"/>
      <c r="AL136" s="23"/>
      <c r="AM136" s="7"/>
      <c r="AN136" s="47" t="str">
        <f aca="false">IF(Tasks[[#This Row],[Task Name]]="","",IF(Tasks[[#This Row],[Finish]]&gt;=Tasks[[#This Row],[Planned Finish]],NETWORKDAYS.INTL(Tasks[[#This Row],[Planned Finish]],Tasks[[#This Row],[Finish]],WorkWeek,Holidays)-1,1-NETWORKDAYS.INTL(Tasks[[#This Row],[Finish]],Tasks[[#This Row],[Planned Finish]],WorkWeek,Holidays)))</f>
        <v/>
      </c>
      <c r="AO136" s="21" t="str">
        <f aca="false">IF(Tasks[[#This Row],[Task Name]]="","",IF(Tasks[[#This Row],[Progress]]&gt;=1,"Complete",IF(OR(N(Tasks[[#This Row],[Actual Start]])&gt;0,Tasks[[#This Row],[Progress]]&gt;0),IF(Tasks[[#This Row],[Finish Var]]&gt;0,"Behind","In Progress"),IF(Tasks[[#This Row],[Planned Start]]&lt;StatusDate,"Late Start","Not Started"))))</f>
        <v/>
      </c>
      <c r="AP136" s="21" t="str">
        <f aca="false">IF(Tasks[[#This Row],[Task Name]]="","",IF(IF(Tasks[[#This Row],[_IsSummary]],COUNTIF(INDEX(Tasks[_LeafCritical],Tasks[[#This Row],[_Row]]+1):INDEX(Tasks[_LeafCritical],Tasks[[#This Row],[_Row]]+Tasks[[#This Row],[_Descendants]]),TRUE())&gt;0,Tasks[[#This Row],[_LeafCritical]]),"Yes",""))</f>
        <v/>
      </c>
      <c r="AQ136" s="63" t="str">
        <f aca="false">IF(Tasks[[#This Row],[Task Name]]="","",IF(N(Tasks[[#This Row],[Baseline Start]])&gt;0,Tasks[[#This Row],[Baseline Start]],Tasks[[#This Row],[_CalcStart]]))</f>
        <v/>
      </c>
      <c r="AR136" s="63" t="str">
        <f aca="false">IF(Tasks[[#This Row],[Task Name]]="","",IF(N(Tasks[[#This Row],[Baseline Finish]])&gt;0,Tasks[[#This Row],[Baseline Finish]],Tasks[[#This Row],[_CalcFinish]]))</f>
        <v/>
      </c>
      <c r="AS136" s="47" t="str">
        <f aca="false">IF(Tasks[[#This Row],[Task Name]]="","",IF(Tasks[[#This Row],[Start]]&gt;=Tasks[[#This Row],[Planned Start]],NETWORKDAYS.INTL(Tasks[[#This Row],[Planned Start]],Tasks[[#This Row],[Start]],WorkWeek,Holidays)-1,1-NETWORKDAYS.INTL(Tasks[[#This Row],[Start]],Tasks[[#This Row],[Planned Start]],WorkWeek,Holidays)))</f>
        <v/>
      </c>
      <c r="AT136" s="63" t="str">
        <f aca="false">IF(Tasks[[#This Row],[Task Name]]="","",IF(Tasks[[#This Row],[_IsSummary]],MIN(INDEX(Tasks[_LeafLateStart],Tasks[[#This Row],[_Row]]+1):INDEX(Tasks[_LeafLateStart],Tasks[[#This Row],[_Row]]+Tasks[[#This Row],[_Descendants]])),Tasks[[#This Row],[_LeafLateStart]]))</f>
        <v/>
      </c>
      <c r="AU136" s="63" t="str">
        <f aca="false">IF(Tasks[[#This Row],[Task Name]]="","",IF(Tasks[[#This Row],[_IsSummary]],MAX(INDEX(Tasks[_LeafLateFinish],Tasks[[#This Row],[_Row]]+1):INDEX(Tasks[_LeafLateFinish],Tasks[[#This Row],[_Row]]+Tasks[[#This Row],[_Descendants]])),Tasks[[#This Row],[_LeafLateFinish]]))</f>
        <v/>
      </c>
      <c r="AV136" s="47" t="str">
        <f aca="false">IF(Tasks[[#This Row],[Task Name]]="","",IF(Tasks[[#This Row],[_IsSummary]],MIN(INDEX(Tasks[_LeafTotalSlack],Tasks[[#This Row],[_Row]]+1):INDEX(Tasks[_LeafTotalSlack],Tasks[[#This Row],[_Row]]+Tasks[[#This Row],[_Descendants]])),Tasks[[#This Row],[_LeafTotalSlack]]))</f>
        <v/>
      </c>
      <c r="AW1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5"/>
      <c r="BA13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1" t="str">
        <f aca="false">IF(Tasks[[#This Row],[Task Name]]="","",IF(Tasks[[#This Row],[_Level]]&lt;=OutlineShowLevel,"Yes","No"))</f>
        <v/>
      </c>
      <c r="BE136" s="86" t="str">
        <f aca="false">IF(Tasks[[#This Row],[Task Name]]="","",IF(Tasks[[#This Row],[_IsSummary]],SUM(INDEX(Tasks[_LeafTotalWork],Tasks[[#This Row],[_Row]]+1):INDEX(Tasks[_LeafTotalWork],Tasks[[#This Row],[_Row]]+Tasks[[#This Row],[_Descendants]])),Tasks[[#This Row],[_LeafTotalWork]]))</f>
        <v/>
      </c>
      <c r="BF136" s="23"/>
      <c r="BG1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6" s="21" t="str">
        <f aca="false">""</f>
        <v/>
      </c>
      <c r="BI136" s="87"/>
      <c r="BJ136" s="22"/>
      <c r="BK136" s="47" t="str">
        <f aca="false">IF(OR(Tasks[[#This Row],[Task Name]]="",Tasks[[#This Row],[Baseline Duration]]=""),"",Tasks[[#This Row],[_SpanDays]]-N(Tasks[[#This Row],[Baseline Duration]]))</f>
        <v/>
      </c>
      <c r="BL136" s="86" t="str">
        <f aca="false">IF(OR(Tasks[[#This Row],[Task Name]]="",Tasks[[#This Row],[Baseline Work]]=""),"",Tasks[[#This Row],[Work]]-N(Tasks[[#This Row],[Baseline Work]]))</f>
        <v/>
      </c>
      <c r="BM136" s="63" t="str">
        <f aca="false">IF(Tasks[[#This Row],[Task Name]]="","",IF(OR(TakeBaseline="Yes",N(Tasks[[#This Row],[Baseline Start]])=0),Tasks[[#This Row],[Start]],Tasks[[#This Row],[Baseline Start]]))</f>
        <v/>
      </c>
      <c r="BN136" s="63" t="str">
        <f aca="false">IF(Tasks[[#This Row],[Task Name]]="","",IF(OR(TakeBaseline="Yes",N(Tasks[[#This Row],[Baseline Finish]])=0),Tasks[[#This Row],[Finish]],Tasks[[#This Row],[Baseline Finish]]))</f>
        <v/>
      </c>
      <c r="BO136" s="21" t="str">
        <f aca="false">IF(Tasks[[#This Row],[Task Name]]="","",IF(OR(TakeBaseline="Yes",N(Tasks[[#This Row],[Baseline Duration]])=0),Tasks[[#This Row],[_SpanDays]],Tasks[[#This Row],[Baseline Duration]]))</f>
        <v/>
      </c>
      <c r="BP136" s="86" t="str">
        <f aca="false">IF(Tasks[[#This Row],[Task Name]]="","",IF(OR(TakeBaseline="Yes",N(Tasks[[#This Row],[Baseline Work]])=0),Tasks[[#This Row],[Work]],Tasks[[#This Row],[Baseline Work]]))</f>
        <v/>
      </c>
      <c r="BQ136" s="7"/>
      <c r="BR136" s="7"/>
      <c r="BS136" s="22"/>
      <c r="BT136" s="88"/>
      <c r="BU136" s="23"/>
      <c r="BV136" s="23"/>
      <c r="BW136" s="23"/>
      <c r="BX136" s="89" t="str">
        <f aca="false">IF(AND(Tasks[[#This Row],[_IsLeaf]]=1,ISNUMBER(Tasks[[#This Row],[Optimistic]]),ISNUMBER(Tasks[[#This Row],[Pessimistic]])),ROUND((Tasks[[#This Row],[Optimistic]]+4*N(Tasks[[#This Row],[_Days]])+Tasks[[#This Row],[Pessimistic]])/6,1),"")</f>
        <v/>
      </c>
      <c r="BY136" s="87"/>
      <c r="BZ136" s="87"/>
      <c r="CA136" s="22"/>
      <c r="CB136" s="43" t="str">
        <f aca="false">IF(Tasks[[#This Row],[Task Name]]="","",MAX(1,N(Tasks[[#This Row],[Level]])))</f>
        <v/>
      </c>
      <c r="CC136" s="43" t="n">
        <f aca="false">ROW()-ROW(Tasks[[#Headers],[ID]])</f>
        <v>131</v>
      </c>
      <c r="CD136" s="43" t="n">
        <f aca="false">IF(OR(Tasks[[#This Row],[Task Name]]="",Tasks[[#This Row],[_Level]]&lt;=1),0,IFERROR(LOOKUP(2,1/(Tasks[[#Headers],[_Level]]:Tasks[[#This Row],[_Level]]=Tasks[[#This Row],[_Level]]-1),ROW(Tasks[[#Headers],[_Level]]:Tasks[[#This Row],[_Level]])),0))</f>
        <v>0</v>
      </c>
      <c r="CE136" s="43" t="n">
        <f aca="false">IFERROR(N(INDEX(Tasks[_Level],Tasks[[#This Row],[_Row]]+1)),0)</f>
        <v>0</v>
      </c>
      <c r="CF136" s="90" t="b">
        <f aca="false">AND(Tasks[[#This Row],[Task Name]]&lt;&gt;"",Tasks[[#This Row],[_NextLevel]]&gt;Tasks[[#This Row],[_Level]])</f>
        <v>0</v>
      </c>
      <c r="CG136" s="43" t="n">
        <f aca="false">IF(Tasks[[#This Row],[_IsSummary]],COUNTIF(Tasks[WBS],Tasks[[#This Row],[WBS]]&amp;".*"),0)</f>
        <v>0</v>
      </c>
      <c r="CH136" s="43" t="n">
        <f aca="false">IF(AND(Tasks[[#This Row],[Task Name]]&lt;&gt;"",NOT(Tasks[[#This Row],[_IsSummary]])),1,0)</f>
        <v>0</v>
      </c>
      <c r="CI136" s="43" t="n">
        <f aca="false">IF(N(Tasks[[#This Row],[_Pred1UID]])=0,0,IFERROR(MATCH(Tasks[[#This Row],[_Pred1UID]],Tasks[UID],0),-1))</f>
        <v>0</v>
      </c>
      <c r="CJ136" s="43" t="n">
        <f aca="false">IF(N(Tasks[[#This Row],[_Pred2UID]])=0,0,IFERROR(MATCH(Tasks[[#This Row],[_Pred2UID]],Tasks[UID],0),-1))</f>
        <v>0</v>
      </c>
      <c r="CK136" s="43" t="n">
        <f aca="false">IF(N(Tasks[[#This Row],[_Pred3UID]])=0,0,IFERROR(MATCH(Tasks[[#This Row],[_Pred3UID]],Tasks[UID],0),-1))</f>
        <v>0</v>
      </c>
      <c r="CL136" s="43" t="n">
        <f aca="false">IF(N(Tasks[[#This Row],[_Pred4UID]])=0,0,IFERROR(MATCH(Tasks[[#This Row],[_Pred4UID]],Tasks[UID],0),-1))</f>
        <v>0</v>
      </c>
      <c r="CM13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6" s="91" t="n">
        <f aca="false">IF(OR(Tasks[[#This Row],[_ConstraintCode]]=2,Tasks[[#This Row],[_ConstraintCode]]=3,Tasks[[#This Row],[_ConstraintCode]]=4,Tasks[[#This Row],[_ConstraintCode]]=6),Tasks[[#This Row],[_ConstraintStart]],0)</f>
        <v>0</v>
      </c>
      <c r="CP136" s="91" t="n">
        <f aca="false">IF(OR(Tasks[[#This Row],[_ConstraintCode]]=2,Tasks[[#This Row],[_ConstraintCode]]=3,Tasks[[#This Row],[_ConstraintCode]]=5,Tasks[[#This Row],[_ConstraintCode]]=7),Tasks[[#This Row],[_ConstraintStart]],2958465)</f>
        <v>2958465</v>
      </c>
      <c r="CQ13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6" s="91" t="str">
        <f aca="false">IF(NOT(Tasks[[#This Row],[_IsLeaf]]=1),"",IF(N(Tasks[[#This Row],[_Days]])&lt;=0,Tasks[[#This Row],[_LeafCalcStart]],WORKDAY.INTL(Tasks[[#This Row],[_LeafCalcStart]],Tasks[[#This Row],[_Days]]-1,WorkWeek,Holidays)))</f>
        <v/>
      </c>
      <c r="CS13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6" s="43" t="str">
        <f aca="false">IF(Tasks[[#This Row],[_Predecessors]]="","",TRIM(MID(SUBSTITUTE(SUBSTITUTE(SUBSTITUTE(UPPER(Tasks[[#This Row],[_Predecessors]]),";",",")," ",""),",",REPT(" ",99)),1,99)))</f>
        <v/>
      </c>
      <c r="CV136" s="43" t="str">
        <f aca="false">IF(Tasks[[#This Row],[_Pred1Text]]="","",IFERROR(VALUE(LEFT(Tasks[[#This Row],[_Pred1Text]],MIN(FIND("F",Tasks[[#This Row],[_Pred1Text]]&amp;"F"),FIND("S",Tasks[[#This Row],[_Pred1Text]]&amp;"S"),FIND("+",Tasks[[#This Row],[_Pred1Text]]&amp;"+"),FIND("-",Tasks[[#This Row],[_Pred1Text]]&amp;"-"))-1)),""))</f>
        <v/>
      </c>
      <c r="CW13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6" s="43" t="str">
        <f aca="false">IF(Tasks[[#This Row],[_Pred1Text]]="","",TRIM(MID(SUBSTITUTE(SUBSTITUTE(SUBSTITUTE(UPPER(Tasks[[#This Row],[_Predecessors]]),";",",")," ",""),",",REPT(" ",99)),100,99)))</f>
        <v/>
      </c>
      <c r="CZ136" s="43" t="str">
        <f aca="false">IF(Tasks[[#This Row],[_Pred2Text]]="","",IFERROR(VALUE(LEFT(Tasks[[#This Row],[_Pred2Text]],MIN(FIND("F",Tasks[[#This Row],[_Pred2Text]]&amp;"F"),FIND("S",Tasks[[#This Row],[_Pred2Text]]&amp;"S"),FIND("+",Tasks[[#This Row],[_Pred2Text]]&amp;"+"),FIND("-",Tasks[[#This Row],[_Pred2Text]]&amp;"-"))-1)),""))</f>
        <v/>
      </c>
      <c r="DA13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6" s="43" t="str">
        <f aca="false">IF(Tasks[[#This Row],[_Pred2Text]]="","",TRIM(MID(SUBSTITUTE(SUBSTITUTE(SUBSTITUTE(UPPER(Tasks[[#This Row],[_Predecessors]]),";",",")," ",""),",",REPT(" ",99)),199,99)))</f>
        <v/>
      </c>
      <c r="DD136" s="43" t="str">
        <f aca="false">IF(Tasks[[#This Row],[_Pred3Text]]="","",IFERROR(VALUE(LEFT(Tasks[[#This Row],[_Pred3Text]],MIN(FIND("F",Tasks[[#This Row],[_Pred3Text]]&amp;"F"),FIND("S",Tasks[[#This Row],[_Pred3Text]]&amp;"S"),FIND("+",Tasks[[#This Row],[_Pred3Text]]&amp;"+"),FIND("-",Tasks[[#This Row],[_Pred3Text]]&amp;"-"))-1)),""))</f>
        <v/>
      </c>
      <c r="DE13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6" s="43" t="str">
        <f aca="false">IF(Tasks[[#This Row],[_Pred3Text]]="","",TRIM(MID(SUBSTITUTE(SUBSTITUTE(SUBSTITUTE(UPPER(Tasks[[#This Row],[_Predecessors]]),";",",")," ",""),",",REPT(" ",99)),298,99)))</f>
        <v/>
      </c>
      <c r="DH136" s="43" t="str">
        <f aca="false">IF(Tasks[[#This Row],[_Pred4Text]]="","",IFERROR(VALUE(LEFT(Tasks[[#This Row],[_Pred4Text]],MIN(FIND("F",Tasks[[#This Row],[_Pred4Text]]&amp;"F"),FIND("S",Tasks[[#This Row],[_Pred4Text]]&amp;"S"),FIND("+",Tasks[[#This Row],[_Pred4Text]]&amp;"+"),FIND("-",Tasks[[#This Row],[_Pred4Text]]&amp;"-"))-1)),""))</f>
        <v/>
      </c>
      <c r="DI13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6" s="43" t="str">
        <f aca="false">IF(OR(Tasks[[#This Row],[Task Name]]="",Tasks[[#This Row],[_Resources]]=""),"",TRIM(MID(SUBSTITUTE(Tasks[[#This Row],[_Resources]],",",REPT(" ",99)),1,99)))</f>
        <v/>
      </c>
      <c r="DL136" s="43" t="str">
        <f aca="false">IF(Tasks[[#This Row],[_Res1Text]]="","",TRIM(MID(SUBSTITUTE(Tasks[[#This Row],[_Resources]],",",REPT(" ",99)),100,99)))</f>
        <v/>
      </c>
      <c r="DM136" s="43" t="str">
        <f aca="false">IF(Tasks[[#This Row],[_Res2Text]]="","",TRIM(MID(SUBSTITUTE(Tasks[[#This Row],[_Resources]],",",REPT(" ",99)),199,99)))</f>
        <v/>
      </c>
      <c r="DN136" s="43" t="str">
        <f aca="false">IF(Tasks[[#This Row],[_Res3Text]]="","",TRIM(MID(SUBSTITUTE(Tasks[[#This Row],[_Resources]],",",REPT(" ",99)),298,99)))</f>
        <v/>
      </c>
      <c r="DO136" s="43" t="n">
        <f aca="false">IF(Tasks[[#This Row],[_Res1Text]]="",0,IFERROR(MATCH(TRIM(LEFT(Tasks[[#This Row],[_Res1Text]],FIND("[",Tasks[[#This Row],[_Res1Text]]&amp;"[")-1)),res_Name,0),IFERROR(MATCH(TRIM(LEFT(Tasks[[#This Row],[_Res1Text]],FIND("[",Tasks[[#This Row],[_Res1Text]]&amp;"[")-1)),res_Initials,0),0)))</f>
        <v>0</v>
      </c>
      <c r="DP136" s="43" t="n">
        <f aca="false">IF(Tasks[[#This Row],[_Res2Text]]="",0,IFERROR(MATCH(TRIM(LEFT(Tasks[[#This Row],[_Res2Text]],FIND("[",Tasks[[#This Row],[_Res2Text]]&amp;"[")-1)),res_Name,0),IFERROR(MATCH(TRIM(LEFT(Tasks[[#This Row],[_Res2Text]],FIND("[",Tasks[[#This Row],[_Res2Text]]&amp;"[")-1)),res_Initials,0),0)))</f>
        <v>0</v>
      </c>
      <c r="DQ136" s="43" t="n">
        <f aca="false">IF(Tasks[[#This Row],[_Res3Text]]="",0,IFERROR(MATCH(TRIM(LEFT(Tasks[[#This Row],[_Res3Text]],FIND("[",Tasks[[#This Row],[_Res3Text]]&amp;"[")-1)),res_Name,0),IFERROR(MATCH(TRIM(LEFT(Tasks[[#This Row],[_Res3Text]],FIND("[",Tasks[[#This Row],[_Res3Text]]&amp;"[")-1)),res_Initials,0),0)))</f>
        <v>0</v>
      </c>
      <c r="DR136" s="43" t="n">
        <f aca="false">IF(Tasks[[#This Row],[_Res4Text]]="",0,IFERROR(MATCH(TRIM(LEFT(Tasks[[#This Row],[_Res4Text]],FIND("[",Tasks[[#This Row],[_Res4Text]]&amp;"[")-1)),res_Name,0),IFERROR(MATCH(TRIM(LEFT(Tasks[[#This Row],[_Res4Text]],FIND("[",Tasks[[#This Row],[_Res4Text]]&amp;"[")-1)),res_Initials,0),0)))</f>
        <v>0</v>
      </c>
      <c r="DS136" s="43" t="str">
        <f aca="false">IF(Tasks[[#This Row],[_Res1Text]]="","",IF(Tasks[[#This Row],[_Res1Row]]&gt;0,INDEX(res_Name,Tasks[[#This Row],[_Res1Row]]),TRIM(LEFT(Tasks[[#This Row],[_Res1Text]],FIND("[",Tasks[[#This Row],[_Res1Text]]&amp;"[")-1))))</f>
        <v/>
      </c>
      <c r="DT13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6" s="43" t="n">
        <f aca="false">IF(NOT(Tasks[[#This Row],[_IsLeaf]]=1),0,(Tasks[[#This Row],[_Resource1]]&lt;&gt;"")+(Tasks[[#This Row],[_Res2]]&lt;&gt;"")+(Tasks[[#This Row],[_Res3]]&lt;&gt;"")+(Tasks[[#This Row],[_Res4]]&lt;&gt;""))</f>
        <v>0</v>
      </c>
      <c r="DV136" s="43" t="str">
        <f aca="false">IF(Tasks[[#This Row],[_Res2Text]]="","",IF(Tasks[[#This Row],[_Res2Row]]&gt;0,INDEX(res_Name,Tasks[[#This Row],[_Res2Row]]),TRIM(LEFT(Tasks[[#This Row],[_Res2Text]],FIND("[",Tasks[[#This Row],[_Res2Text]]&amp;"[")-1))))</f>
        <v/>
      </c>
      <c r="DW13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6" s="43" t="n">
        <f aca="false">IF(OR(NOT(Tasks[[#This Row],[_IsLeaf]]=1),Tasks[[#This Row],[_Res2Row]]=0),0,N(Tasks[[#This Row],[_Days]])*HoursPerDay*IF(Tasks[[#This Row],[_Res2Units]]="",DefaultUnits,Tasks[[#This Row],[_Res2Units]]))</f>
        <v>0</v>
      </c>
      <c r="DY136" s="43" t="n">
        <f aca="false">IF(AND(AND(Tasks[[#This Row],[_IsLeaf]]=1,Tasks[[#This Row],[_LeafTotalWork]]&gt;0),Tasks[[#This Row],[_Res2Work]]&gt;0),Tasks[[#This Row],[_Res2Work]]/(Tasks[[#This Row],[_FinishWorkday]]-Tasks[[#This Row],[_StartWorkday]]+1),0)</f>
        <v>0</v>
      </c>
      <c r="DZ136" s="43" t="n">
        <f aca="false">Tasks[[#This Row],[_Res2WorkPerWD]]*MAX(0,Tasks[[#This Row],[_StartWorkday]]-1)</f>
        <v>0</v>
      </c>
      <c r="EA136" s="43" t="n">
        <f aca="false">Tasks[[#This Row],[_Res2Work]]*Tasks[[#This Row],[_LeafProgress]]</f>
        <v>0</v>
      </c>
      <c r="EB136" s="43" t="str">
        <f aca="false">IF(Tasks[[#This Row],[_Res3Text]]="","",IF(Tasks[[#This Row],[_Res3Row]]&gt;0,INDEX(res_Name,Tasks[[#This Row],[_Res3Row]]),TRIM(LEFT(Tasks[[#This Row],[_Res3Text]],FIND("[",Tasks[[#This Row],[_Res3Text]]&amp;"[")-1))))</f>
        <v/>
      </c>
      <c r="EC13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6" s="43" t="n">
        <f aca="false">IF(OR(NOT(Tasks[[#This Row],[_IsLeaf]]=1),Tasks[[#This Row],[_Res3Row]]=0),0,N(Tasks[[#This Row],[_Days]])*HoursPerDay*IF(Tasks[[#This Row],[_Res3Units]]="",DefaultUnits,Tasks[[#This Row],[_Res3Units]]))</f>
        <v>0</v>
      </c>
      <c r="EE136" s="43" t="n">
        <f aca="false">IF(AND(AND(Tasks[[#This Row],[_IsLeaf]]=1,Tasks[[#This Row],[_LeafTotalWork]]&gt;0),Tasks[[#This Row],[_Res3Work]]&gt;0),Tasks[[#This Row],[_Res3Work]]/(Tasks[[#This Row],[_FinishWorkday]]-Tasks[[#This Row],[_StartWorkday]]+1),0)</f>
        <v>0</v>
      </c>
      <c r="EF136" s="43" t="n">
        <f aca="false">Tasks[[#This Row],[_Res3WorkPerWD]]*MAX(0,Tasks[[#This Row],[_StartWorkday]]-1)</f>
        <v>0</v>
      </c>
      <c r="EG136" s="43" t="n">
        <f aca="false">Tasks[[#This Row],[_Res3Work]]*Tasks[[#This Row],[_LeafProgress]]</f>
        <v>0</v>
      </c>
      <c r="EH136" s="43" t="str">
        <f aca="false">IF(Tasks[[#This Row],[_Res4Text]]="","",IF(Tasks[[#This Row],[_Res4Row]]&gt;0,INDEX(res_Name,Tasks[[#This Row],[_Res4Row]]),TRIM(LEFT(Tasks[[#This Row],[_Res4Text]],FIND("[",Tasks[[#This Row],[_Res4Text]]&amp;"[")-1))))</f>
        <v/>
      </c>
      <c r="EI13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6" s="43" t="n">
        <f aca="false">IF(OR(NOT(Tasks[[#This Row],[_IsLeaf]]=1),Tasks[[#This Row],[_Res4Row]]=0),0,N(Tasks[[#This Row],[_Days]])*HoursPerDay*IF(Tasks[[#This Row],[_Res4Units]]="",DefaultUnits,Tasks[[#This Row],[_Res4Units]]))</f>
        <v>0</v>
      </c>
      <c r="EK136" s="43" t="n">
        <f aca="false">IF(AND(AND(Tasks[[#This Row],[_IsLeaf]]=1,Tasks[[#This Row],[_LeafTotalWork]]&gt;0),Tasks[[#This Row],[_Res4Work]]&gt;0),Tasks[[#This Row],[_Res4Work]]/(Tasks[[#This Row],[_FinishWorkday]]-Tasks[[#This Row],[_StartWorkday]]+1),0)</f>
        <v>0</v>
      </c>
      <c r="EL136" s="43" t="n">
        <f aca="false">Tasks[[#This Row],[_Res4WorkPerWD]]*MAX(0,Tasks[[#This Row],[_StartWorkday]]-1)</f>
        <v>0</v>
      </c>
      <c r="EM136" s="43" t="n">
        <f aca="false">Tasks[[#This Row],[_Res4Work]]*Tasks[[#This Row],[_LeafProgress]]</f>
        <v>0</v>
      </c>
      <c r="EN136" s="43" t="n">
        <f aca="false">IF(ISNUMBER(Tasks[[#This Row],[% Complete]]),Tasks[[#This Row],[% Complete]],IF(Tasks[[#This Row],[Stage]]="",0,IFERROR(INDEX(stg_Pct,MATCH(Tasks[[#This Row],[Stage]],stg_Name,0)),0)))</f>
        <v>0</v>
      </c>
      <c r="EO136" s="43" t="n">
        <f aca="false">IF(NOT(Tasks[[#This Row],[_IsLeaf]]=1),0,IF(N(Tasks[[#This Row],[Actual Finish]])&gt;0,1,MIN(1,Tasks[[#This Row],[_Pct]])))</f>
        <v>0</v>
      </c>
      <c r="EP136" s="43" t="n">
        <f aca="false">IF(OR(NOT(Tasks[[#This Row],[_IsLeaf]]=1),Tasks[[#This Row],[_Res1Row]]=0),0,N(Tasks[[#This Row],[_Days]])*HoursPerDay*IF(Tasks[[#This Row],[_Units1]]="",DefaultUnits,Tasks[[#This Row],[_Units1]]))</f>
        <v>0</v>
      </c>
      <c r="EQ136" s="43" t="n">
        <f aca="false">Tasks[[#This Row],[_LeafWork]]+Tasks[[#This Row],[_Res2Work]]+Tasks[[#This Row],[_Res3Work]]+Tasks[[#This Row],[_Res4Work]]</f>
        <v>0</v>
      </c>
      <c r="ER13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6" s="43" t="n">
        <f aca="false">IF(NOT(Tasks[[#This Row],[_IsLeaf]]=1),0,MAX(_xlfn.MAXIFS(Tasks[_Row],Tasks[_Pred1UID],Tasks[[#This Row],[UID]]),_xlfn.MAXIFS(Tasks[_Row],Tasks[_Pred2UID],Tasks[[#This Row],[UID]]),_xlfn.MAXIFS(Tasks[_Row],Tasks[_Pred3UID],Tasks[[#This Row],[UID]]),_xlfn.MAXIFS(Tasks[_Row],Tasks[_Pred4UID],Tasks[[#This Row],[UID]])))</f>
        <v>0</v>
      </c>
      <c r="FA13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6" s="91" t="str">
        <f aca="false">IF(NOT(Tasks[[#This Row],[_IsLeaf]]=1),"",IF(N(Tasks[[#This Row],[_Days]])&lt;=0,Tasks[[#This Row],[_LeafLateFinish]],WORKDAY.INTL(Tasks[[#This Row],[_LeafLateFinish]],-(Tasks[[#This Row],[_Days]]-1),WorkWeek,Holidays)))</f>
        <v/>
      </c>
      <c r="FD13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6" s="90" t="b">
        <f aca="false">AND(Tasks[[#This Row],[_IsLeaf]]=1,Tasks[[#This Row],[_LeafProgress]]&lt;1,N(Tasks[[#This Row],[_LeafTotalSlack]])&lt;=CriticalSlackDays)</f>
        <v>0</v>
      </c>
      <c r="FF136" s="43" t="n">
        <f aca="false">IF(AND(Tasks[[#This Row],[_IsLeaf]]=1,Tasks[[#This Row],[_ConstraintCode]]=1,Tasks[[#This Row],[Mode]]&lt;&gt;"Manual",N(Tasks[[#This Row],[Actual Start]])=0),MAX(0,N(Tasks[[#This Row],[Free Slack]])),0)</f>
        <v>0</v>
      </c>
      <c r="FG136" s="91" t="str">
        <f aca="false">IF(NOT(Tasks[[#This Row],[_IsLeaf]]=1),"",IF(Tasks[[#This Row],[_AlapShift]]=0,Tasks[[#This Row],[_LeafCalcStart]],WORKDAY.INTL(Tasks[[#This Row],[_LeafCalcStart]],Tasks[[#This Row],[_AlapShift]],WorkWeek,Holidays)))</f>
        <v/>
      </c>
      <c r="FH136" s="91" t="str">
        <f aca="false">IF(NOT(Tasks[[#This Row],[_IsLeaf]]=1),"",IF(Tasks[[#This Row],[_AlapShift]]=0,Tasks[[#This Row],[_LeafCalcFinish]],WORKDAY.INTL(Tasks[[#This Row],[_LeafCalcFinish]],Tasks[[#This Row],[_AlapShift]],WorkWeek,Holidays)))</f>
        <v/>
      </c>
      <c r="FI136" s="91" t="str">
        <f aca="false">IF(NOT(Tasks[[#This Row],[_IsLeaf]]=1),"",IF(Tasks[[#This Row],[_AlapShift]]=0,Tasks[[#This Row],[_LeafFcstStart]],WORKDAY.INTL(Tasks[[#This Row],[_LeafFcstStart]],Tasks[[#This Row],[_AlapShift]],WorkWeek,Holidays)))</f>
        <v/>
      </c>
      <c r="FJ136" s="91" t="str">
        <f aca="false">IF(NOT(Tasks[[#This Row],[_IsLeaf]]=1),"",IF(Tasks[[#This Row],[_AlapShift]]=0,Tasks[[#This Row],[_LeafFcstFinish]],WORKDAY.INTL(Tasks[[#This Row],[_LeafFcstFinish]],Tasks[[#This Row],[_AlapShift]],WorkWeek,Holidays)))</f>
        <v/>
      </c>
      <c r="FK136" s="91" t="str">
        <f aca="false">IF(Tasks[[#This Row],[Task Name]]="","",IF(Tasks[[#This Row],[_IsSummary]],MIN(INDEX(Tasks[_ShownCalcStart],Tasks[[#This Row],[_Row]]+1):INDEX(Tasks[_ShownCalcStart],Tasks[[#This Row],[_Row]]+Tasks[[#This Row],[_Descendants]])),Tasks[[#This Row],[_ShownCalcStart]]))</f>
        <v/>
      </c>
      <c r="FL136" s="91" t="str">
        <f aca="false">IF(Tasks[[#This Row],[Task Name]]="","",IF(Tasks[[#This Row],[_IsSummary]],MAX(INDEX(Tasks[_ShownCalcFinish],Tasks[[#This Row],[_Row]]+1):INDEX(Tasks[_ShownCalcFinish],Tasks[[#This Row],[_Row]]+Tasks[[#This Row],[_Descendants]])),Tasks[[#This Row],[_ShownCalcFinish]]))</f>
        <v/>
      </c>
      <c r="FM13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6" s="43" t="n">
        <f aca="false">IF(AND(Tasks[[#This Row],[_IsLeaf]]=1,Tasks[[#This Row],[_LeafTotalWork]]&gt;0),NETWORKDAYS.INTL(ProjectStart,Tasks[[#This Row],[_ShownFcstStart]],WorkWeek,Holidays),0)</f>
        <v>0</v>
      </c>
      <c r="FZ136" s="43" t="n">
        <f aca="false">IF(AND(Tasks[[#This Row],[_IsLeaf]]=1,Tasks[[#This Row],[_LeafTotalWork]]&gt;0),MAX(Tasks[[#This Row],[_StartWorkday]],NETWORKDAYS.INTL(ProjectStart,Tasks[[#This Row],[_ShownFcstFinish]],WorkWeek,Holidays)),0)</f>
        <v>0</v>
      </c>
      <c r="GA136" s="43" t="n">
        <f aca="false">IF(AND(Tasks[[#This Row],[_IsLeaf]]=1,Tasks[[#This Row],[_LeafTotalWork]]&gt;0),Tasks[[#This Row],[_LeafWork]]/(Tasks[[#This Row],[_FinishWorkday]]-Tasks[[#This Row],[_StartWorkday]]+1),0)</f>
        <v>0</v>
      </c>
      <c r="GB136" s="43" t="n">
        <f aca="false">Tasks[[#This Row],[_WorkPerWorkday]]*(Tasks[[#This Row],[_StartWorkday]]-1)</f>
        <v>-0</v>
      </c>
      <c r="GC136" s="43" t="n">
        <f aca="false">IF(Tasks[[#This Row],[_IsLeaf]]=1,MAX(N(Tasks[[#This Row],[_Days]]),0.1),0)</f>
        <v>0</v>
      </c>
      <c r="GD136" s="43" t="n">
        <f aca="false">Tasks[[#This Row],[_WeightDur]]*Tasks[[#This Row],[_LeafProgress]]</f>
        <v>0</v>
      </c>
      <c r="GE136" s="43" t="n">
        <f aca="false">Tasks[[#This Row],[_WeightDur]]*Tasks[[#This Row],[_PlannedPct]]</f>
        <v>0</v>
      </c>
      <c r="GF13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6" s="43" t="str">
        <f aca="false">IF(AND(Tasks[[#This Row],[_IsLeaf]]=1,N(Tasks[[#This Row],[_Days]])=0,Tasks[[#This Row],[_LeafProgress]]&lt;1),Tasks[[#This Row],[_ShownFcstFinish]]+Tasks[[#This Row],[_Row]]/100000,"")</f>
        <v/>
      </c>
      <c r="GH13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6" s="43" t="str">
        <f aca="false">IF(Tasks[[#This Row],[Task Name]]="","",LEFT(Tasks[[#This Row],[WBS]],FIND(".",Tasks[[#This Row],[WBS]]&amp;".")-1))</f>
        <v/>
      </c>
      <c r="GJ136" s="43" t="str">
        <f aca="false">IF(AND(Tasks[[#This Row],[Task Name]]&lt;&gt;"",Tasks[[#This Row],[_Level]]=1),Tasks[[#This Row],[_Row]],"")</f>
        <v/>
      </c>
      <c r="GK136" s="43" t="str">
        <f aca="false">IF(AND(Tasks[[#This Row],[_IsLeaf]]=1,N(Tasks[[#This Row],[_Days]])=0),Tasks[[#This Row],[Planned Finish]]+Tasks[[#This Row],[_Row]]/100000,"")</f>
        <v/>
      </c>
      <c r="GL136" s="43" t="str">
        <f aca="false">IF(AND(Tasks[[#This Row],[_IsLeaf]]=1,Tasks[[#This Row],[_LeafProgress]]&lt;1,OR(N(Tasks[[#This Row],[Finish Var]])&gt;0,Tasks[[#This Row],[Status]]="Late Start")),MAX(0,Tasks[[#This Row],[Finish Var]])+1-Tasks[[#This Row],[_Row]]/1000000,"")</f>
        <v/>
      </c>
      <c r="GM136" s="43" t="str">
        <f aca="false">IF(AND(Tasks[[#This Row],[_IsLeaf]]=1,N(Tasks[[#This Row],[Actual Start]])=0,Tasks[[#This Row],[_ShownFcstStart]]&gt;=StatusDate,Tasks[[#This Row],[_ShownFcstStart]]&lt;=LookaheadEnd),Tasks[[#This Row],[_ShownFcstStart]]+Tasks[[#This Row],[_Row]]/100000,"")</f>
        <v/>
      </c>
      <c r="GN136" s="43" t="str">
        <f aca="false">IF(AND(Tasks[[#This Row],[_IsLeaf]]=1,Tasks[[#This Row],[_LeafProgress]]&lt;1,Tasks[[#This Row],[_ShownFcstFinish]]&gt;=StatusDate,Tasks[[#This Row],[_ShownFcstFinish]]&lt;=LookaheadEnd),Tasks[[#This Row],[_ShownFcstFinish]]+Tasks[[#This Row],[_Row]]/100000,"")</f>
        <v/>
      </c>
      <c r="GO136" s="43" t="str">
        <f aca="false">IF(Tasks[[#This Row],[_LeafCritical]],Tasks[[#This Row],[_ShownFcstStart]]+Tasks[[#This Row],[_Row]]/100000,"")</f>
        <v/>
      </c>
      <c r="GP136" s="43" t="n">
        <f aca="false">Tasks[[#This Row],[_LeafWork]]*Tasks[[#This Row],[_LeafProgress]]</f>
        <v>0</v>
      </c>
      <c r="GQ136" s="91" t="str">
        <f aca="false">IF(AND(Tasks[[#This Row],[_IsLeaf]]=1,Tasks[[#This Row],[_LeafProgress]]&gt;=1),IF(N(Tasks[[#This Row],[Actual Finish]])&gt;0,Tasks[[#This Row],[Actual Finish]],Tasks[[#This Row],[_ShownFcstFinish]]),"")</f>
        <v/>
      </c>
      <c r="GR136" s="43" t="n">
        <f aca="false">IF(Tasks[[#This Row],[_IsLeaf]]=1,N(Tasks[[#This Row],[Story Points]]),0)</f>
        <v>0</v>
      </c>
      <c r="GS136" s="43" t="str">
        <f aca="false">""</f>
        <v/>
      </c>
      <c r="GT136" s="90" t="b">
        <f aca="false">IF(Tasks[[#This Row],[Task Name]]="",FALSE(),AND(Tasks[[#This Row],[_IsLeaf]]=1,N(Tasks[[#This Row],[_Days]])=0))</f>
        <v>0</v>
      </c>
      <c r="GU136" s="91" t="n">
        <f aca="false">IF(Tasks[[#This Row],[Task Name]]="",0,IF(AND(Tasks[[#This Row],[_IsLeaf]]=1,NOT(Tasks[[#This Row],[_IsMilestone]]),N(Tasks[[#This Row],[Progress]])&gt;0),Tasks[[#This Row],[Start]],0))</f>
        <v>0</v>
      </c>
      <c r="GV136" s="91" t="n">
        <f aca="false">IF(Tasks[[#This Row],[_DoneFrom]]=0,0,IF(Tasks[[#This Row],[Progress]]&gt;=1,Tasks[[#This Row],[Finish]],MAX(Tasks[[#This Row],[_DoneFrom]],Tasks[[#This Row],[Start]]+ROUND((Tasks[[#This Row],[Finish]]-Tasks[[#This Row],[Start]]+1)*Tasks[[#This Row],[Progress]],0)-1)))</f>
        <v>0</v>
      </c>
      <c r="GW136" s="91" t="n">
        <f aca="false">IF(Tasks[[#This Row],[Task Name]]="",0,IF(OR(NOT(Tasks[[#This Row],[_IsLeaf]]=1),Tasks[[#This Row],[_IsMilestone]],N(Tasks[[#This Row],[Progress]])&gt;=1),0,IF(Tasks[[#This Row],[_DoneTo]]&gt;0,Tasks[[#This Row],[_DoneTo]]+1,Tasks[[#This Row],[Start]])))</f>
        <v>0</v>
      </c>
      <c r="GX136" s="91" t="n">
        <f aca="false">IF(Tasks[[#This Row],[_RemFrom]]=0,0,Tasks[[#This Row],[Finish]])</f>
        <v>0</v>
      </c>
      <c r="GY136" s="90" t="b">
        <f aca="false">IF(Tasks[[#This Row],[Task Name]]="",FALSE(),OR(NOT(BaselineSet),N(Tasks[[#This Row],[Baseline Start]])&gt;0))</f>
        <v>0</v>
      </c>
      <c r="GZ13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6" s="92" t="str">
        <f aca="false">IF(Tasks[[#This Row],[_IsLeaf]]=1,Tasks[[#This Row],[_Row]],"")</f>
        <v/>
      </c>
      <c r="HD136" s="92" t="str">
        <f aca="false">IFERROR(INDEX(Tasks[UID],SMALL(Tasks[_PickKey],Tasks[[#This Row],[_Row]]))&amp;" "&amp;INDEX(Tasks[Task Name],SMALL(Tasks[_PickKey],Tasks[[#This Row],[_Row]])),"")</f>
        <v/>
      </c>
      <c r="HE136" s="43" t="str">
        <f aca="false">IF(Tasks[[#This Row],[Task Name]]="","",IF(Tasks[[#This Row],[_IsSummary]],NETWORKDAYS.INTL(Tasks[[#This Row],[Start]],Tasks[[#This Row],[Finish]],WorkWeek,Holidays),N(Tasks[[#This Row],[_Days]])))</f>
        <v/>
      </c>
      <c r="HF136" s="43" t="n">
        <f aca="false">IF(Tasks[[#This Row],[Expected]]="",0,((Tasks[[#This Row],[Pessimistic]]-Tasks[[#This Row],[Optimistic]])/6)^2)</f>
        <v>0</v>
      </c>
      <c r="HG136" s="43" t="n">
        <f aca="false">IF(Tasks[[#This Row],[Expected]]="",0,Tasks[[#This Row],[Expected]]-N(Tasks[[#This Row],[_Days]]))</f>
        <v>0</v>
      </c>
    </row>
    <row r="137" customFormat="false" ht="15" hidden="false" customHeight="false" outlineLevel="0" collapsed="false">
      <c r="A137" s="21" t="str">
        <f aca="false">IF(Tasks[[#This Row],[Task Name]]="","",COUNTA(Tasks[[#Headers],[Task Name]]:Tasks[[#This Row],[Task Name]])-1)</f>
        <v/>
      </c>
      <c r="B137" s="22" t="n">
        <v>145</v>
      </c>
      <c r="C137" s="22"/>
      <c r="D137" s="23"/>
      <c r="E137" s="22"/>
      <c r="F137" s="23"/>
      <c r="G137" s="22"/>
      <c r="H137" s="22"/>
      <c r="I137" s="23"/>
      <c r="J137" s="22"/>
      <c r="K137" s="22"/>
      <c r="L137" s="23"/>
      <c r="M137" s="22"/>
      <c r="N137" s="22"/>
      <c r="O137" s="23"/>
      <c r="P137" s="22"/>
      <c r="Q137" s="22"/>
      <c r="R137" s="23"/>
      <c r="S137" s="23"/>
      <c r="T137" s="84"/>
      <c r="U137" s="23"/>
      <c r="V137" s="84"/>
      <c r="W137" s="23"/>
      <c r="X137" s="84"/>
      <c r="Y137" s="23"/>
      <c r="Z137" s="84"/>
      <c r="AA137" s="23"/>
      <c r="AB137" s="23"/>
      <c r="AC137" s="7"/>
      <c r="AD137" s="7"/>
      <c r="AE137" s="63" t="str">
        <f aca="false">IF(Tasks[[#This Row],[Task Name]]="","",IF(Tasks[[#This Row],[_IsSummary]],MIN(INDEX(Tasks[_ShownFcstStart],Tasks[[#This Row],[_Row]]+1):INDEX(Tasks[_ShownFcstStart],Tasks[[#This Row],[_Row]]+Tasks[[#This Row],[_Descendants]])),Tasks[[#This Row],[_ShownFcstStart]]))</f>
        <v/>
      </c>
      <c r="AF137" s="63" t="str">
        <f aca="false">IF(Tasks[[#This Row],[Task Name]]="","",IF(Tasks[[#This Row],[_IsSummary]],MAX(INDEX(Tasks[_ShownFcstFinish],Tasks[[#This Row],[_Row]]+1):INDEX(Tasks[_ShownFcstFinish],Tasks[[#This Row],[_Row]]+Tasks[[#This Row],[_Descendants]])),Tasks[[#This Row],[_ShownFcstFinish]]))</f>
        <v/>
      </c>
      <c r="AG137" s="21" t="str">
        <f aca="false">""</f>
        <v/>
      </c>
      <c r="AH137" s="23"/>
      <c r="AI1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7" s="7"/>
      <c r="AK137" s="22"/>
      <c r="AL137" s="23"/>
      <c r="AM137" s="7"/>
      <c r="AN137" s="47" t="str">
        <f aca="false">IF(Tasks[[#This Row],[Task Name]]="","",IF(Tasks[[#This Row],[Finish]]&gt;=Tasks[[#This Row],[Planned Finish]],NETWORKDAYS.INTL(Tasks[[#This Row],[Planned Finish]],Tasks[[#This Row],[Finish]],WorkWeek,Holidays)-1,1-NETWORKDAYS.INTL(Tasks[[#This Row],[Finish]],Tasks[[#This Row],[Planned Finish]],WorkWeek,Holidays)))</f>
        <v/>
      </c>
      <c r="AO137" s="21" t="str">
        <f aca="false">IF(Tasks[[#This Row],[Task Name]]="","",IF(Tasks[[#This Row],[Progress]]&gt;=1,"Complete",IF(OR(N(Tasks[[#This Row],[Actual Start]])&gt;0,Tasks[[#This Row],[Progress]]&gt;0),IF(Tasks[[#This Row],[Finish Var]]&gt;0,"Behind","In Progress"),IF(Tasks[[#This Row],[Planned Start]]&lt;StatusDate,"Late Start","Not Started"))))</f>
        <v/>
      </c>
      <c r="AP137" s="21" t="str">
        <f aca="false">IF(Tasks[[#This Row],[Task Name]]="","",IF(IF(Tasks[[#This Row],[_IsSummary]],COUNTIF(INDEX(Tasks[_LeafCritical],Tasks[[#This Row],[_Row]]+1):INDEX(Tasks[_LeafCritical],Tasks[[#This Row],[_Row]]+Tasks[[#This Row],[_Descendants]]),TRUE())&gt;0,Tasks[[#This Row],[_LeafCritical]]),"Yes",""))</f>
        <v/>
      </c>
      <c r="AQ137" s="63" t="str">
        <f aca="false">IF(Tasks[[#This Row],[Task Name]]="","",IF(N(Tasks[[#This Row],[Baseline Start]])&gt;0,Tasks[[#This Row],[Baseline Start]],Tasks[[#This Row],[_CalcStart]]))</f>
        <v/>
      </c>
      <c r="AR137" s="63" t="str">
        <f aca="false">IF(Tasks[[#This Row],[Task Name]]="","",IF(N(Tasks[[#This Row],[Baseline Finish]])&gt;0,Tasks[[#This Row],[Baseline Finish]],Tasks[[#This Row],[_CalcFinish]]))</f>
        <v/>
      </c>
      <c r="AS137" s="47" t="str">
        <f aca="false">IF(Tasks[[#This Row],[Task Name]]="","",IF(Tasks[[#This Row],[Start]]&gt;=Tasks[[#This Row],[Planned Start]],NETWORKDAYS.INTL(Tasks[[#This Row],[Planned Start]],Tasks[[#This Row],[Start]],WorkWeek,Holidays)-1,1-NETWORKDAYS.INTL(Tasks[[#This Row],[Start]],Tasks[[#This Row],[Planned Start]],WorkWeek,Holidays)))</f>
        <v/>
      </c>
      <c r="AT137" s="63" t="str">
        <f aca="false">IF(Tasks[[#This Row],[Task Name]]="","",IF(Tasks[[#This Row],[_IsSummary]],MIN(INDEX(Tasks[_LeafLateStart],Tasks[[#This Row],[_Row]]+1):INDEX(Tasks[_LeafLateStart],Tasks[[#This Row],[_Row]]+Tasks[[#This Row],[_Descendants]])),Tasks[[#This Row],[_LeafLateStart]]))</f>
        <v/>
      </c>
      <c r="AU137" s="63" t="str">
        <f aca="false">IF(Tasks[[#This Row],[Task Name]]="","",IF(Tasks[[#This Row],[_IsSummary]],MAX(INDEX(Tasks[_LeafLateFinish],Tasks[[#This Row],[_Row]]+1):INDEX(Tasks[_LeafLateFinish],Tasks[[#This Row],[_Row]]+Tasks[[#This Row],[_Descendants]])),Tasks[[#This Row],[_LeafLateFinish]]))</f>
        <v/>
      </c>
      <c r="AV137" s="47" t="str">
        <f aca="false">IF(Tasks[[#This Row],[Task Name]]="","",IF(Tasks[[#This Row],[_IsSummary]],MIN(INDEX(Tasks[_LeafTotalSlack],Tasks[[#This Row],[_Row]]+1):INDEX(Tasks[_LeafTotalSlack],Tasks[[#This Row],[_Row]]+Tasks[[#This Row],[_Descendants]])),Tasks[[#This Row],[_LeafTotalSlack]]))</f>
        <v/>
      </c>
      <c r="AW1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5"/>
      <c r="BA13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1" t="str">
        <f aca="false">IF(Tasks[[#This Row],[Task Name]]="","",IF(Tasks[[#This Row],[_Level]]&lt;=OutlineShowLevel,"Yes","No"))</f>
        <v/>
      </c>
      <c r="BE137" s="86" t="str">
        <f aca="false">IF(Tasks[[#This Row],[Task Name]]="","",IF(Tasks[[#This Row],[_IsSummary]],SUM(INDEX(Tasks[_LeafTotalWork],Tasks[[#This Row],[_Row]]+1):INDEX(Tasks[_LeafTotalWork],Tasks[[#This Row],[_Row]]+Tasks[[#This Row],[_Descendants]])),Tasks[[#This Row],[_LeafTotalWork]]))</f>
        <v/>
      </c>
      <c r="BF137" s="23"/>
      <c r="BG1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7" s="21" t="str">
        <f aca="false">""</f>
        <v/>
      </c>
      <c r="BI137" s="87"/>
      <c r="BJ137" s="22"/>
      <c r="BK137" s="47" t="str">
        <f aca="false">IF(OR(Tasks[[#This Row],[Task Name]]="",Tasks[[#This Row],[Baseline Duration]]=""),"",Tasks[[#This Row],[_SpanDays]]-N(Tasks[[#This Row],[Baseline Duration]]))</f>
        <v/>
      </c>
      <c r="BL137" s="86" t="str">
        <f aca="false">IF(OR(Tasks[[#This Row],[Task Name]]="",Tasks[[#This Row],[Baseline Work]]=""),"",Tasks[[#This Row],[Work]]-N(Tasks[[#This Row],[Baseline Work]]))</f>
        <v/>
      </c>
      <c r="BM137" s="63" t="str">
        <f aca="false">IF(Tasks[[#This Row],[Task Name]]="","",IF(OR(TakeBaseline="Yes",N(Tasks[[#This Row],[Baseline Start]])=0),Tasks[[#This Row],[Start]],Tasks[[#This Row],[Baseline Start]]))</f>
        <v/>
      </c>
      <c r="BN137" s="63" t="str">
        <f aca="false">IF(Tasks[[#This Row],[Task Name]]="","",IF(OR(TakeBaseline="Yes",N(Tasks[[#This Row],[Baseline Finish]])=0),Tasks[[#This Row],[Finish]],Tasks[[#This Row],[Baseline Finish]]))</f>
        <v/>
      </c>
      <c r="BO137" s="21" t="str">
        <f aca="false">IF(Tasks[[#This Row],[Task Name]]="","",IF(OR(TakeBaseline="Yes",N(Tasks[[#This Row],[Baseline Duration]])=0),Tasks[[#This Row],[_SpanDays]],Tasks[[#This Row],[Baseline Duration]]))</f>
        <v/>
      </c>
      <c r="BP137" s="86" t="str">
        <f aca="false">IF(Tasks[[#This Row],[Task Name]]="","",IF(OR(TakeBaseline="Yes",N(Tasks[[#This Row],[Baseline Work]])=0),Tasks[[#This Row],[Work]],Tasks[[#This Row],[Baseline Work]]))</f>
        <v/>
      </c>
      <c r="BQ137" s="7"/>
      <c r="BR137" s="7"/>
      <c r="BS137" s="22"/>
      <c r="BT137" s="88"/>
      <c r="BU137" s="23"/>
      <c r="BV137" s="23"/>
      <c r="BW137" s="23"/>
      <c r="BX137" s="89" t="str">
        <f aca="false">IF(AND(Tasks[[#This Row],[_IsLeaf]]=1,ISNUMBER(Tasks[[#This Row],[Optimistic]]),ISNUMBER(Tasks[[#This Row],[Pessimistic]])),ROUND((Tasks[[#This Row],[Optimistic]]+4*N(Tasks[[#This Row],[_Days]])+Tasks[[#This Row],[Pessimistic]])/6,1),"")</f>
        <v/>
      </c>
      <c r="BY137" s="87"/>
      <c r="BZ137" s="87"/>
      <c r="CA137" s="22"/>
      <c r="CB137" s="43" t="str">
        <f aca="false">IF(Tasks[[#This Row],[Task Name]]="","",MAX(1,N(Tasks[[#This Row],[Level]])))</f>
        <v/>
      </c>
      <c r="CC137" s="43" t="n">
        <f aca="false">ROW()-ROW(Tasks[[#Headers],[ID]])</f>
        <v>132</v>
      </c>
      <c r="CD137" s="43" t="n">
        <f aca="false">IF(OR(Tasks[[#This Row],[Task Name]]="",Tasks[[#This Row],[_Level]]&lt;=1),0,IFERROR(LOOKUP(2,1/(Tasks[[#Headers],[_Level]]:Tasks[[#This Row],[_Level]]=Tasks[[#This Row],[_Level]]-1),ROW(Tasks[[#Headers],[_Level]]:Tasks[[#This Row],[_Level]])),0))</f>
        <v>0</v>
      </c>
      <c r="CE137" s="43" t="n">
        <f aca="false">IFERROR(N(INDEX(Tasks[_Level],Tasks[[#This Row],[_Row]]+1)),0)</f>
        <v>0</v>
      </c>
      <c r="CF137" s="90" t="b">
        <f aca="false">AND(Tasks[[#This Row],[Task Name]]&lt;&gt;"",Tasks[[#This Row],[_NextLevel]]&gt;Tasks[[#This Row],[_Level]])</f>
        <v>0</v>
      </c>
      <c r="CG137" s="43" t="n">
        <f aca="false">IF(Tasks[[#This Row],[_IsSummary]],COUNTIF(Tasks[WBS],Tasks[[#This Row],[WBS]]&amp;".*"),0)</f>
        <v>0</v>
      </c>
      <c r="CH137" s="43" t="n">
        <f aca="false">IF(AND(Tasks[[#This Row],[Task Name]]&lt;&gt;"",NOT(Tasks[[#This Row],[_IsSummary]])),1,0)</f>
        <v>0</v>
      </c>
      <c r="CI137" s="43" t="n">
        <f aca="false">IF(N(Tasks[[#This Row],[_Pred1UID]])=0,0,IFERROR(MATCH(Tasks[[#This Row],[_Pred1UID]],Tasks[UID],0),-1))</f>
        <v>0</v>
      </c>
      <c r="CJ137" s="43" t="n">
        <f aca="false">IF(N(Tasks[[#This Row],[_Pred2UID]])=0,0,IFERROR(MATCH(Tasks[[#This Row],[_Pred2UID]],Tasks[UID],0),-1))</f>
        <v>0</v>
      </c>
      <c r="CK137" s="43" t="n">
        <f aca="false">IF(N(Tasks[[#This Row],[_Pred3UID]])=0,0,IFERROR(MATCH(Tasks[[#This Row],[_Pred3UID]],Tasks[UID],0),-1))</f>
        <v>0</v>
      </c>
      <c r="CL137" s="43" t="n">
        <f aca="false">IF(N(Tasks[[#This Row],[_Pred4UID]])=0,0,IFERROR(MATCH(Tasks[[#This Row],[_Pred4UID]],Tasks[UID],0),-1))</f>
        <v>0</v>
      </c>
      <c r="CM13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7" s="91" t="n">
        <f aca="false">IF(OR(Tasks[[#This Row],[_ConstraintCode]]=2,Tasks[[#This Row],[_ConstraintCode]]=3,Tasks[[#This Row],[_ConstraintCode]]=4,Tasks[[#This Row],[_ConstraintCode]]=6),Tasks[[#This Row],[_ConstraintStart]],0)</f>
        <v>0</v>
      </c>
      <c r="CP137" s="91" t="n">
        <f aca="false">IF(OR(Tasks[[#This Row],[_ConstraintCode]]=2,Tasks[[#This Row],[_ConstraintCode]]=3,Tasks[[#This Row],[_ConstraintCode]]=5,Tasks[[#This Row],[_ConstraintCode]]=7),Tasks[[#This Row],[_ConstraintStart]],2958465)</f>
        <v>2958465</v>
      </c>
      <c r="CQ13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7" s="91" t="str">
        <f aca="false">IF(NOT(Tasks[[#This Row],[_IsLeaf]]=1),"",IF(N(Tasks[[#This Row],[_Days]])&lt;=0,Tasks[[#This Row],[_LeafCalcStart]],WORKDAY.INTL(Tasks[[#This Row],[_LeafCalcStart]],Tasks[[#This Row],[_Days]]-1,WorkWeek,Holidays)))</f>
        <v/>
      </c>
      <c r="CS13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7" s="43" t="str">
        <f aca="false">IF(Tasks[[#This Row],[_Predecessors]]="","",TRIM(MID(SUBSTITUTE(SUBSTITUTE(SUBSTITUTE(UPPER(Tasks[[#This Row],[_Predecessors]]),";",",")," ",""),",",REPT(" ",99)),1,99)))</f>
        <v/>
      </c>
      <c r="CV137" s="43" t="str">
        <f aca="false">IF(Tasks[[#This Row],[_Pred1Text]]="","",IFERROR(VALUE(LEFT(Tasks[[#This Row],[_Pred1Text]],MIN(FIND("F",Tasks[[#This Row],[_Pred1Text]]&amp;"F"),FIND("S",Tasks[[#This Row],[_Pred1Text]]&amp;"S"),FIND("+",Tasks[[#This Row],[_Pred1Text]]&amp;"+"),FIND("-",Tasks[[#This Row],[_Pred1Text]]&amp;"-"))-1)),""))</f>
        <v/>
      </c>
      <c r="CW13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7" s="43" t="str">
        <f aca="false">IF(Tasks[[#This Row],[_Pred1Text]]="","",TRIM(MID(SUBSTITUTE(SUBSTITUTE(SUBSTITUTE(UPPER(Tasks[[#This Row],[_Predecessors]]),";",",")," ",""),",",REPT(" ",99)),100,99)))</f>
        <v/>
      </c>
      <c r="CZ137" s="43" t="str">
        <f aca="false">IF(Tasks[[#This Row],[_Pred2Text]]="","",IFERROR(VALUE(LEFT(Tasks[[#This Row],[_Pred2Text]],MIN(FIND("F",Tasks[[#This Row],[_Pred2Text]]&amp;"F"),FIND("S",Tasks[[#This Row],[_Pred2Text]]&amp;"S"),FIND("+",Tasks[[#This Row],[_Pred2Text]]&amp;"+"),FIND("-",Tasks[[#This Row],[_Pred2Text]]&amp;"-"))-1)),""))</f>
        <v/>
      </c>
      <c r="DA13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7" s="43" t="str">
        <f aca="false">IF(Tasks[[#This Row],[_Pred2Text]]="","",TRIM(MID(SUBSTITUTE(SUBSTITUTE(SUBSTITUTE(UPPER(Tasks[[#This Row],[_Predecessors]]),";",",")," ",""),",",REPT(" ",99)),199,99)))</f>
        <v/>
      </c>
      <c r="DD137" s="43" t="str">
        <f aca="false">IF(Tasks[[#This Row],[_Pred3Text]]="","",IFERROR(VALUE(LEFT(Tasks[[#This Row],[_Pred3Text]],MIN(FIND("F",Tasks[[#This Row],[_Pred3Text]]&amp;"F"),FIND("S",Tasks[[#This Row],[_Pred3Text]]&amp;"S"),FIND("+",Tasks[[#This Row],[_Pred3Text]]&amp;"+"),FIND("-",Tasks[[#This Row],[_Pred3Text]]&amp;"-"))-1)),""))</f>
        <v/>
      </c>
      <c r="DE13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7" s="43" t="str">
        <f aca="false">IF(Tasks[[#This Row],[_Pred3Text]]="","",TRIM(MID(SUBSTITUTE(SUBSTITUTE(SUBSTITUTE(UPPER(Tasks[[#This Row],[_Predecessors]]),";",",")," ",""),",",REPT(" ",99)),298,99)))</f>
        <v/>
      </c>
      <c r="DH137" s="43" t="str">
        <f aca="false">IF(Tasks[[#This Row],[_Pred4Text]]="","",IFERROR(VALUE(LEFT(Tasks[[#This Row],[_Pred4Text]],MIN(FIND("F",Tasks[[#This Row],[_Pred4Text]]&amp;"F"),FIND("S",Tasks[[#This Row],[_Pred4Text]]&amp;"S"),FIND("+",Tasks[[#This Row],[_Pred4Text]]&amp;"+"),FIND("-",Tasks[[#This Row],[_Pred4Text]]&amp;"-"))-1)),""))</f>
        <v/>
      </c>
      <c r="DI13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7" s="43" t="str">
        <f aca="false">IF(OR(Tasks[[#This Row],[Task Name]]="",Tasks[[#This Row],[_Resources]]=""),"",TRIM(MID(SUBSTITUTE(Tasks[[#This Row],[_Resources]],",",REPT(" ",99)),1,99)))</f>
        <v/>
      </c>
      <c r="DL137" s="43" t="str">
        <f aca="false">IF(Tasks[[#This Row],[_Res1Text]]="","",TRIM(MID(SUBSTITUTE(Tasks[[#This Row],[_Resources]],",",REPT(" ",99)),100,99)))</f>
        <v/>
      </c>
      <c r="DM137" s="43" t="str">
        <f aca="false">IF(Tasks[[#This Row],[_Res2Text]]="","",TRIM(MID(SUBSTITUTE(Tasks[[#This Row],[_Resources]],",",REPT(" ",99)),199,99)))</f>
        <v/>
      </c>
      <c r="DN137" s="43" t="str">
        <f aca="false">IF(Tasks[[#This Row],[_Res3Text]]="","",TRIM(MID(SUBSTITUTE(Tasks[[#This Row],[_Resources]],",",REPT(" ",99)),298,99)))</f>
        <v/>
      </c>
      <c r="DO137" s="43" t="n">
        <f aca="false">IF(Tasks[[#This Row],[_Res1Text]]="",0,IFERROR(MATCH(TRIM(LEFT(Tasks[[#This Row],[_Res1Text]],FIND("[",Tasks[[#This Row],[_Res1Text]]&amp;"[")-1)),res_Name,0),IFERROR(MATCH(TRIM(LEFT(Tasks[[#This Row],[_Res1Text]],FIND("[",Tasks[[#This Row],[_Res1Text]]&amp;"[")-1)),res_Initials,0),0)))</f>
        <v>0</v>
      </c>
      <c r="DP137" s="43" t="n">
        <f aca="false">IF(Tasks[[#This Row],[_Res2Text]]="",0,IFERROR(MATCH(TRIM(LEFT(Tasks[[#This Row],[_Res2Text]],FIND("[",Tasks[[#This Row],[_Res2Text]]&amp;"[")-1)),res_Name,0),IFERROR(MATCH(TRIM(LEFT(Tasks[[#This Row],[_Res2Text]],FIND("[",Tasks[[#This Row],[_Res2Text]]&amp;"[")-1)),res_Initials,0),0)))</f>
        <v>0</v>
      </c>
      <c r="DQ137" s="43" t="n">
        <f aca="false">IF(Tasks[[#This Row],[_Res3Text]]="",0,IFERROR(MATCH(TRIM(LEFT(Tasks[[#This Row],[_Res3Text]],FIND("[",Tasks[[#This Row],[_Res3Text]]&amp;"[")-1)),res_Name,0),IFERROR(MATCH(TRIM(LEFT(Tasks[[#This Row],[_Res3Text]],FIND("[",Tasks[[#This Row],[_Res3Text]]&amp;"[")-1)),res_Initials,0),0)))</f>
        <v>0</v>
      </c>
      <c r="DR137" s="43" t="n">
        <f aca="false">IF(Tasks[[#This Row],[_Res4Text]]="",0,IFERROR(MATCH(TRIM(LEFT(Tasks[[#This Row],[_Res4Text]],FIND("[",Tasks[[#This Row],[_Res4Text]]&amp;"[")-1)),res_Name,0),IFERROR(MATCH(TRIM(LEFT(Tasks[[#This Row],[_Res4Text]],FIND("[",Tasks[[#This Row],[_Res4Text]]&amp;"[")-1)),res_Initials,0),0)))</f>
        <v>0</v>
      </c>
      <c r="DS137" s="43" t="str">
        <f aca="false">IF(Tasks[[#This Row],[_Res1Text]]="","",IF(Tasks[[#This Row],[_Res1Row]]&gt;0,INDEX(res_Name,Tasks[[#This Row],[_Res1Row]]),TRIM(LEFT(Tasks[[#This Row],[_Res1Text]],FIND("[",Tasks[[#This Row],[_Res1Text]]&amp;"[")-1))))</f>
        <v/>
      </c>
      <c r="DT13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7" s="43" t="n">
        <f aca="false">IF(NOT(Tasks[[#This Row],[_IsLeaf]]=1),0,(Tasks[[#This Row],[_Resource1]]&lt;&gt;"")+(Tasks[[#This Row],[_Res2]]&lt;&gt;"")+(Tasks[[#This Row],[_Res3]]&lt;&gt;"")+(Tasks[[#This Row],[_Res4]]&lt;&gt;""))</f>
        <v>0</v>
      </c>
      <c r="DV137" s="43" t="str">
        <f aca="false">IF(Tasks[[#This Row],[_Res2Text]]="","",IF(Tasks[[#This Row],[_Res2Row]]&gt;0,INDEX(res_Name,Tasks[[#This Row],[_Res2Row]]),TRIM(LEFT(Tasks[[#This Row],[_Res2Text]],FIND("[",Tasks[[#This Row],[_Res2Text]]&amp;"[")-1))))</f>
        <v/>
      </c>
      <c r="DW13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7" s="43" t="n">
        <f aca="false">IF(OR(NOT(Tasks[[#This Row],[_IsLeaf]]=1),Tasks[[#This Row],[_Res2Row]]=0),0,N(Tasks[[#This Row],[_Days]])*HoursPerDay*IF(Tasks[[#This Row],[_Res2Units]]="",DefaultUnits,Tasks[[#This Row],[_Res2Units]]))</f>
        <v>0</v>
      </c>
      <c r="DY137" s="43" t="n">
        <f aca="false">IF(AND(AND(Tasks[[#This Row],[_IsLeaf]]=1,Tasks[[#This Row],[_LeafTotalWork]]&gt;0),Tasks[[#This Row],[_Res2Work]]&gt;0),Tasks[[#This Row],[_Res2Work]]/(Tasks[[#This Row],[_FinishWorkday]]-Tasks[[#This Row],[_StartWorkday]]+1),0)</f>
        <v>0</v>
      </c>
      <c r="DZ137" s="43" t="n">
        <f aca="false">Tasks[[#This Row],[_Res2WorkPerWD]]*MAX(0,Tasks[[#This Row],[_StartWorkday]]-1)</f>
        <v>0</v>
      </c>
      <c r="EA137" s="43" t="n">
        <f aca="false">Tasks[[#This Row],[_Res2Work]]*Tasks[[#This Row],[_LeafProgress]]</f>
        <v>0</v>
      </c>
      <c r="EB137" s="43" t="str">
        <f aca="false">IF(Tasks[[#This Row],[_Res3Text]]="","",IF(Tasks[[#This Row],[_Res3Row]]&gt;0,INDEX(res_Name,Tasks[[#This Row],[_Res3Row]]),TRIM(LEFT(Tasks[[#This Row],[_Res3Text]],FIND("[",Tasks[[#This Row],[_Res3Text]]&amp;"[")-1))))</f>
        <v/>
      </c>
      <c r="EC13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7" s="43" t="n">
        <f aca="false">IF(OR(NOT(Tasks[[#This Row],[_IsLeaf]]=1),Tasks[[#This Row],[_Res3Row]]=0),0,N(Tasks[[#This Row],[_Days]])*HoursPerDay*IF(Tasks[[#This Row],[_Res3Units]]="",DefaultUnits,Tasks[[#This Row],[_Res3Units]]))</f>
        <v>0</v>
      </c>
      <c r="EE137" s="43" t="n">
        <f aca="false">IF(AND(AND(Tasks[[#This Row],[_IsLeaf]]=1,Tasks[[#This Row],[_LeafTotalWork]]&gt;0),Tasks[[#This Row],[_Res3Work]]&gt;0),Tasks[[#This Row],[_Res3Work]]/(Tasks[[#This Row],[_FinishWorkday]]-Tasks[[#This Row],[_StartWorkday]]+1),0)</f>
        <v>0</v>
      </c>
      <c r="EF137" s="43" t="n">
        <f aca="false">Tasks[[#This Row],[_Res3WorkPerWD]]*MAX(0,Tasks[[#This Row],[_StartWorkday]]-1)</f>
        <v>0</v>
      </c>
      <c r="EG137" s="43" t="n">
        <f aca="false">Tasks[[#This Row],[_Res3Work]]*Tasks[[#This Row],[_LeafProgress]]</f>
        <v>0</v>
      </c>
      <c r="EH137" s="43" t="str">
        <f aca="false">IF(Tasks[[#This Row],[_Res4Text]]="","",IF(Tasks[[#This Row],[_Res4Row]]&gt;0,INDEX(res_Name,Tasks[[#This Row],[_Res4Row]]),TRIM(LEFT(Tasks[[#This Row],[_Res4Text]],FIND("[",Tasks[[#This Row],[_Res4Text]]&amp;"[")-1))))</f>
        <v/>
      </c>
      <c r="EI13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7" s="43" t="n">
        <f aca="false">IF(OR(NOT(Tasks[[#This Row],[_IsLeaf]]=1),Tasks[[#This Row],[_Res4Row]]=0),0,N(Tasks[[#This Row],[_Days]])*HoursPerDay*IF(Tasks[[#This Row],[_Res4Units]]="",DefaultUnits,Tasks[[#This Row],[_Res4Units]]))</f>
        <v>0</v>
      </c>
      <c r="EK137" s="43" t="n">
        <f aca="false">IF(AND(AND(Tasks[[#This Row],[_IsLeaf]]=1,Tasks[[#This Row],[_LeafTotalWork]]&gt;0),Tasks[[#This Row],[_Res4Work]]&gt;0),Tasks[[#This Row],[_Res4Work]]/(Tasks[[#This Row],[_FinishWorkday]]-Tasks[[#This Row],[_StartWorkday]]+1),0)</f>
        <v>0</v>
      </c>
      <c r="EL137" s="43" t="n">
        <f aca="false">Tasks[[#This Row],[_Res4WorkPerWD]]*MAX(0,Tasks[[#This Row],[_StartWorkday]]-1)</f>
        <v>0</v>
      </c>
      <c r="EM137" s="43" t="n">
        <f aca="false">Tasks[[#This Row],[_Res4Work]]*Tasks[[#This Row],[_LeafProgress]]</f>
        <v>0</v>
      </c>
      <c r="EN137" s="43" t="n">
        <f aca="false">IF(ISNUMBER(Tasks[[#This Row],[% Complete]]),Tasks[[#This Row],[% Complete]],IF(Tasks[[#This Row],[Stage]]="",0,IFERROR(INDEX(stg_Pct,MATCH(Tasks[[#This Row],[Stage]],stg_Name,0)),0)))</f>
        <v>0</v>
      </c>
      <c r="EO137" s="43" t="n">
        <f aca="false">IF(NOT(Tasks[[#This Row],[_IsLeaf]]=1),0,IF(N(Tasks[[#This Row],[Actual Finish]])&gt;0,1,MIN(1,Tasks[[#This Row],[_Pct]])))</f>
        <v>0</v>
      </c>
      <c r="EP137" s="43" t="n">
        <f aca="false">IF(OR(NOT(Tasks[[#This Row],[_IsLeaf]]=1),Tasks[[#This Row],[_Res1Row]]=0),0,N(Tasks[[#This Row],[_Days]])*HoursPerDay*IF(Tasks[[#This Row],[_Units1]]="",DefaultUnits,Tasks[[#This Row],[_Units1]]))</f>
        <v>0</v>
      </c>
      <c r="EQ137" s="43" t="n">
        <f aca="false">Tasks[[#This Row],[_LeafWork]]+Tasks[[#This Row],[_Res2Work]]+Tasks[[#This Row],[_Res3Work]]+Tasks[[#This Row],[_Res4Work]]</f>
        <v>0</v>
      </c>
      <c r="ER13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7" s="43" t="n">
        <f aca="false">IF(NOT(Tasks[[#This Row],[_IsLeaf]]=1),0,MAX(_xlfn.MAXIFS(Tasks[_Row],Tasks[_Pred1UID],Tasks[[#This Row],[UID]]),_xlfn.MAXIFS(Tasks[_Row],Tasks[_Pred2UID],Tasks[[#This Row],[UID]]),_xlfn.MAXIFS(Tasks[_Row],Tasks[_Pred3UID],Tasks[[#This Row],[UID]]),_xlfn.MAXIFS(Tasks[_Row],Tasks[_Pred4UID],Tasks[[#This Row],[UID]])))</f>
        <v>0</v>
      </c>
      <c r="FA13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7" s="91" t="str">
        <f aca="false">IF(NOT(Tasks[[#This Row],[_IsLeaf]]=1),"",IF(N(Tasks[[#This Row],[_Days]])&lt;=0,Tasks[[#This Row],[_LeafLateFinish]],WORKDAY.INTL(Tasks[[#This Row],[_LeafLateFinish]],-(Tasks[[#This Row],[_Days]]-1),WorkWeek,Holidays)))</f>
        <v/>
      </c>
      <c r="FD13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7" s="90" t="b">
        <f aca="false">AND(Tasks[[#This Row],[_IsLeaf]]=1,Tasks[[#This Row],[_LeafProgress]]&lt;1,N(Tasks[[#This Row],[_LeafTotalSlack]])&lt;=CriticalSlackDays)</f>
        <v>0</v>
      </c>
      <c r="FF137" s="43" t="n">
        <f aca="false">IF(AND(Tasks[[#This Row],[_IsLeaf]]=1,Tasks[[#This Row],[_ConstraintCode]]=1,Tasks[[#This Row],[Mode]]&lt;&gt;"Manual",N(Tasks[[#This Row],[Actual Start]])=0),MAX(0,N(Tasks[[#This Row],[Free Slack]])),0)</f>
        <v>0</v>
      </c>
      <c r="FG137" s="91" t="str">
        <f aca="false">IF(NOT(Tasks[[#This Row],[_IsLeaf]]=1),"",IF(Tasks[[#This Row],[_AlapShift]]=0,Tasks[[#This Row],[_LeafCalcStart]],WORKDAY.INTL(Tasks[[#This Row],[_LeafCalcStart]],Tasks[[#This Row],[_AlapShift]],WorkWeek,Holidays)))</f>
        <v/>
      </c>
      <c r="FH137" s="91" t="str">
        <f aca="false">IF(NOT(Tasks[[#This Row],[_IsLeaf]]=1),"",IF(Tasks[[#This Row],[_AlapShift]]=0,Tasks[[#This Row],[_LeafCalcFinish]],WORKDAY.INTL(Tasks[[#This Row],[_LeafCalcFinish]],Tasks[[#This Row],[_AlapShift]],WorkWeek,Holidays)))</f>
        <v/>
      </c>
      <c r="FI137" s="91" t="str">
        <f aca="false">IF(NOT(Tasks[[#This Row],[_IsLeaf]]=1),"",IF(Tasks[[#This Row],[_AlapShift]]=0,Tasks[[#This Row],[_LeafFcstStart]],WORKDAY.INTL(Tasks[[#This Row],[_LeafFcstStart]],Tasks[[#This Row],[_AlapShift]],WorkWeek,Holidays)))</f>
        <v/>
      </c>
      <c r="FJ137" s="91" t="str">
        <f aca="false">IF(NOT(Tasks[[#This Row],[_IsLeaf]]=1),"",IF(Tasks[[#This Row],[_AlapShift]]=0,Tasks[[#This Row],[_LeafFcstFinish]],WORKDAY.INTL(Tasks[[#This Row],[_LeafFcstFinish]],Tasks[[#This Row],[_AlapShift]],WorkWeek,Holidays)))</f>
        <v/>
      </c>
      <c r="FK137" s="91" t="str">
        <f aca="false">IF(Tasks[[#This Row],[Task Name]]="","",IF(Tasks[[#This Row],[_IsSummary]],MIN(INDEX(Tasks[_ShownCalcStart],Tasks[[#This Row],[_Row]]+1):INDEX(Tasks[_ShownCalcStart],Tasks[[#This Row],[_Row]]+Tasks[[#This Row],[_Descendants]])),Tasks[[#This Row],[_ShownCalcStart]]))</f>
        <v/>
      </c>
      <c r="FL137" s="91" t="str">
        <f aca="false">IF(Tasks[[#This Row],[Task Name]]="","",IF(Tasks[[#This Row],[_IsSummary]],MAX(INDEX(Tasks[_ShownCalcFinish],Tasks[[#This Row],[_Row]]+1):INDEX(Tasks[_ShownCalcFinish],Tasks[[#This Row],[_Row]]+Tasks[[#This Row],[_Descendants]])),Tasks[[#This Row],[_ShownCalcFinish]]))</f>
        <v/>
      </c>
      <c r="FM13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7" s="43" t="n">
        <f aca="false">IF(AND(Tasks[[#This Row],[_IsLeaf]]=1,Tasks[[#This Row],[_LeafTotalWork]]&gt;0),NETWORKDAYS.INTL(ProjectStart,Tasks[[#This Row],[_ShownFcstStart]],WorkWeek,Holidays),0)</f>
        <v>0</v>
      </c>
      <c r="FZ137" s="43" t="n">
        <f aca="false">IF(AND(Tasks[[#This Row],[_IsLeaf]]=1,Tasks[[#This Row],[_LeafTotalWork]]&gt;0),MAX(Tasks[[#This Row],[_StartWorkday]],NETWORKDAYS.INTL(ProjectStart,Tasks[[#This Row],[_ShownFcstFinish]],WorkWeek,Holidays)),0)</f>
        <v>0</v>
      </c>
      <c r="GA137" s="43" t="n">
        <f aca="false">IF(AND(Tasks[[#This Row],[_IsLeaf]]=1,Tasks[[#This Row],[_LeafTotalWork]]&gt;0),Tasks[[#This Row],[_LeafWork]]/(Tasks[[#This Row],[_FinishWorkday]]-Tasks[[#This Row],[_StartWorkday]]+1),0)</f>
        <v>0</v>
      </c>
      <c r="GB137" s="43" t="n">
        <f aca="false">Tasks[[#This Row],[_WorkPerWorkday]]*(Tasks[[#This Row],[_StartWorkday]]-1)</f>
        <v>-0</v>
      </c>
      <c r="GC137" s="43" t="n">
        <f aca="false">IF(Tasks[[#This Row],[_IsLeaf]]=1,MAX(N(Tasks[[#This Row],[_Days]]),0.1),0)</f>
        <v>0</v>
      </c>
      <c r="GD137" s="43" t="n">
        <f aca="false">Tasks[[#This Row],[_WeightDur]]*Tasks[[#This Row],[_LeafProgress]]</f>
        <v>0</v>
      </c>
      <c r="GE137" s="43" t="n">
        <f aca="false">Tasks[[#This Row],[_WeightDur]]*Tasks[[#This Row],[_PlannedPct]]</f>
        <v>0</v>
      </c>
      <c r="GF13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7" s="43" t="str">
        <f aca="false">IF(AND(Tasks[[#This Row],[_IsLeaf]]=1,N(Tasks[[#This Row],[_Days]])=0,Tasks[[#This Row],[_LeafProgress]]&lt;1),Tasks[[#This Row],[_ShownFcstFinish]]+Tasks[[#This Row],[_Row]]/100000,"")</f>
        <v/>
      </c>
      <c r="GH13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7" s="43" t="str">
        <f aca="false">IF(Tasks[[#This Row],[Task Name]]="","",LEFT(Tasks[[#This Row],[WBS]],FIND(".",Tasks[[#This Row],[WBS]]&amp;".")-1))</f>
        <v/>
      </c>
      <c r="GJ137" s="43" t="str">
        <f aca="false">IF(AND(Tasks[[#This Row],[Task Name]]&lt;&gt;"",Tasks[[#This Row],[_Level]]=1),Tasks[[#This Row],[_Row]],"")</f>
        <v/>
      </c>
      <c r="GK137" s="43" t="str">
        <f aca="false">IF(AND(Tasks[[#This Row],[_IsLeaf]]=1,N(Tasks[[#This Row],[_Days]])=0),Tasks[[#This Row],[Planned Finish]]+Tasks[[#This Row],[_Row]]/100000,"")</f>
        <v/>
      </c>
      <c r="GL137" s="43" t="str">
        <f aca="false">IF(AND(Tasks[[#This Row],[_IsLeaf]]=1,Tasks[[#This Row],[_LeafProgress]]&lt;1,OR(N(Tasks[[#This Row],[Finish Var]])&gt;0,Tasks[[#This Row],[Status]]="Late Start")),MAX(0,Tasks[[#This Row],[Finish Var]])+1-Tasks[[#This Row],[_Row]]/1000000,"")</f>
        <v/>
      </c>
      <c r="GM137" s="43" t="str">
        <f aca="false">IF(AND(Tasks[[#This Row],[_IsLeaf]]=1,N(Tasks[[#This Row],[Actual Start]])=0,Tasks[[#This Row],[_ShownFcstStart]]&gt;=StatusDate,Tasks[[#This Row],[_ShownFcstStart]]&lt;=LookaheadEnd),Tasks[[#This Row],[_ShownFcstStart]]+Tasks[[#This Row],[_Row]]/100000,"")</f>
        <v/>
      </c>
      <c r="GN137" s="43" t="str">
        <f aca="false">IF(AND(Tasks[[#This Row],[_IsLeaf]]=1,Tasks[[#This Row],[_LeafProgress]]&lt;1,Tasks[[#This Row],[_ShownFcstFinish]]&gt;=StatusDate,Tasks[[#This Row],[_ShownFcstFinish]]&lt;=LookaheadEnd),Tasks[[#This Row],[_ShownFcstFinish]]+Tasks[[#This Row],[_Row]]/100000,"")</f>
        <v/>
      </c>
      <c r="GO137" s="43" t="str">
        <f aca="false">IF(Tasks[[#This Row],[_LeafCritical]],Tasks[[#This Row],[_ShownFcstStart]]+Tasks[[#This Row],[_Row]]/100000,"")</f>
        <v/>
      </c>
      <c r="GP137" s="43" t="n">
        <f aca="false">Tasks[[#This Row],[_LeafWork]]*Tasks[[#This Row],[_LeafProgress]]</f>
        <v>0</v>
      </c>
      <c r="GQ137" s="91" t="str">
        <f aca="false">IF(AND(Tasks[[#This Row],[_IsLeaf]]=1,Tasks[[#This Row],[_LeafProgress]]&gt;=1),IF(N(Tasks[[#This Row],[Actual Finish]])&gt;0,Tasks[[#This Row],[Actual Finish]],Tasks[[#This Row],[_ShownFcstFinish]]),"")</f>
        <v/>
      </c>
      <c r="GR137" s="43" t="n">
        <f aca="false">IF(Tasks[[#This Row],[_IsLeaf]]=1,N(Tasks[[#This Row],[Story Points]]),0)</f>
        <v>0</v>
      </c>
      <c r="GS137" s="43" t="str">
        <f aca="false">""</f>
        <v/>
      </c>
      <c r="GT137" s="90" t="b">
        <f aca="false">IF(Tasks[[#This Row],[Task Name]]="",FALSE(),AND(Tasks[[#This Row],[_IsLeaf]]=1,N(Tasks[[#This Row],[_Days]])=0))</f>
        <v>0</v>
      </c>
      <c r="GU137" s="91" t="n">
        <f aca="false">IF(Tasks[[#This Row],[Task Name]]="",0,IF(AND(Tasks[[#This Row],[_IsLeaf]]=1,NOT(Tasks[[#This Row],[_IsMilestone]]),N(Tasks[[#This Row],[Progress]])&gt;0),Tasks[[#This Row],[Start]],0))</f>
        <v>0</v>
      </c>
      <c r="GV137" s="91" t="n">
        <f aca="false">IF(Tasks[[#This Row],[_DoneFrom]]=0,0,IF(Tasks[[#This Row],[Progress]]&gt;=1,Tasks[[#This Row],[Finish]],MAX(Tasks[[#This Row],[_DoneFrom]],Tasks[[#This Row],[Start]]+ROUND((Tasks[[#This Row],[Finish]]-Tasks[[#This Row],[Start]]+1)*Tasks[[#This Row],[Progress]],0)-1)))</f>
        <v>0</v>
      </c>
      <c r="GW137" s="91" t="n">
        <f aca="false">IF(Tasks[[#This Row],[Task Name]]="",0,IF(OR(NOT(Tasks[[#This Row],[_IsLeaf]]=1),Tasks[[#This Row],[_IsMilestone]],N(Tasks[[#This Row],[Progress]])&gt;=1),0,IF(Tasks[[#This Row],[_DoneTo]]&gt;0,Tasks[[#This Row],[_DoneTo]]+1,Tasks[[#This Row],[Start]])))</f>
        <v>0</v>
      </c>
      <c r="GX137" s="91" t="n">
        <f aca="false">IF(Tasks[[#This Row],[_RemFrom]]=0,0,Tasks[[#This Row],[Finish]])</f>
        <v>0</v>
      </c>
      <c r="GY137" s="90" t="b">
        <f aca="false">IF(Tasks[[#This Row],[Task Name]]="",FALSE(),OR(NOT(BaselineSet),N(Tasks[[#This Row],[Baseline Start]])&gt;0))</f>
        <v>0</v>
      </c>
      <c r="GZ13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7" s="92" t="str">
        <f aca="false">IF(Tasks[[#This Row],[_IsLeaf]]=1,Tasks[[#This Row],[_Row]],"")</f>
        <v/>
      </c>
      <c r="HD137" s="92" t="str">
        <f aca="false">IFERROR(INDEX(Tasks[UID],SMALL(Tasks[_PickKey],Tasks[[#This Row],[_Row]]))&amp;" "&amp;INDEX(Tasks[Task Name],SMALL(Tasks[_PickKey],Tasks[[#This Row],[_Row]])),"")</f>
        <v/>
      </c>
      <c r="HE137" s="43" t="str">
        <f aca="false">IF(Tasks[[#This Row],[Task Name]]="","",IF(Tasks[[#This Row],[_IsSummary]],NETWORKDAYS.INTL(Tasks[[#This Row],[Start]],Tasks[[#This Row],[Finish]],WorkWeek,Holidays),N(Tasks[[#This Row],[_Days]])))</f>
        <v/>
      </c>
      <c r="HF137" s="43" t="n">
        <f aca="false">IF(Tasks[[#This Row],[Expected]]="",0,((Tasks[[#This Row],[Pessimistic]]-Tasks[[#This Row],[Optimistic]])/6)^2)</f>
        <v>0</v>
      </c>
      <c r="HG137" s="43" t="n">
        <f aca="false">IF(Tasks[[#This Row],[Expected]]="",0,Tasks[[#This Row],[Expected]]-N(Tasks[[#This Row],[_Days]]))</f>
        <v>0</v>
      </c>
    </row>
    <row r="138" customFormat="false" ht="15" hidden="false" customHeight="false" outlineLevel="0" collapsed="false">
      <c r="A138" s="21" t="str">
        <f aca="false">IF(Tasks[[#This Row],[Task Name]]="","",COUNTA(Tasks[[#Headers],[Task Name]]:Tasks[[#This Row],[Task Name]])-1)</f>
        <v/>
      </c>
      <c r="B138" s="22" t="n">
        <v>146</v>
      </c>
      <c r="C138" s="22"/>
      <c r="D138" s="23"/>
      <c r="E138" s="22"/>
      <c r="F138" s="23"/>
      <c r="G138" s="22"/>
      <c r="H138" s="22"/>
      <c r="I138" s="23"/>
      <c r="J138" s="22"/>
      <c r="K138" s="22"/>
      <c r="L138" s="23"/>
      <c r="M138" s="22"/>
      <c r="N138" s="22"/>
      <c r="O138" s="23"/>
      <c r="P138" s="22"/>
      <c r="Q138" s="22"/>
      <c r="R138" s="23"/>
      <c r="S138" s="23"/>
      <c r="T138" s="84"/>
      <c r="U138" s="23"/>
      <c r="V138" s="84"/>
      <c r="W138" s="23"/>
      <c r="X138" s="84"/>
      <c r="Y138" s="23"/>
      <c r="Z138" s="84"/>
      <c r="AA138" s="23"/>
      <c r="AB138" s="23"/>
      <c r="AC138" s="7"/>
      <c r="AD138" s="7"/>
      <c r="AE138" s="63" t="str">
        <f aca="false">IF(Tasks[[#This Row],[Task Name]]="","",IF(Tasks[[#This Row],[_IsSummary]],MIN(INDEX(Tasks[_ShownFcstStart],Tasks[[#This Row],[_Row]]+1):INDEX(Tasks[_ShownFcstStart],Tasks[[#This Row],[_Row]]+Tasks[[#This Row],[_Descendants]])),Tasks[[#This Row],[_ShownFcstStart]]))</f>
        <v/>
      </c>
      <c r="AF138" s="63" t="str">
        <f aca="false">IF(Tasks[[#This Row],[Task Name]]="","",IF(Tasks[[#This Row],[_IsSummary]],MAX(INDEX(Tasks[_ShownFcstFinish],Tasks[[#This Row],[_Row]]+1):INDEX(Tasks[_ShownFcstFinish],Tasks[[#This Row],[_Row]]+Tasks[[#This Row],[_Descendants]])),Tasks[[#This Row],[_ShownFcstFinish]]))</f>
        <v/>
      </c>
      <c r="AG138" s="21" t="str">
        <f aca="false">""</f>
        <v/>
      </c>
      <c r="AH138" s="23"/>
      <c r="AI1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8" s="7"/>
      <c r="AK138" s="22"/>
      <c r="AL138" s="23"/>
      <c r="AM138" s="7"/>
      <c r="AN138" s="47" t="str">
        <f aca="false">IF(Tasks[[#This Row],[Task Name]]="","",IF(Tasks[[#This Row],[Finish]]&gt;=Tasks[[#This Row],[Planned Finish]],NETWORKDAYS.INTL(Tasks[[#This Row],[Planned Finish]],Tasks[[#This Row],[Finish]],WorkWeek,Holidays)-1,1-NETWORKDAYS.INTL(Tasks[[#This Row],[Finish]],Tasks[[#This Row],[Planned Finish]],WorkWeek,Holidays)))</f>
        <v/>
      </c>
      <c r="AO138" s="21" t="str">
        <f aca="false">IF(Tasks[[#This Row],[Task Name]]="","",IF(Tasks[[#This Row],[Progress]]&gt;=1,"Complete",IF(OR(N(Tasks[[#This Row],[Actual Start]])&gt;0,Tasks[[#This Row],[Progress]]&gt;0),IF(Tasks[[#This Row],[Finish Var]]&gt;0,"Behind","In Progress"),IF(Tasks[[#This Row],[Planned Start]]&lt;StatusDate,"Late Start","Not Started"))))</f>
        <v/>
      </c>
      <c r="AP138" s="21" t="str">
        <f aca="false">IF(Tasks[[#This Row],[Task Name]]="","",IF(IF(Tasks[[#This Row],[_IsSummary]],COUNTIF(INDEX(Tasks[_LeafCritical],Tasks[[#This Row],[_Row]]+1):INDEX(Tasks[_LeafCritical],Tasks[[#This Row],[_Row]]+Tasks[[#This Row],[_Descendants]]),TRUE())&gt;0,Tasks[[#This Row],[_LeafCritical]]),"Yes",""))</f>
        <v/>
      </c>
      <c r="AQ138" s="63" t="str">
        <f aca="false">IF(Tasks[[#This Row],[Task Name]]="","",IF(N(Tasks[[#This Row],[Baseline Start]])&gt;0,Tasks[[#This Row],[Baseline Start]],Tasks[[#This Row],[_CalcStart]]))</f>
        <v/>
      </c>
      <c r="AR138" s="63" t="str">
        <f aca="false">IF(Tasks[[#This Row],[Task Name]]="","",IF(N(Tasks[[#This Row],[Baseline Finish]])&gt;0,Tasks[[#This Row],[Baseline Finish]],Tasks[[#This Row],[_CalcFinish]]))</f>
        <v/>
      </c>
      <c r="AS138" s="47" t="str">
        <f aca="false">IF(Tasks[[#This Row],[Task Name]]="","",IF(Tasks[[#This Row],[Start]]&gt;=Tasks[[#This Row],[Planned Start]],NETWORKDAYS.INTL(Tasks[[#This Row],[Planned Start]],Tasks[[#This Row],[Start]],WorkWeek,Holidays)-1,1-NETWORKDAYS.INTL(Tasks[[#This Row],[Start]],Tasks[[#This Row],[Planned Start]],WorkWeek,Holidays)))</f>
        <v/>
      </c>
      <c r="AT138" s="63" t="str">
        <f aca="false">IF(Tasks[[#This Row],[Task Name]]="","",IF(Tasks[[#This Row],[_IsSummary]],MIN(INDEX(Tasks[_LeafLateStart],Tasks[[#This Row],[_Row]]+1):INDEX(Tasks[_LeafLateStart],Tasks[[#This Row],[_Row]]+Tasks[[#This Row],[_Descendants]])),Tasks[[#This Row],[_LeafLateStart]]))</f>
        <v/>
      </c>
      <c r="AU138" s="63" t="str">
        <f aca="false">IF(Tasks[[#This Row],[Task Name]]="","",IF(Tasks[[#This Row],[_IsSummary]],MAX(INDEX(Tasks[_LeafLateFinish],Tasks[[#This Row],[_Row]]+1):INDEX(Tasks[_LeafLateFinish],Tasks[[#This Row],[_Row]]+Tasks[[#This Row],[_Descendants]])),Tasks[[#This Row],[_LeafLateFinish]]))</f>
        <v/>
      </c>
      <c r="AV138" s="47" t="str">
        <f aca="false">IF(Tasks[[#This Row],[Task Name]]="","",IF(Tasks[[#This Row],[_IsSummary]],MIN(INDEX(Tasks[_LeafTotalSlack],Tasks[[#This Row],[_Row]]+1):INDEX(Tasks[_LeafTotalSlack],Tasks[[#This Row],[_Row]]+Tasks[[#This Row],[_Descendants]])),Tasks[[#This Row],[_LeafTotalSlack]]))</f>
        <v/>
      </c>
      <c r="AW1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5"/>
      <c r="BA13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1" t="str">
        <f aca="false">IF(Tasks[[#This Row],[Task Name]]="","",IF(Tasks[[#This Row],[_Level]]&lt;=OutlineShowLevel,"Yes","No"))</f>
        <v/>
      </c>
      <c r="BE138" s="86" t="str">
        <f aca="false">IF(Tasks[[#This Row],[Task Name]]="","",IF(Tasks[[#This Row],[_IsSummary]],SUM(INDEX(Tasks[_LeafTotalWork],Tasks[[#This Row],[_Row]]+1):INDEX(Tasks[_LeafTotalWork],Tasks[[#This Row],[_Row]]+Tasks[[#This Row],[_Descendants]])),Tasks[[#This Row],[_LeafTotalWork]]))</f>
        <v/>
      </c>
      <c r="BF138" s="23"/>
      <c r="BG1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8" s="21" t="str">
        <f aca="false">""</f>
        <v/>
      </c>
      <c r="BI138" s="87"/>
      <c r="BJ138" s="22"/>
      <c r="BK138" s="47" t="str">
        <f aca="false">IF(OR(Tasks[[#This Row],[Task Name]]="",Tasks[[#This Row],[Baseline Duration]]=""),"",Tasks[[#This Row],[_SpanDays]]-N(Tasks[[#This Row],[Baseline Duration]]))</f>
        <v/>
      </c>
      <c r="BL138" s="86" t="str">
        <f aca="false">IF(OR(Tasks[[#This Row],[Task Name]]="",Tasks[[#This Row],[Baseline Work]]=""),"",Tasks[[#This Row],[Work]]-N(Tasks[[#This Row],[Baseline Work]]))</f>
        <v/>
      </c>
      <c r="BM138" s="63" t="str">
        <f aca="false">IF(Tasks[[#This Row],[Task Name]]="","",IF(OR(TakeBaseline="Yes",N(Tasks[[#This Row],[Baseline Start]])=0),Tasks[[#This Row],[Start]],Tasks[[#This Row],[Baseline Start]]))</f>
        <v/>
      </c>
      <c r="BN138" s="63" t="str">
        <f aca="false">IF(Tasks[[#This Row],[Task Name]]="","",IF(OR(TakeBaseline="Yes",N(Tasks[[#This Row],[Baseline Finish]])=0),Tasks[[#This Row],[Finish]],Tasks[[#This Row],[Baseline Finish]]))</f>
        <v/>
      </c>
      <c r="BO138" s="21" t="str">
        <f aca="false">IF(Tasks[[#This Row],[Task Name]]="","",IF(OR(TakeBaseline="Yes",N(Tasks[[#This Row],[Baseline Duration]])=0),Tasks[[#This Row],[_SpanDays]],Tasks[[#This Row],[Baseline Duration]]))</f>
        <v/>
      </c>
      <c r="BP138" s="86" t="str">
        <f aca="false">IF(Tasks[[#This Row],[Task Name]]="","",IF(OR(TakeBaseline="Yes",N(Tasks[[#This Row],[Baseline Work]])=0),Tasks[[#This Row],[Work]],Tasks[[#This Row],[Baseline Work]]))</f>
        <v/>
      </c>
      <c r="BQ138" s="7"/>
      <c r="BR138" s="7"/>
      <c r="BS138" s="22"/>
      <c r="BT138" s="88"/>
      <c r="BU138" s="23"/>
      <c r="BV138" s="23"/>
      <c r="BW138" s="23"/>
      <c r="BX138" s="89" t="str">
        <f aca="false">IF(AND(Tasks[[#This Row],[_IsLeaf]]=1,ISNUMBER(Tasks[[#This Row],[Optimistic]]),ISNUMBER(Tasks[[#This Row],[Pessimistic]])),ROUND((Tasks[[#This Row],[Optimistic]]+4*N(Tasks[[#This Row],[_Days]])+Tasks[[#This Row],[Pessimistic]])/6,1),"")</f>
        <v/>
      </c>
      <c r="BY138" s="87"/>
      <c r="BZ138" s="87"/>
      <c r="CA138" s="22"/>
      <c r="CB138" s="43" t="str">
        <f aca="false">IF(Tasks[[#This Row],[Task Name]]="","",MAX(1,N(Tasks[[#This Row],[Level]])))</f>
        <v/>
      </c>
      <c r="CC138" s="43" t="n">
        <f aca="false">ROW()-ROW(Tasks[[#Headers],[ID]])</f>
        <v>133</v>
      </c>
      <c r="CD138" s="43" t="n">
        <f aca="false">IF(OR(Tasks[[#This Row],[Task Name]]="",Tasks[[#This Row],[_Level]]&lt;=1),0,IFERROR(LOOKUP(2,1/(Tasks[[#Headers],[_Level]]:Tasks[[#This Row],[_Level]]=Tasks[[#This Row],[_Level]]-1),ROW(Tasks[[#Headers],[_Level]]:Tasks[[#This Row],[_Level]])),0))</f>
        <v>0</v>
      </c>
      <c r="CE138" s="43" t="n">
        <f aca="false">IFERROR(N(INDEX(Tasks[_Level],Tasks[[#This Row],[_Row]]+1)),0)</f>
        <v>0</v>
      </c>
      <c r="CF138" s="90" t="b">
        <f aca="false">AND(Tasks[[#This Row],[Task Name]]&lt;&gt;"",Tasks[[#This Row],[_NextLevel]]&gt;Tasks[[#This Row],[_Level]])</f>
        <v>0</v>
      </c>
      <c r="CG138" s="43" t="n">
        <f aca="false">IF(Tasks[[#This Row],[_IsSummary]],COUNTIF(Tasks[WBS],Tasks[[#This Row],[WBS]]&amp;".*"),0)</f>
        <v>0</v>
      </c>
      <c r="CH138" s="43" t="n">
        <f aca="false">IF(AND(Tasks[[#This Row],[Task Name]]&lt;&gt;"",NOT(Tasks[[#This Row],[_IsSummary]])),1,0)</f>
        <v>0</v>
      </c>
      <c r="CI138" s="43" t="n">
        <f aca="false">IF(N(Tasks[[#This Row],[_Pred1UID]])=0,0,IFERROR(MATCH(Tasks[[#This Row],[_Pred1UID]],Tasks[UID],0),-1))</f>
        <v>0</v>
      </c>
      <c r="CJ138" s="43" t="n">
        <f aca="false">IF(N(Tasks[[#This Row],[_Pred2UID]])=0,0,IFERROR(MATCH(Tasks[[#This Row],[_Pred2UID]],Tasks[UID],0),-1))</f>
        <v>0</v>
      </c>
      <c r="CK138" s="43" t="n">
        <f aca="false">IF(N(Tasks[[#This Row],[_Pred3UID]])=0,0,IFERROR(MATCH(Tasks[[#This Row],[_Pred3UID]],Tasks[UID],0),-1))</f>
        <v>0</v>
      </c>
      <c r="CL138" s="43" t="n">
        <f aca="false">IF(N(Tasks[[#This Row],[_Pred4UID]])=0,0,IFERROR(MATCH(Tasks[[#This Row],[_Pred4UID]],Tasks[UID],0),-1))</f>
        <v>0</v>
      </c>
      <c r="CM13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8" s="91" t="n">
        <f aca="false">IF(OR(Tasks[[#This Row],[_ConstraintCode]]=2,Tasks[[#This Row],[_ConstraintCode]]=3,Tasks[[#This Row],[_ConstraintCode]]=4,Tasks[[#This Row],[_ConstraintCode]]=6),Tasks[[#This Row],[_ConstraintStart]],0)</f>
        <v>0</v>
      </c>
      <c r="CP138" s="91" t="n">
        <f aca="false">IF(OR(Tasks[[#This Row],[_ConstraintCode]]=2,Tasks[[#This Row],[_ConstraintCode]]=3,Tasks[[#This Row],[_ConstraintCode]]=5,Tasks[[#This Row],[_ConstraintCode]]=7),Tasks[[#This Row],[_ConstraintStart]],2958465)</f>
        <v>2958465</v>
      </c>
      <c r="CQ13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8" s="91" t="str">
        <f aca="false">IF(NOT(Tasks[[#This Row],[_IsLeaf]]=1),"",IF(N(Tasks[[#This Row],[_Days]])&lt;=0,Tasks[[#This Row],[_LeafCalcStart]],WORKDAY.INTL(Tasks[[#This Row],[_LeafCalcStart]],Tasks[[#This Row],[_Days]]-1,WorkWeek,Holidays)))</f>
        <v/>
      </c>
      <c r="CS13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8" s="43" t="str">
        <f aca="false">IF(Tasks[[#This Row],[_Predecessors]]="","",TRIM(MID(SUBSTITUTE(SUBSTITUTE(SUBSTITUTE(UPPER(Tasks[[#This Row],[_Predecessors]]),";",",")," ",""),",",REPT(" ",99)),1,99)))</f>
        <v/>
      </c>
      <c r="CV138" s="43" t="str">
        <f aca="false">IF(Tasks[[#This Row],[_Pred1Text]]="","",IFERROR(VALUE(LEFT(Tasks[[#This Row],[_Pred1Text]],MIN(FIND("F",Tasks[[#This Row],[_Pred1Text]]&amp;"F"),FIND("S",Tasks[[#This Row],[_Pred1Text]]&amp;"S"),FIND("+",Tasks[[#This Row],[_Pred1Text]]&amp;"+"),FIND("-",Tasks[[#This Row],[_Pred1Text]]&amp;"-"))-1)),""))</f>
        <v/>
      </c>
      <c r="CW13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8" s="43" t="str">
        <f aca="false">IF(Tasks[[#This Row],[_Pred1Text]]="","",TRIM(MID(SUBSTITUTE(SUBSTITUTE(SUBSTITUTE(UPPER(Tasks[[#This Row],[_Predecessors]]),";",",")," ",""),",",REPT(" ",99)),100,99)))</f>
        <v/>
      </c>
      <c r="CZ138" s="43" t="str">
        <f aca="false">IF(Tasks[[#This Row],[_Pred2Text]]="","",IFERROR(VALUE(LEFT(Tasks[[#This Row],[_Pred2Text]],MIN(FIND("F",Tasks[[#This Row],[_Pred2Text]]&amp;"F"),FIND("S",Tasks[[#This Row],[_Pred2Text]]&amp;"S"),FIND("+",Tasks[[#This Row],[_Pred2Text]]&amp;"+"),FIND("-",Tasks[[#This Row],[_Pred2Text]]&amp;"-"))-1)),""))</f>
        <v/>
      </c>
      <c r="DA13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8" s="43" t="str">
        <f aca="false">IF(Tasks[[#This Row],[_Pred2Text]]="","",TRIM(MID(SUBSTITUTE(SUBSTITUTE(SUBSTITUTE(UPPER(Tasks[[#This Row],[_Predecessors]]),";",",")," ",""),",",REPT(" ",99)),199,99)))</f>
        <v/>
      </c>
      <c r="DD138" s="43" t="str">
        <f aca="false">IF(Tasks[[#This Row],[_Pred3Text]]="","",IFERROR(VALUE(LEFT(Tasks[[#This Row],[_Pred3Text]],MIN(FIND("F",Tasks[[#This Row],[_Pred3Text]]&amp;"F"),FIND("S",Tasks[[#This Row],[_Pred3Text]]&amp;"S"),FIND("+",Tasks[[#This Row],[_Pred3Text]]&amp;"+"),FIND("-",Tasks[[#This Row],[_Pred3Text]]&amp;"-"))-1)),""))</f>
        <v/>
      </c>
      <c r="DE13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8" s="43" t="str">
        <f aca="false">IF(Tasks[[#This Row],[_Pred3Text]]="","",TRIM(MID(SUBSTITUTE(SUBSTITUTE(SUBSTITUTE(UPPER(Tasks[[#This Row],[_Predecessors]]),";",",")," ",""),",",REPT(" ",99)),298,99)))</f>
        <v/>
      </c>
      <c r="DH138" s="43" t="str">
        <f aca="false">IF(Tasks[[#This Row],[_Pred4Text]]="","",IFERROR(VALUE(LEFT(Tasks[[#This Row],[_Pred4Text]],MIN(FIND("F",Tasks[[#This Row],[_Pred4Text]]&amp;"F"),FIND("S",Tasks[[#This Row],[_Pred4Text]]&amp;"S"),FIND("+",Tasks[[#This Row],[_Pred4Text]]&amp;"+"),FIND("-",Tasks[[#This Row],[_Pred4Text]]&amp;"-"))-1)),""))</f>
        <v/>
      </c>
      <c r="DI13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8" s="43" t="str">
        <f aca="false">IF(OR(Tasks[[#This Row],[Task Name]]="",Tasks[[#This Row],[_Resources]]=""),"",TRIM(MID(SUBSTITUTE(Tasks[[#This Row],[_Resources]],",",REPT(" ",99)),1,99)))</f>
        <v/>
      </c>
      <c r="DL138" s="43" t="str">
        <f aca="false">IF(Tasks[[#This Row],[_Res1Text]]="","",TRIM(MID(SUBSTITUTE(Tasks[[#This Row],[_Resources]],",",REPT(" ",99)),100,99)))</f>
        <v/>
      </c>
      <c r="DM138" s="43" t="str">
        <f aca="false">IF(Tasks[[#This Row],[_Res2Text]]="","",TRIM(MID(SUBSTITUTE(Tasks[[#This Row],[_Resources]],",",REPT(" ",99)),199,99)))</f>
        <v/>
      </c>
      <c r="DN138" s="43" t="str">
        <f aca="false">IF(Tasks[[#This Row],[_Res3Text]]="","",TRIM(MID(SUBSTITUTE(Tasks[[#This Row],[_Resources]],",",REPT(" ",99)),298,99)))</f>
        <v/>
      </c>
      <c r="DO138" s="43" t="n">
        <f aca="false">IF(Tasks[[#This Row],[_Res1Text]]="",0,IFERROR(MATCH(TRIM(LEFT(Tasks[[#This Row],[_Res1Text]],FIND("[",Tasks[[#This Row],[_Res1Text]]&amp;"[")-1)),res_Name,0),IFERROR(MATCH(TRIM(LEFT(Tasks[[#This Row],[_Res1Text]],FIND("[",Tasks[[#This Row],[_Res1Text]]&amp;"[")-1)),res_Initials,0),0)))</f>
        <v>0</v>
      </c>
      <c r="DP138" s="43" t="n">
        <f aca="false">IF(Tasks[[#This Row],[_Res2Text]]="",0,IFERROR(MATCH(TRIM(LEFT(Tasks[[#This Row],[_Res2Text]],FIND("[",Tasks[[#This Row],[_Res2Text]]&amp;"[")-1)),res_Name,0),IFERROR(MATCH(TRIM(LEFT(Tasks[[#This Row],[_Res2Text]],FIND("[",Tasks[[#This Row],[_Res2Text]]&amp;"[")-1)),res_Initials,0),0)))</f>
        <v>0</v>
      </c>
      <c r="DQ138" s="43" t="n">
        <f aca="false">IF(Tasks[[#This Row],[_Res3Text]]="",0,IFERROR(MATCH(TRIM(LEFT(Tasks[[#This Row],[_Res3Text]],FIND("[",Tasks[[#This Row],[_Res3Text]]&amp;"[")-1)),res_Name,0),IFERROR(MATCH(TRIM(LEFT(Tasks[[#This Row],[_Res3Text]],FIND("[",Tasks[[#This Row],[_Res3Text]]&amp;"[")-1)),res_Initials,0),0)))</f>
        <v>0</v>
      </c>
      <c r="DR138" s="43" t="n">
        <f aca="false">IF(Tasks[[#This Row],[_Res4Text]]="",0,IFERROR(MATCH(TRIM(LEFT(Tasks[[#This Row],[_Res4Text]],FIND("[",Tasks[[#This Row],[_Res4Text]]&amp;"[")-1)),res_Name,0),IFERROR(MATCH(TRIM(LEFT(Tasks[[#This Row],[_Res4Text]],FIND("[",Tasks[[#This Row],[_Res4Text]]&amp;"[")-1)),res_Initials,0),0)))</f>
        <v>0</v>
      </c>
      <c r="DS138" s="43" t="str">
        <f aca="false">IF(Tasks[[#This Row],[_Res1Text]]="","",IF(Tasks[[#This Row],[_Res1Row]]&gt;0,INDEX(res_Name,Tasks[[#This Row],[_Res1Row]]),TRIM(LEFT(Tasks[[#This Row],[_Res1Text]],FIND("[",Tasks[[#This Row],[_Res1Text]]&amp;"[")-1))))</f>
        <v/>
      </c>
      <c r="DT13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8" s="43" t="n">
        <f aca="false">IF(NOT(Tasks[[#This Row],[_IsLeaf]]=1),0,(Tasks[[#This Row],[_Resource1]]&lt;&gt;"")+(Tasks[[#This Row],[_Res2]]&lt;&gt;"")+(Tasks[[#This Row],[_Res3]]&lt;&gt;"")+(Tasks[[#This Row],[_Res4]]&lt;&gt;""))</f>
        <v>0</v>
      </c>
      <c r="DV138" s="43" t="str">
        <f aca="false">IF(Tasks[[#This Row],[_Res2Text]]="","",IF(Tasks[[#This Row],[_Res2Row]]&gt;0,INDEX(res_Name,Tasks[[#This Row],[_Res2Row]]),TRIM(LEFT(Tasks[[#This Row],[_Res2Text]],FIND("[",Tasks[[#This Row],[_Res2Text]]&amp;"[")-1))))</f>
        <v/>
      </c>
      <c r="DW13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8" s="43" t="n">
        <f aca="false">IF(OR(NOT(Tasks[[#This Row],[_IsLeaf]]=1),Tasks[[#This Row],[_Res2Row]]=0),0,N(Tasks[[#This Row],[_Days]])*HoursPerDay*IF(Tasks[[#This Row],[_Res2Units]]="",DefaultUnits,Tasks[[#This Row],[_Res2Units]]))</f>
        <v>0</v>
      </c>
      <c r="DY138" s="43" t="n">
        <f aca="false">IF(AND(AND(Tasks[[#This Row],[_IsLeaf]]=1,Tasks[[#This Row],[_LeafTotalWork]]&gt;0),Tasks[[#This Row],[_Res2Work]]&gt;0),Tasks[[#This Row],[_Res2Work]]/(Tasks[[#This Row],[_FinishWorkday]]-Tasks[[#This Row],[_StartWorkday]]+1),0)</f>
        <v>0</v>
      </c>
      <c r="DZ138" s="43" t="n">
        <f aca="false">Tasks[[#This Row],[_Res2WorkPerWD]]*MAX(0,Tasks[[#This Row],[_StartWorkday]]-1)</f>
        <v>0</v>
      </c>
      <c r="EA138" s="43" t="n">
        <f aca="false">Tasks[[#This Row],[_Res2Work]]*Tasks[[#This Row],[_LeafProgress]]</f>
        <v>0</v>
      </c>
      <c r="EB138" s="43" t="str">
        <f aca="false">IF(Tasks[[#This Row],[_Res3Text]]="","",IF(Tasks[[#This Row],[_Res3Row]]&gt;0,INDEX(res_Name,Tasks[[#This Row],[_Res3Row]]),TRIM(LEFT(Tasks[[#This Row],[_Res3Text]],FIND("[",Tasks[[#This Row],[_Res3Text]]&amp;"[")-1))))</f>
        <v/>
      </c>
      <c r="EC13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8" s="43" t="n">
        <f aca="false">IF(OR(NOT(Tasks[[#This Row],[_IsLeaf]]=1),Tasks[[#This Row],[_Res3Row]]=0),0,N(Tasks[[#This Row],[_Days]])*HoursPerDay*IF(Tasks[[#This Row],[_Res3Units]]="",DefaultUnits,Tasks[[#This Row],[_Res3Units]]))</f>
        <v>0</v>
      </c>
      <c r="EE138" s="43" t="n">
        <f aca="false">IF(AND(AND(Tasks[[#This Row],[_IsLeaf]]=1,Tasks[[#This Row],[_LeafTotalWork]]&gt;0),Tasks[[#This Row],[_Res3Work]]&gt;0),Tasks[[#This Row],[_Res3Work]]/(Tasks[[#This Row],[_FinishWorkday]]-Tasks[[#This Row],[_StartWorkday]]+1),0)</f>
        <v>0</v>
      </c>
      <c r="EF138" s="43" t="n">
        <f aca="false">Tasks[[#This Row],[_Res3WorkPerWD]]*MAX(0,Tasks[[#This Row],[_StartWorkday]]-1)</f>
        <v>0</v>
      </c>
      <c r="EG138" s="43" t="n">
        <f aca="false">Tasks[[#This Row],[_Res3Work]]*Tasks[[#This Row],[_LeafProgress]]</f>
        <v>0</v>
      </c>
      <c r="EH138" s="43" t="str">
        <f aca="false">IF(Tasks[[#This Row],[_Res4Text]]="","",IF(Tasks[[#This Row],[_Res4Row]]&gt;0,INDEX(res_Name,Tasks[[#This Row],[_Res4Row]]),TRIM(LEFT(Tasks[[#This Row],[_Res4Text]],FIND("[",Tasks[[#This Row],[_Res4Text]]&amp;"[")-1))))</f>
        <v/>
      </c>
      <c r="EI13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8" s="43" t="n">
        <f aca="false">IF(OR(NOT(Tasks[[#This Row],[_IsLeaf]]=1),Tasks[[#This Row],[_Res4Row]]=0),0,N(Tasks[[#This Row],[_Days]])*HoursPerDay*IF(Tasks[[#This Row],[_Res4Units]]="",DefaultUnits,Tasks[[#This Row],[_Res4Units]]))</f>
        <v>0</v>
      </c>
      <c r="EK138" s="43" t="n">
        <f aca="false">IF(AND(AND(Tasks[[#This Row],[_IsLeaf]]=1,Tasks[[#This Row],[_LeafTotalWork]]&gt;0),Tasks[[#This Row],[_Res4Work]]&gt;0),Tasks[[#This Row],[_Res4Work]]/(Tasks[[#This Row],[_FinishWorkday]]-Tasks[[#This Row],[_StartWorkday]]+1),0)</f>
        <v>0</v>
      </c>
      <c r="EL138" s="43" t="n">
        <f aca="false">Tasks[[#This Row],[_Res4WorkPerWD]]*MAX(0,Tasks[[#This Row],[_StartWorkday]]-1)</f>
        <v>0</v>
      </c>
      <c r="EM138" s="43" t="n">
        <f aca="false">Tasks[[#This Row],[_Res4Work]]*Tasks[[#This Row],[_LeafProgress]]</f>
        <v>0</v>
      </c>
      <c r="EN138" s="43" t="n">
        <f aca="false">IF(ISNUMBER(Tasks[[#This Row],[% Complete]]),Tasks[[#This Row],[% Complete]],IF(Tasks[[#This Row],[Stage]]="",0,IFERROR(INDEX(stg_Pct,MATCH(Tasks[[#This Row],[Stage]],stg_Name,0)),0)))</f>
        <v>0</v>
      </c>
      <c r="EO138" s="43" t="n">
        <f aca="false">IF(NOT(Tasks[[#This Row],[_IsLeaf]]=1),0,IF(N(Tasks[[#This Row],[Actual Finish]])&gt;0,1,MIN(1,Tasks[[#This Row],[_Pct]])))</f>
        <v>0</v>
      </c>
      <c r="EP138" s="43" t="n">
        <f aca="false">IF(OR(NOT(Tasks[[#This Row],[_IsLeaf]]=1),Tasks[[#This Row],[_Res1Row]]=0),0,N(Tasks[[#This Row],[_Days]])*HoursPerDay*IF(Tasks[[#This Row],[_Units1]]="",DefaultUnits,Tasks[[#This Row],[_Units1]]))</f>
        <v>0</v>
      </c>
      <c r="EQ138" s="43" t="n">
        <f aca="false">Tasks[[#This Row],[_LeafWork]]+Tasks[[#This Row],[_Res2Work]]+Tasks[[#This Row],[_Res3Work]]+Tasks[[#This Row],[_Res4Work]]</f>
        <v>0</v>
      </c>
      <c r="ER13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8" s="43" t="n">
        <f aca="false">IF(NOT(Tasks[[#This Row],[_IsLeaf]]=1),0,MAX(_xlfn.MAXIFS(Tasks[_Row],Tasks[_Pred1UID],Tasks[[#This Row],[UID]]),_xlfn.MAXIFS(Tasks[_Row],Tasks[_Pred2UID],Tasks[[#This Row],[UID]]),_xlfn.MAXIFS(Tasks[_Row],Tasks[_Pred3UID],Tasks[[#This Row],[UID]]),_xlfn.MAXIFS(Tasks[_Row],Tasks[_Pred4UID],Tasks[[#This Row],[UID]])))</f>
        <v>0</v>
      </c>
      <c r="FA13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8" s="91" t="str">
        <f aca="false">IF(NOT(Tasks[[#This Row],[_IsLeaf]]=1),"",IF(N(Tasks[[#This Row],[_Days]])&lt;=0,Tasks[[#This Row],[_LeafLateFinish]],WORKDAY.INTL(Tasks[[#This Row],[_LeafLateFinish]],-(Tasks[[#This Row],[_Days]]-1),WorkWeek,Holidays)))</f>
        <v/>
      </c>
      <c r="FD13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8" s="90" t="b">
        <f aca="false">AND(Tasks[[#This Row],[_IsLeaf]]=1,Tasks[[#This Row],[_LeafProgress]]&lt;1,N(Tasks[[#This Row],[_LeafTotalSlack]])&lt;=CriticalSlackDays)</f>
        <v>0</v>
      </c>
      <c r="FF138" s="43" t="n">
        <f aca="false">IF(AND(Tasks[[#This Row],[_IsLeaf]]=1,Tasks[[#This Row],[_ConstraintCode]]=1,Tasks[[#This Row],[Mode]]&lt;&gt;"Manual",N(Tasks[[#This Row],[Actual Start]])=0),MAX(0,N(Tasks[[#This Row],[Free Slack]])),0)</f>
        <v>0</v>
      </c>
      <c r="FG138" s="91" t="str">
        <f aca="false">IF(NOT(Tasks[[#This Row],[_IsLeaf]]=1),"",IF(Tasks[[#This Row],[_AlapShift]]=0,Tasks[[#This Row],[_LeafCalcStart]],WORKDAY.INTL(Tasks[[#This Row],[_LeafCalcStart]],Tasks[[#This Row],[_AlapShift]],WorkWeek,Holidays)))</f>
        <v/>
      </c>
      <c r="FH138" s="91" t="str">
        <f aca="false">IF(NOT(Tasks[[#This Row],[_IsLeaf]]=1),"",IF(Tasks[[#This Row],[_AlapShift]]=0,Tasks[[#This Row],[_LeafCalcFinish]],WORKDAY.INTL(Tasks[[#This Row],[_LeafCalcFinish]],Tasks[[#This Row],[_AlapShift]],WorkWeek,Holidays)))</f>
        <v/>
      </c>
      <c r="FI138" s="91" t="str">
        <f aca="false">IF(NOT(Tasks[[#This Row],[_IsLeaf]]=1),"",IF(Tasks[[#This Row],[_AlapShift]]=0,Tasks[[#This Row],[_LeafFcstStart]],WORKDAY.INTL(Tasks[[#This Row],[_LeafFcstStart]],Tasks[[#This Row],[_AlapShift]],WorkWeek,Holidays)))</f>
        <v/>
      </c>
      <c r="FJ138" s="91" t="str">
        <f aca="false">IF(NOT(Tasks[[#This Row],[_IsLeaf]]=1),"",IF(Tasks[[#This Row],[_AlapShift]]=0,Tasks[[#This Row],[_LeafFcstFinish]],WORKDAY.INTL(Tasks[[#This Row],[_LeafFcstFinish]],Tasks[[#This Row],[_AlapShift]],WorkWeek,Holidays)))</f>
        <v/>
      </c>
      <c r="FK138" s="91" t="str">
        <f aca="false">IF(Tasks[[#This Row],[Task Name]]="","",IF(Tasks[[#This Row],[_IsSummary]],MIN(INDEX(Tasks[_ShownCalcStart],Tasks[[#This Row],[_Row]]+1):INDEX(Tasks[_ShownCalcStart],Tasks[[#This Row],[_Row]]+Tasks[[#This Row],[_Descendants]])),Tasks[[#This Row],[_ShownCalcStart]]))</f>
        <v/>
      </c>
      <c r="FL138" s="91" t="str">
        <f aca="false">IF(Tasks[[#This Row],[Task Name]]="","",IF(Tasks[[#This Row],[_IsSummary]],MAX(INDEX(Tasks[_ShownCalcFinish],Tasks[[#This Row],[_Row]]+1):INDEX(Tasks[_ShownCalcFinish],Tasks[[#This Row],[_Row]]+Tasks[[#This Row],[_Descendants]])),Tasks[[#This Row],[_ShownCalcFinish]]))</f>
        <v/>
      </c>
      <c r="FM13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8" s="43" t="n">
        <f aca="false">IF(AND(Tasks[[#This Row],[_IsLeaf]]=1,Tasks[[#This Row],[_LeafTotalWork]]&gt;0),NETWORKDAYS.INTL(ProjectStart,Tasks[[#This Row],[_ShownFcstStart]],WorkWeek,Holidays),0)</f>
        <v>0</v>
      </c>
      <c r="FZ138" s="43" t="n">
        <f aca="false">IF(AND(Tasks[[#This Row],[_IsLeaf]]=1,Tasks[[#This Row],[_LeafTotalWork]]&gt;0),MAX(Tasks[[#This Row],[_StartWorkday]],NETWORKDAYS.INTL(ProjectStart,Tasks[[#This Row],[_ShownFcstFinish]],WorkWeek,Holidays)),0)</f>
        <v>0</v>
      </c>
      <c r="GA138" s="43" t="n">
        <f aca="false">IF(AND(Tasks[[#This Row],[_IsLeaf]]=1,Tasks[[#This Row],[_LeafTotalWork]]&gt;0),Tasks[[#This Row],[_LeafWork]]/(Tasks[[#This Row],[_FinishWorkday]]-Tasks[[#This Row],[_StartWorkday]]+1),0)</f>
        <v>0</v>
      </c>
      <c r="GB138" s="43" t="n">
        <f aca="false">Tasks[[#This Row],[_WorkPerWorkday]]*(Tasks[[#This Row],[_StartWorkday]]-1)</f>
        <v>-0</v>
      </c>
      <c r="GC138" s="43" t="n">
        <f aca="false">IF(Tasks[[#This Row],[_IsLeaf]]=1,MAX(N(Tasks[[#This Row],[_Days]]),0.1),0)</f>
        <v>0</v>
      </c>
      <c r="GD138" s="43" t="n">
        <f aca="false">Tasks[[#This Row],[_WeightDur]]*Tasks[[#This Row],[_LeafProgress]]</f>
        <v>0</v>
      </c>
      <c r="GE138" s="43" t="n">
        <f aca="false">Tasks[[#This Row],[_WeightDur]]*Tasks[[#This Row],[_PlannedPct]]</f>
        <v>0</v>
      </c>
      <c r="GF13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8" s="43" t="str">
        <f aca="false">IF(AND(Tasks[[#This Row],[_IsLeaf]]=1,N(Tasks[[#This Row],[_Days]])=0,Tasks[[#This Row],[_LeafProgress]]&lt;1),Tasks[[#This Row],[_ShownFcstFinish]]+Tasks[[#This Row],[_Row]]/100000,"")</f>
        <v/>
      </c>
      <c r="GH13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8" s="43" t="str">
        <f aca="false">IF(Tasks[[#This Row],[Task Name]]="","",LEFT(Tasks[[#This Row],[WBS]],FIND(".",Tasks[[#This Row],[WBS]]&amp;".")-1))</f>
        <v/>
      </c>
      <c r="GJ138" s="43" t="str">
        <f aca="false">IF(AND(Tasks[[#This Row],[Task Name]]&lt;&gt;"",Tasks[[#This Row],[_Level]]=1),Tasks[[#This Row],[_Row]],"")</f>
        <v/>
      </c>
      <c r="GK138" s="43" t="str">
        <f aca="false">IF(AND(Tasks[[#This Row],[_IsLeaf]]=1,N(Tasks[[#This Row],[_Days]])=0),Tasks[[#This Row],[Planned Finish]]+Tasks[[#This Row],[_Row]]/100000,"")</f>
        <v/>
      </c>
      <c r="GL138" s="43" t="str">
        <f aca="false">IF(AND(Tasks[[#This Row],[_IsLeaf]]=1,Tasks[[#This Row],[_LeafProgress]]&lt;1,OR(N(Tasks[[#This Row],[Finish Var]])&gt;0,Tasks[[#This Row],[Status]]="Late Start")),MAX(0,Tasks[[#This Row],[Finish Var]])+1-Tasks[[#This Row],[_Row]]/1000000,"")</f>
        <v/>
      </c>
      <c r="GM138" s="43" t="str">
        <f aca="false">IF(AND(Tasks[[#This Row],[_IsLeaf]]=1,N(Tasks[[#This Row],[Actual Start]])=0,Tasks[[#This Row],[_ShownFcstStart]]&gt;=StatusDate,Tasks[[#This Row],[_ShownFcstStart]]&lt;=LookaheadEnd),Tasks[[#This Row],[_ShownFcstStart]]+Tasks[[#This Row],[_Row]]/100000,"")</f>
        <v/>
      </c>
      <c r="GN138" s="43" t="str">
        <f aca="false">IF(AND(Tasks[[#This Row],[_IsLeaf]]=1,Tasks[[#This Row],[_LeafProgress]]&lt;1,Tasks[[#This Row],[_ShownFcstFinish]]&gt;=StatusDate,Tasks[[#This Row],[_ShownFcstFinish]]&lt;=LookaheadEnd),Tasks[[#This Row],[_ShownFcstFinish]]+Tasks[[#This Row],[_Row]]/100000,"")</f>
        <v/>
      </c>
      <c r="GO138" s="43" t="str">
        <f aca="false">IF(Tasks[[#This Row],[_LeafCritical]],Tasks[[#This Row],[_ShownFcstStart]]+Tasks[[#This Row],[_Row]]/100000,"")</f>
        <v/>
      </c>
      <c r="GP138" s="43" t="n">
        <f aca="false">Tasks[[#This Row],[_LeafWork]]*Tasks[[#This Row],[_LeafProgress]]</f>
        <v>0</v>
      </c>
      <c r="GQ138" s="91" t="str">
        <f aca="false">IF(AND(Tasks[[#This Row],[_IsLeaf]]=1,Tasks[[#This Row],[_LeafProgress]]&gt;=1),IF(N(Tasks[[#This Row],[Actual Finish]])&gt;0,Tasks[[#This Row],[Actual Finish]],Tasks[[#This Row],[_ShownFcstFinish]]),"")</f>
        <v/>
      </c>
      <c r="GR138" s="43" t="n">
        <f aca="false">IF(Tasks[[#This Row],[_IsLeaf]]=1,N(Tasks[[#This Row],[Story Points]]),0)</f>
        <v>0</v>
      </c>
      <c r="GS138" s="43" t="str">
        <f aca="false">""</f>
        <v/>
      </c>
      <c r="GT138" s="90" t="b">
        <f aca="false">IF(Tasks[[#This Row],[Task Name]]="",FALSE(),AND(Tasks[[#This Row],[_IsLeaf]]=1,N(Tasks[[#This Row],[_Days]])=0))</f>
        <v>0</v>
      </c>
      <c r="GU138" s="91" t="n">
        <f aca="false">IF(Tasks[[#This Row],[Task Name]]="",0,IF(AND(Tasks[[#This Row],[_IsLeaf]]=1,NOT(Tasks[[#This Row],[_IsMilestone]]),N(Tasks[[#This Row],[Progress]])&gt;0),Tasks[[#This Row],[Start]],0))</f>
        <v>0</v>
      </c>
      <c r="GV138" s="91" t="n">
        <f aca="false">IF(Tasks[[#This Row],[_DoneFrom]]=0,0,IF(Tasks[[#This Row],[Progress]]&gt;=1,Tasks[[#This Row],[Finish]],MAX(Tasks[[#This Row],[_DoneFrom]],Tasks[[#This Row],[Start]]+ROUND((Tasks[[#This Row],[Finish]]-Tasks[[#This Row],[Start]]+1)*Tasks[[#This Row],[Progress]],0)-1)))</f>
        <v>0</v>
      </c>
      <c r="GW138" s="91" t="n">
        <f aca="false">IF(Tasks[[#This Row],[Task Name]]="",0,IF(OR(NOT(Tasks[[#This Row],[_IsLeaf]]=1),Tasks[[#This Row],[_IsMilestone]],N(Tasks[[#This Row],[Progress]])&gt;=1),0,IF(Tasks[[#This Row],[_DoneTo]]&gt;0,Tasks[[#This Row],[_DoneTo]]+1,Tasks[[#This Row],[Start]])))</f>
        <v>0</v>
      </c>
      <c r="GX138" s="91" t="n">
        <f aca="false">IF(Tasks[[#This Row],[_RemFrom]]=0,0,Tasks[[#This Row],[Finish]])</f>
        <v>0</v>
      </c>
      <c r="GY138" s="90" t="b">
        <f aca="false">IF(Tasks[[#This Row],[Task Name]]="",FALSE(),OR(NOT(BaselineSet),N(Tasks[[#This Row],[Baseline Start]])&gt;0))</f>
        <v>0</v>
      </c>
      <c r="GZ13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8" s="92" t="str">
        <f aca="false">IF(Tasks[[#This Row],[_IsLeaf]]=1,Tasks[[#This Row],[_Row]],"")</f>
        <v/>
      </c>
      <c r="HD138" s="92" t="str">
        <f aca="false">IFERROR(INDEX(Tasks[UID],SMALL(Tasks[_PickKey],Tasks[[#This Row],[_Row]]))&amp;" "&amp;INDEX(Tasks[Task Name],SMALL(Tasks[_PickKey],Tasks[[#This Row],[_Row]])),"")</f>
        <v/>
      </c>
      <c r="HE138" s="43" t="str">
        <f aca="false">IF(Tasks[[#This Row],[Task Name]]="","",IF(Tasks[[#This Row],[_IsSummary]],NETWORKDAYS.INTL(Tasks[[#This Row],[Start]],Tasks[[#This Row],[Finish]],WorkWeek,Holidays),N(Tasks[[#This Row],[_Days]])))</f>
        <v/>
      </c>
      <c r="HF138" s="43" t="n">
        <f aca="false">IF(Tasks[[#This Row],[Expected]]="",0,((Tasks[[#This Row],[Pessimistic]]-Tasks[[#This Row],[Optimistic]])/6)^2)</f>
        <v>0</v>
      </c>
      <c r="HG138" s="43" t="n">
        <f aca="false">IF(Tasks[[#This Row],[Expected]]="",0,Tasks[[#This Row],[Expected]]-N(Tasks[[#This Row],[_Days]]))</f>
        <v>0</v>
      </c>
    </row>
    <row r="139" customFormat="false" ht="15" hidden="false" customHeight="false" outlineLevel="0" collapsed="false">
      <c r="A139" s="21" t="str">
        <f aca="false">IF(Tasks[[#This Row],[Task Name]]="","",COUNTA(Tasks[[#Headers],[Task Name]]:Tasks[[#This Row],[Task Name]])-1)</f>
        <v/>
      </c>
      <c r="B139" s="22" t="n">
        <v>147</v>
      </c>
      <c r="C139" s="22"/>
      <c r="D139" s="23"/>
      <c r="E139" s="22"/>
      <c r="F139" s="23"/>
      <c r="G139" s="22"/>
      <c r="H139" s="22"/>
      <c r="I139" s="23"/>
      <c r="J139" s="22"/>
      <c r="K139" s="22"/>
      <c r="L139" s="23"/>
      <c r="M139" s="22"/>
      <c r="N139" s="22"/>
      <c r="O139" s="23"/>
      <c r="P139" s="22"/>
      <c r="Q139" s="22"/>
      <c r="R139" s="23"/>
      <c r="S139" s="23"/>
      <c r="T139" s="84"/>
      <c r="U139" s="23"/>
      <c r="V139" s="84"/>
      <c r="W139" s="23"/>
      <c r="X139" s="84"/>
      <c r="Y139" s="23"/>
      <c r="Z139" s="84"/>
      <c r="AA139" s="23"/>
      <c r="AB139" s="23"/>
      <c r="AC139" s="7"/>
      <c r="AD139" s="7"/>
      <c r="AE139" s="63" t="str">
        <f aca="false">IF(Tasks[[#This Row],[Task Name]]="","",IF(Tasks[[#This Row],[_IsSummary]],MIN(INDEX(Tasks[_ShownFcstStart],Tasks[[#This Row],[_Row]]+1):INDEX(Tasks[_ShownFcstStart],Tasks[[#This Row],[_Row]]+Tasks[[#This Row],[_Descendants]])),Tasks[[#This Row],[_ShownFcstStart]]))</f>
        <v/>
      </c>
      <c r="AF139" s="63" t="str">
        <f aca="false">IF(Tasks[[#This Row],[Task Name]]="","",IF(Tasks[[#This Row],[_IsSummary]],MAX(INDEX(Tasks[_ShownFcstFinish],Tasks[[#This Row],[_Row]]+1):INDEX(Tasks[_ShownFcstFinish],Tasks[[#This Row],[_Row]]+Tasks[[#This Row],[_Descendants]])),Tasks[[#This Row],[_ShownFcstFinish]]))</f>
        <v/>
      </c>
      <c r="AG139" s="21" t="str">
        <f aca="false">""</f>
        <v/>
      </c>
      <c r="AH139" s="23"/>
      <c r="AI1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9" s="7"/>
      <c r="AK139" s="22"/>
      <c r="AL139" s="23"/>
      <c r="AM139" s="7"/>
      <c r="AN139" s="47" t="str">
        <f aca="false">IF(Tasks[[#This Row],[Task Name]]="","",IF(Tasks[[#This Row],[Finish]]&gt;=Tasks[[#This Row],[Planned Finish]],NETWORKDAYS.INTL(Tasks[[#This Row],[Planned Finish]],Tasks[[#This Row],[Finish]],WorkWeek,Holidays)-1,1-NETWORKDAYS.INTL(Tasks[[#This Row],[Finish]],Tasks[[#This Row],[Planned Finish]],WorkWeek,Holidays)))</f>
        <v/>
      </c>
      <c r="AO139" s="21" t="str">
        <f aca="false">IF(Tasks[[#This Row],[Task Name]]="","",IF(Tasks[[#This Row],[Progress]]&gt;=1,"Complete",IF(OR(N(Tasks[[#This Row],[Actual Start]])&gt;0,Tasks[[#This Row],[Progress]]&gt;0),IF(Tasks[[#This Row],[Finish Var]]&gt;0,"Behind","In Progress"),IF(Tasks[[#This Row],[Planned Start]]&lt;StatusDate,"Late Start","Not Started"))))</f>
        <v/>
      </c>
      <c r="AP139" s="21" t="str">
        <f aca="false">IF(Tasks[[#This Row],[Task Name]]="","",IF(IF(Tasks[[#This Row],[_IsSummary]],COUNTIF(INDEX(Tasks[_LeafCritical],Tasks[[#This Row],[_Row]]+1):INDEX(Tasks[_LeafCritical],Tasks[[#This Row],[_Row]]+Tasks[[#This Row],[_Descendants]]),TRUE())&gt;0,Tasks[[#This Row],[_LeafCritical]]),"Yes",""))</f>
        <v/>
      </c>
      <c r="AQ139" s="63" t="str">
        <f aca="false">IF(Tasks[[#This Row],[Task Name]]="","",IF(N(Tasks[[#This Row],[Baseline Start]])&gt;0,Tasks[[#This Row],[Baseline Start]],Tasks[[#This Row],[_CalcStart]]))</f>
        <v/>
      </c>
      <c r="AR139" s="63" t="str">
        <f aca="false">IF(Tasks[[#This Row],[Task Name]]="","",IF(N(Tasks[[#This Row],[Baseline Finish]])&gt;0,Tasks[[#This Row],[Baseline Finish]],Tasks[[#This Row],[_CalcFinish]]))</f>
        <v/>
      </c>
      <c r="AS139" s="47" t="str">
        <f aca="false">IF(Tasks[[#This Row],[Task Name]]="","",IF(Tasks[[#This Row],[Start]]&gt;=Tasks[[#This Row],[Planned Start]],NETWORKDAYS.INTL(Tasks[[#This Row],[Planned Start]],Tasks[[#This Row],[Start]],WorkWeek,Holidays)-1,1-NETWORKDAYS.INTL(Tasks[[#This Row],[Start]],Tasks[[#This Row],[Planned Start]],WorkWeek,Holidays)))</f>
        <v/>
      </c>
      <c r="AT139" s="63" t="str">
        <f aca="false">IF(Tasks[[#This Row],[Task Name]]="","",IF(Tasks[[#This Row],[_IsSummary]],MIN(INDEX(Tasks[_LeafLateStart],Tasks[[#This Row],[_Row]]+1):INDEX(Tasks[_LeafLateStart],Tasks[[#This Row],[_Row]]+Tasks[[#This Row],[_Descendants]])),Tasks[[#This Row],[_LeafLateStart]]))</f>
        <v/>
      </c>
      <c r="AU139" s="63" t="str">
        <f aca="false">IF(Tasks[[#This Row],[Task Name]]="","",IF(Tasks[[#This Row],[_IsSummary]],MAX(INDEX(Tasks[_LeafLateFinish],Tasks[[#This Row],[_Row]]+1):INDEX(Tasks[_LeafLateFinish],Tasks[[#This Row],[_Row]]+Tasks[[#This Row],[_Descendants]])),Tasks[[#This Row],[_LeafLateFinish]]))</f>
        <v/>
      </c>
      <c r="AV139" s="47" t="str">
        <f aca="false">IF(Tasks[[#This Row],[Task Name]]="","",IF(Tasks[[#This Row],[_IsSummary]],MIN(INDEX(Tasks[_LeafTotalSlack],Tasks[[#This Row],[_Row]]+1):INDEX(Tasks[_LeafTotalSlack],Tasks[[#This Row],[_Row]]+Tasks[[#This Row],[_Descendants]])),Tasks[[#This Row],[_LeafTotalSlack]]))</f>
        <v/>
      </c>
      <c r="AW1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5"/>
      <c r="BA13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1" t="str">
        <f aca="false">IF(Tasks[[#This Row],[Task Name]]="","",IF(Tasks[[#This Row],[_Level]]&lt;=OutlineShowLevel,"Yes","No"))</f>
        <v/>
      </c>
      <c r="BE139" s="86" t="str">
        <f aca="false">IF(Tasks[[#This Row],[Task Name]]="","",IF(Tasks[[#This Row],[_IsSummary]],SUM(INDEX(Tasks[_LeafTotalWork],Tasks[[#This Row],[_Row]]+1):INDEX(Tasks[_LeafTotalWork],Tasks[[#This Row],[_Row]]+Tasks[[#This Row],[_Descendants]])),Tasks[[#This Row],[_LeafTotalWork]]))</f>
        <v/>
      </c>
      <c r="BF139" s="23"/>
      <c r="BG1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9" s="21" t="str">
        <f aca="false">""</f>
        <v/>
      </c>
      <c r="BI139" s="87"/>
      <c r="BJ139" s="22"/>
      <c r="BK139" s="47" t="str">
        <f aca="false">IF(OR(Tasks[[#This Row],[Task Name]]="",Tasks[[#This Row],[Baseline Duration]]=""),"",Tasks[[#This Row],[_SpanDays]]-N(Tasks[[#This Row],[Baseline Duration]]))</f>
        <v/>
      </c>
      <c r="BL139" s="86" t="str">
        <f aca="false">IF(OR(Tasks[[#This Row],[Task Name]]="",Tasks[[#This Row],[Baseline Work]]=""),"",Tasks[[#This Row],[Work]]-N(Tasks[[#This Row],[Baseline Work]]))</f>
        <v/>
      </c>
      <c r="BM139" s="63" t="str">
        <f aca="false">IF(Tasks[[#This Row],[Task Name]]="","",IF(OR(TakeBaseline="Yes",N(Tasks[[#This Row],[Baseline Start]])=0),Tasks[[#This Row],[Start]],Tasks[[#This Row],[Baseline Start]]))</f>
        <v/>
      </c>
      <c r="BN139" s="63" t="str">
        <f aca="false">IF(Tasks[[#This Row],[Task Name]]="","",IF(OR(TakeBaseline="Yes",N(Tasks[[#This Row],[Baseline Finish]])=0),Tasks[[#This Row],[Finish]],Tasks[[#This Row],[Baseline Finish]]))</f>
        <v/>
      </c>
      <c r="BO139" s="21" t="str">
        <f aca="false">IF(Tasks[[#This Row],[Task Name]]="","",IF(OR(TakeBaseline="Yes",N(Tasks[[#This Row],[Baseline Duration]])=0),Tasks[[#This Row],[_SpanDays]],Tasks[[#This Row],[Baseline Duration]]))</f>
        <v/>
      </c>
      <c r="BP139" s="86" t="str">
        <f aca="false">IF(Tasks[[#This Row],[Task Name]]="","",IF(OR(TakeBaseline="Yes",N(Tasks[[#This Row],[Baseline Work]])=0),Tasks[[#This Row],[Work]],Tasks[[#This Row],[Baseline Work]]))</f>
        <v/>
      </c>
      <c r="BQ139" s="7"/>
      <c r="BR139" s="7"/>
      <c r="BS139" s="22"/>
      <c r="BT139" s="88"/>
      <c r="BU139" s="23"/>
      <c r="BV139" s="23"/>
      <c r="BW139" s="23"/>
      <c r="BX139" s="89" t="str">
        <f aca="false">IF(AND(Tasks[[#This Row],[_IsLeaf]]=1,ISNUMBER(Tasks[[#This Row],[Optimistic]]),ISNUMBER(Tasks[[#This Row],[Pessimistic]])),ROUND((Tasks[[#This Row],[Optimistic]]+4*N(Tasks[[#This Row],[_Days]])+Tasks[[#This Row],[Pessimistic]])/6,1),"")</f>
        <v/>
      </c>
      <c r="BY139" s="87"/>
      <c r="BZ139" s="87"/>
      <c r="CA139" s="22"/>
      <c r="CB139" s="43" t="str">
        <f aca="false">IF(Tasks[[#This Row],[Task Name]]="","",MAX(1,N(Tasks[[#This Row],[Level]])))</f>
        <v/>
      </c>
      <c r="CC139" s="43" t="n">
        <f aca="false">ROW()-ROW(Tasks[[#Headers],[ID]])</f>
        <v>134</v>
      </c>
      <c r="CD139" s="43" t="n">
        <f aca="false">IF(OR(Tasks[[#This Row],[Task Name]]="",Tasks[[#This Row],[_Level]]&lt;=1),0,IFERROR(LOOKUP(2,1/(Tasks[[#Headers],[_Level]]:Tasks[[#This Row],[_Level]]=Tasks[[#This Row],[_Level]]-1),ROW(Tasks[[#Headers],[_Level]]:Tasks[[#This Row],[_Level]])),0))</f>
        <v>0</v>
      </c>
      <c r="CE139" s="43" t="n">
        <f aca="false">IFERROR(N(INDEX(Tasks[_Level],Tasks[[#This Row],[_Row]]+1)),0)</f>
        <v>0</v>
      </c>
      <c r="CF139" s="90" t="b">
        <f aca="false">AND(Tasks[[#This Row],[Task Name]]&lt;&gt;"",Tasks[[#This Row],[_NextLevel]]&gt;Tasks[[#This Row],[_Level]])</f>
        <v>0</v>
      </c>
      <c r="CG139" s="43" t="n">
        <f aca="false">IF(Tasks[[#This Row],[_IsSummary]],COUNTIF(Tasks[WBS],Tasks[[#This Row],[WBS]]&amp;".*"),0)</f>
        <v>0</v>
      </c>
      <c r="CH139" s="43" t="n">
        <f aca="false">IF(AND(Tasks[[#This Row],[Task Name]]&lt;&gt;"",NOT(Tasks[[#This Row],[_IsSummary]])),1,0)</f>
        <v>0</v>
      </c>
      <c r="CI139" s="43" t="n">
        <f aca="false">IF(N(Tasks[[#This Row],[_Pred1UID]])=0,0,IFERROR(MATCH(Tasks[[#This Row],[_Pred1UID]],Tasks[UID],0),-1))</f>
        <v>0</v>
      </c>
      <c r="CJ139" s="43" t="n">
        <f aca="false">IF(N(Tasks[[#This Row],[_Pred2UID]])=0,0,IFERROR(MATCH(Tasks[[#This Row],[_Pred2UID]],Tasks[UID],0),-1))</f>
        <v>0</v>
      </c>
      <c r="CK139" s="43" t="n">
        <f aca="false">IF(N(Tasks[[#This Row],[_Pred3UID]])=0,0,IFERROR(MATCH(Tasks[[#This Row],[_Pred3UID]],Tasks[UID],0),-1))</f>
        <v>0</v>
      </c>
      <c r="CL139" s="43" t="n">
        <f aca="false">IF(N(Tasks[[#This Row],[_Pred4UID]])=0,0,IFERROR(MATCH(Tasks[[#This Row],[_Pred4UID]],Tasks[UID],0),-1))</f>
        <v>0</v>
      </c>
      <c r="CM13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9" s="91" t="n">
        <f aca="false">IF(OR(Tasks[[#This Row],[_ConstraintCode]]=2,Tasks[[#This Row],[_ConstraintCode]]=3,Tasks[[#This Row],[_ConstraintCode]]=4,Tasks[[#This Row],[_ConstraintCode]]=6),Tasks[[#This Row],[_ConstraintStart]],0)</f>
        <v>0</v>
      </c>
      <c r="CP139" s="91" t="n">
        <f aca="false">IF(OR(Tasks[[#This Row],[_ConstraintCode]]=2,Tasks[[#This Row],[_ConstraintCode]]=3,Tasks[[#This Row],[_ConstraintCode]]=5,Tasks[[#This Row],[_ConstraintCode]]=7),Tasks[[#This Row],[_ConstraintStart]],2958465)</f>
        <v>2958465</v>
      </c>
      <c r="CQ13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9" s="91" t="str">
        <f aca="false">IF(NOT(Tasks[[#This Row],[_IsLeaf]]=1),"",IF(N(Tasks[[#This Row],[_Days]])&lt;=0,Tasks[[#This Row],[_LeafCalcStart]],WORKDAY.INTL(Tasks[[#This Row],[_LeafCalcStart]],Tasks[[#This Row],[_Days]]-1,WorkWeek,Holidays)))</f>
        <v/>
      </c>
      <c r="CS13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9" s="43" t="str">
        <f aca="false">IF(Tasks[[#This Row],[_Predecessors]]="","",TRIM(MID(SUBSTITUTE(SUBSTITUTE(SUBSTITUTE(UPPER(Tasks[[#This Row],[_Predecessors]]),";",",")," ",""),",",REPT(" ",99)),1,99)))</f>
        <v/>
      </c>
      <c r="CV139" s="43" t="str">
        <f aca="false">IF(Tasks[[#This Row],[_Pred1Text]]="","",IFERROR(VALUE(LEFT(Tasks[[#This Row],[_Pred1Text]],MIN(FIND("F",Tasks[[#This Row],[_Pred1Text]]&amp;"F"),FIND("S",Tasks[[#This Row],[_Pred1Text]]&amp;"S"),FIND("+",Tasks[[#This Row],[_Pred1Text]]&amp;"+"),FIND("-",Tasks[[#This Row],[_Pred1Text]]&amp;"-"))-1)),""))</f>
        <v/>
      </c>
      <c r="CW13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9" s="43" t="str">
        <f aca="false">IF(Tasks[[#This Row],[_Pred1Text]]="","",TRIM(MID(SUBSTITUTE(SUBSTITUTE(SUBSTITUTE(UPPER(Tasks[[#This Row],[_Predecessors]]),";",",")," ",""),",",REPT(" ",99)),100,99)))</f>
        <v/>
      </c>
      <c r="CZ139" s="43" t="str">
        <f aca="false">IF(Tasks[[#This Row],[_Pred2Text]]="","",IFERROR(VALUE(LEFT(Tasks[[#This Row],[_Pred2Text]],MIN(FIND("F",Tasks[[#This Row],[_Pred2Text]]&amp;"F"),FIND("S",Tasks[[#This Row],[_Pred2Text]]&amp;"S"),FIND("+",Tasks[[#This Row],[_Pred2Text]]&amp;"+"),FIND("-",Tasks[[#This Row],[_Pred2Text]]&amp;"-"))-1)),""))</f>
        <v/>
      </c>
      <c r="DA13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9" s="43" t="str">
        <f aca="false">IF(Tasks[[#This Row],[_Pred2Text]]="","",TRIM(MID(SUBSTITUTE(SUBSTITUTE(SUBSTITUTE(UPPER(Tasks[[#This Row],[_Predecessors]]),";",",")," ",""),",",REPT(" ",99)),199,99)))</f>
        <v/>
      </c>
      <c r="DD139" s="43" t="str">
        <f aca="false">IF(Tasks[[#This Row],[_Pred3Text]]="","",IFERROR(VALUE(LEFT(Tasks[[#This Row],[_Pred3Text]],MIN(FIND("F",Tasks[[#This Row],[_Pred3Text]]&amp;"F"),FIND("S",Tasks[[#This Row],[_Pred3Text]]&amp;"S"),FIND("+",Tasks[[#This Row],[_Pred3Text]]&amp;"+"),FIND("-",Tasks[[#This Row],[_Pred3Text]]&amp;"-"))-1)),""))</f>
        <v/>
      </c>
      <c r="DE13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9" s="43" t="str">
        <f aca="false">IF(Tasks[[#This Row],[_Pred3Text]]="","",TRIM(MID(SUBSTITUTE(SUBSTITUTE(SUBSTITUTE(UPPER(Tasks[[#This Row],[_Predecessors]]),";",",")," ",""),",",REPT(" ",99)),298,99)))</f>
        <v/>
      </c>
      <c r="DH139" s="43" t="str">
        <f aca="false">IF(Tasks[[#This Row],[_Pred4Text]]="","",IFERROR(VALUE(LEFT(Tasks[[#This Row],[_Pred4Text]],MIN(FIND("F",Tasks[[#This Row],[_Pred4Text]]&amp;"F"),FIND("S",Tasks[[#This Row],[_Pred4Text]]&amp;"S"),FIND("+",Tasks[[#This Row],[_Pred4Text]]&amp;"+"),FIND("-",Tasks[[#This Row],[_Pred4Text]]&amp;"-"))-1)),""))</f>
        <v/>
      </c>
      <c r="DI13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9" s="43" t="str">
        <f aca="false">IF(OR(Tasks[[#This Row],[Task Name]]="",Tasks[[#This Row],[_Resources]]=""),"",TRIM(MID(SUBSTITUTE(Tasks[[#This Row],[_Resources]],",",REPT(" ",99)),1,99)))</f>
        <v/>
      </c>
      <c r="DL139" s="43" t="str">
        <f aca="false">IF(Tasks[[#This Row],[_Res1Text]]="","",TRIM(MID(SUBSTITUTE(Tasks[[#This Row],[_Resources]],",",REPT(" ",99)),100,99)))</f>
        <v/>
      </c>
      <c r="DM139" s="43" t="str">
        <f aca="false">IF(Tasks[[#This Row],[_Res2Text]]="","",TRIM(MID(SUBSTITUTE(Tasks[[#This Row],[_Resources]],",",REPT(" ",99)),199,99)))</f>
        <v/>
      </c>
      <c r="DN139" s="43" t="str">
        <f aca="false">IF(Tasks[[#This Row],[_Res3Text]]="","",TRIM(MID(SUBSTITUTE(Tasks[[#This Row],[_Resources]],",",REPT(" ",99)),298,99)))</f>
        <v/>
      </c>
      <c r="DO139" s="43" t="n">
        <f aca="false">IF(Tasks[[#This Row],[_Res1Text]]="",0,IFERROR(MATCH(TRIM(LEFT(Tasks[[#This Row],[_Res1Text]],FIND("[",Tasks[[#This Row],[_Res1Text]]&amp;"[")-1)),res_Name,0),IFERROR(MATCH(TRIM(LEFT(Tasks[[#This Row],[_Res1Text]],FIND("[",Tasks[[#This Row],[_Res1Text]]&amp;"[")-1)),res_Initials,0),0)))</f>
        <v>0</v>
      </c>
      <c r="DP139" s="43" t="n">
        <f aca="false">IF(Tasks[[#This Row],[_Res2Text]]="",0,IFERROR(MATCH(TRIM(LEFT(Tasks[[#This Row],[_Res2Text]],FIND("[",Tasks[[#This Row],[_Res2Text]]&amp;"[")-1)),res_Name,0),IFERROR(MATCH(TRIM(LEFT(Tasks[[#This Row],[_Res2Text]],FIND("[",Tasks[[#This Row],[_Res2Text]]&amp;"[")-1)),res_Initials,0),0)))</f>
        <v>0</v>
      </c>
      <c r="DQ139" s="43" t="n">
        <f aca="false">IF(Tasks[[#This Row],[_Res3Text]]="",0,IFERROR(MATCH(TRIM(LEFT(Tasks[[#This Row],[_Res3Text]],FIND("[",Tasks[[#This Row],[_Res3Text]]&amp;"[")-1)),res_Name,0),IFERROR(MATCH(TRIM(LEFT(Tasks[[#This Row],[_Res3Text]],FIND("[",Tasks[[#This Row],[_Res3Text]]&amp;"[")-1)),res_Initials,0),0)))</f>
        <v>0</v>
      </c>
      <c r="DR139" s="43" t="n">
        <f aca="false">IF(Tasks[[#This Row],[_Res4Text]]="",0,IFERROR(MATCH(TRIM(LEFT(Tasks[[#This Row],[_Res4Text]],FIND("[",Tasks[[#This Row],[_Res4Text]]&amp;"[")-1)),res_Name,0),IFERROR(MATCH(TRIM(LEFT(Tasks[[#This Row],[_Res4Text]],FIND("[",Tasks[[#This Row],[_Res4Text]]&amp;"[")-1)),res_Initials,0),0)))</f>
        <v>0</v>
      </c>
      <c r="DS139" s="43" t="str">
        <f aca="false">IF(Tasks[[#This Row],[_Res1Text]]="","",IF(Tasks[[#This Row],[_Res1Row]]&gt;0,INDEX(res_Name,Tasks[[#This Row],[_Res1Row]]),TRIM(LEFT(Tasks[[#This Row],[_Res1Text]],FIND("[",Tasks[[#This Row],[_Res1Text]]&amp;"[")-1))))</f>
        <v/>
      </c>
      <c r="DT13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9" s="43" t="n">
        <f aca="false">IF(NOT(Tasks[[#This Row],[_IsLeaf]]=1),0,(Tasks[[#This Row],[_Resource1]]&lt;&gt;"")+(Tasks[[#This Row],[_Res2]]&lt;&gt;"")+(Tasks[[#This Row],[_Res3]]&lt;&gt;"")+(Tasks[[#This Row],[_Res4]]&lt;&gt;""))</f>
        <v>0</v>
      </c>
      <c r="DV139" s="43" t="str">
        <f aca="false">IF(Tasks[[#This Row],[_Res2Text]]="","",IF(Tasks[[#This Row],[_Res2Row]]&gt;0,INDEX(res_Name,Tasks[[#This Row],[_Res2Row]]),TRIM(LEFT(Tasks[[#This Row],[_Res2Text]],FIND("[",Tasks[[#This Row],[_Res2Text]]&amp;"[")-1))))</f>
        <v/>
      </c>
      <c r="DW13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9" s="43" t="n">
        <f aca="false">IF(OR(NOT(Tasks[[#This Row],[_IsLeaf]]=1),Tasks[[#This Row],[_Res2Row]]=0),0,N(Tasks[[#This Row],[_Days]])*HoursPerDay*IF(Tasks[[#This Row],[_Res2Units]]="",DefaultUnits,Tasks[[#This Row],[_Res2Units]]))</f>
        <v>0</v>
      </c>
      <c r="DY139" s="43" t="n">
        <f aca="false">IF(AND(AND(Tasks[[#This Row],[_IsLeaf]]=1,Tasks[[#This Row],[_LeafTotalWork]]&gt;0),Tasks[[#This Row],[_Res2Work]]&gt;0),Tasks[[#This Row],[_Res2Work]]/(Tasks[[#This Row],[_FinishWorkday]]-Tasks[[#This Row],[_StartWorkday]]+1),0)</f>
        <v>0</v>
      </c>
      <c r="DZ139" s="43" t="n">
        <f aca="false">Tasks[[#This Row],[_Res2WorkPerWD]]*MAX(0,Tasks[[#This Row],[_StartWorkday]]-1)</f>
        <v>0</v>
      </c>
      <c r="EA139" s="43" t="n">
        <f aca="false">Tasks[[#This Row],[_Res2Work]]*Tasks[[#This Row],[_LeafProgress]]</f>
        <v>0</v>
      </c>
      <c r="EB139" s="43" t="str">
        <f aca="false">IF(Tasks[[#This Row],[_Res3Text]]="","",IF(Tasks[[#This Row],[_Res3Row]]&gt;0,INDEX(res_Name,Tasks[[#This Row],[_Res3Row]]),TRIM(LEFT(Tasks[[#This Row],[_Res3Text]],FIND("[",Tasks[[#This Row],[_Res3Text]]&amp;"[")-1))))</f>
        <v/>
      </c>
      <c r="EC13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9" s="43" t="n">
        <f aca="false">IF(OR(NOT(Tasks[[#This Row],[_IsLeaf]]=1),Tasks[[#This Row],[_Res3Row]]=0),0,N(Tasks[[#This Row],[_Days]])*HoursPerDay*IF(Tasks[[#This Row],[_Res3Units]]="",DefaultUnits,Tasks[[#This Row],[_Res3Units]]))</f>
        <v>0</v>
      </c>
      <c r="EE139" s="43" t="n">
        <f aca="false">IF(AND(AND(Tasks[[#This Row],[_IsLeaf]]=1,Tasks[[#This Row],[_LeafTotalWork]]&gt;0),Tasks[[#This Row],[_Res3Work]]&gt;0),Tasks[[#This Row],[_Res3Work]]/(Tasks[[#This Row],[_FinishWorkday]]-Tasks[[#This Row],[_StartWorkday]]+1),0)</f>
        <v>0</v>
      </c>
      <c r="EF139" s="43" t="n">
        <f aca="false">Tasks[[#This Row],[_Res3WorkPerWD]]*MAX(0,Tasks[[#This Row],[_StartWorkday]]-1)</f>
        <v>0</v>
      </c>
      <c r="EG139" s="43" t="n">
        <f aca="false">Tasks[[#This Row],[_Res3Work]]*Tasks[[#This Row],[_LeafProgress]]</f>
        <v>0</v>
      </c>
      <c r="EH139" s="43" t="str">
        <f aca="false">IF(Tasks[[#This Row],[_Res4Text]]="","",IF(Tasks[[#This Row],[_Res4Row]]&gt;0,INDEX(res_Name,Tasks[[#This Row],[_Res4Row]]),TRIM(LEFT(Tasks[[#This Row],[_Res4Text]],FIND("[",Tasks[[#This Row],[_Res4Text]]&amp;"[")-1))))</f>
        <v/>
      </c>
      <c r="EI13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9" s="43" t="n">
        <f aca="false">IF(OR(NOT(Tasks[[#This Row],[_IsLeaf]]=1),Tasks[[#This Row],[_Res4Row]]=0),0,N(Tasks[[#This Row],[_Days]])*HoursPerDay*IF(Tasks[[#This Row],[_Res4Units]]="",DefaultUnits,Tasks[[#This Row],[_Res4Units]]))</f>
        <v>0</v>
      </c>
      <c r="EK139" s="43" t="n">
        <f aca="false">IF(AND(AND(Tasks[[#This Row],[_IsLeaf]]=1,Tasks[[#This Row],[_LeafTotalWork]]&gt;0),Tasks[[#This Row],[_Res4Work]]&gt;0),Tasks[[#This Row],[_Res4Work]]/(Tasks[[#This Row],[_FinishWorkday]]-Tasks[[#This Row],[_StartWorkday]]+1),0)</f>
        <v>0</v>
      </c>
      <c r="EL139" s="43" t="n">
        <f aca="false">Tasks[[#This Row],[_Res4WorkPerWD]]*MAX(0,Tasks[[#This Row],[_StartWorkday]]-1)</f>
        <v>0</v>
      </c>
      <c r="EM139" s="43" t="n">
        <f aca="false">Tasks[[#This Row],[_Res4Work]]*Tasks[[#This Row],[_LeafProgress]]</f>
        <v>0</v>
      </c>
      <c r="EN139" s="43" t="n">
        <f aca="false">IF(ISNUMBER(Tasks[[#This Row],[% Complete]]),Tasks[[#This Row],[% Complete]],IF(Tasks[[#This Row],[Stage]]="",0,IFERROR(INDEX(stg_Pct,MATCH(Tasks[[#This Row],[Stage]],stg_Name,0)),0)))</f>
        <v>0</v>
      </c>
      <c r="EO139" s="43" t="n">
        <f aca="false">IF(NOT(Tasks[[#This Row],[_IsLeaf]]=1),0,IF(N(Tasks[[#This Row],[Actual Finish]])&gt;0,1,MIN(1,Tasks[[#This Row],[_Pct]])))</f>
        <v>0</v>
      </c>
      <c r="EP139" s="43" t="n">
        <f aca="false">IF(OR(NOT(Tasks[[#This Row],[_IsLeaf]]=1),Tasks[[#This Row],[_Res1Row]]=0),0,N(Tasks[[#This Row],[_Days]])*HoursPerDay*IF(Tasks[[#This Row],[_Units1]]="",DefaultUnits,Tasks[[#This Row],[_Units1]]))</f>
        <v>0</v>
      </c>
      <c r="EQ139" s="43" t="n">
        <f aca="false">Tasks[[#This Row],[_LeafWork]]+Tasks[[#This Row],[_Res2Work]]+Tasks[[#This Row],[_Res3Work]]+Tasks[[#This Row],[_Res4Work]]</f>
        <v>0</v>
      </c>
      <c r="ER13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9" s="43" t="n">
        <f aca="false">IF(NOT(Tasks[[#This Row],[_IsLeaf]]=1),0,MAX(_xlfn.MAXIFS(Tasks[_Row],Tasks[_Pred1UID],Tasks[[#This Row],[UID]]),_xlfn.MAXIFS(Tasks[_Row],Tasks[_Pred2UID],Tasks[[#This Row],[UID]]),_xlfn.MAXIFS(Tasks[_Row],Tasks[_Pred3UID],Tasks[[#This Row],[UID]]),_xlfn.MAXIFS(Tasks[_Row],Tasks[_Pred4UID],Tasks[[#This Row],[UID]])))</f>
        <v>0</v>
      </c>
      <c r="FA13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9" s="91" t="str">
        <f aca="false">IF(NOT(Tasks[[#This Row],[_IsLeaf]]=1),"",IF(N(Tasks[[#This Row],[_Days]])&lt;=0,Tasks[[#This Row],[_LeafLateFinish]],WORKDAY.INTL(Tasks[[#This Row],[_LeafLateFinish]],-(Tasks[[#This Row],[_Days]]-1),WorkWeek,Holidays)))</f>
        <v/>
      </c>
      <c r="FD13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9" s="90" t="b">
        <f aca="false">AND(Tasks[[#This Row],[_IsLeaf]]=1,Tasks[[#This Row],[_LeafProgress]]&lt;1,N(Tasks[[#This Row],[_LeafTotalSlack]])&lt;=CriticalSlackDays)</f>
        <v>0</v>
      </c>
      <c r="FF139" s="43" t="n">
        <f aca="false">IF(AND(Tasks[[#This Row],[_IsLeaf]]=1,Tasks[[#This Row],[_ConstraintCode]]=1,Tasks[[#This Row],[Mode]]&lt;&gt;"Manual",N(Tasks[[#This Row],[Actual Start]])=0),MAX(0,N(Tasks[[#This Row],[Free Slack]])),0)</f>
        <v>0</v>
      </c>
      <c r="FG139" s="91" t="str">
        <f aca="false">IF(NOT(Tasks[[#This Row],[_IsLeaf]]=1),"",IF(Tasks[[#This Row],[_AlapShift]]=0,Tasks[[#This Row],[_LeafCalcStart]],WORKDAY.INTL(Tasks[[#This Row],[_LeafCalcStart]],Tasks[[#This Row],[_AlapShift]],WorkWeek,Holidays)))</f>
        <v/>
      </c>
      <c r="FH139" s="91" t="str">
        <f aca="false">IF(NOT(Tasks[[#This Row],[_IsLeaf]]=1),"",IF(Tasks[[#This Row],[_AlapShift]]=0,Tasks[[#This Row],[_LeafCalcFinish]],WORKDAY.INTL(Tasks[[#This Row],[_LeafCalcFinish]],Tasks[[#This Row],[_AlapShift]],WorkWeek,Holidays)))</f>
        <v/>
      </c>
      <c r="FI139" s="91" t="str">
        <f aca="false">IF(NOT(Tasks[[#This Row],[_IsLeaf]]=1),"",IF(Tasks[[#This Row],[_AlapShift]]=0,Tasks[[#This Row],[_LeafFcstStart]],WORKDAY.INTL(Tasks[[#This Row],[_LeafFcstStart]],Tasks[[#This Row],[_AlapShift]],WorkWeek,Holidays)))</f>
        <v/>
      </c>
      <c r="FJ139" s="91" t="str">
        <f aca="false">IF(NOT(Tasks[[#This Row],[_IsLeaf]]=1),"",IF(Tasks[[#This Row],[_AlapShift]]=0,Tasks[[#This Row],[_LeafFcstFinish]],WORKDAY.INTL(Tasks[[#This Row],[_LeafFcstFinish]],Tasks[[#This Row],[_AlapShift]],WorkWeek,Holidays)))</f>
        <v/>
      </c>
      <c r="FK139" s="91" t="str">
        <f aca="false">IF(Tasks[[#This Row],[Task Name]]="","",IF(Tasks[[#This Row],[_IsSummary]],MIN(INDEX(Tasks[_ShownCalcStart],Tasks[[#This Row],[_Row]]+1):INDEX(Tasks[_ShownCalcStart],Tasks[[#This Row],[_Row]]+Tasks[[#This Row],[_Descendants]])),Tasks[[#This Row],[_ShownCalcStart]]))</f>
        <v/>
      </c>
      <c r="FL139" s="91" t="str">
        <f aca="false">IF(Tasks[[#This Row],[Task Name]]="","",IF(Tasks[[#This Row],[_IsSummary]],MAX(INDEX(Tasks[_ShownCalcFinish],Tasks[[#This Row],[_Row]]+1):INDEX(Tasks[_ShownCalcFinish],Tasks[[#This Row],[_Row]]+Tasks[[#This Row],[_Descendants]])),Tasks[[#This Row],[_ShownCalcFinish]]))</f>
        <v/>
      </c>
      <c r="FM13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9" s="43" t="n">
        <f aca="false">IF(AND(Tasks[[#This Row],[_IsLeaf]]=1,Tasks[[#This Row],[_LeafTotalWork]]&gt;0),NETWORKDAYS.INTL(ProjectStart,Tasks[[#This Row],[_ShownFcstStart]],WorkWeek,Holidays),0)</f>
        <v>0</v>
      </c>
      <c r="FZ139" s="43" t="n">
        <f aca="false">IF(AND(Tasks[[#This Row],[_IsLeaf]]=1,Tasks[[#This Row],[_LeafTotalWork]]&gt;0),MAX(Tasks[[#This Row],[_StartWorkday]],NETWORKDAYS.INTL(ProjectStart,Tasks[[#This Row],[_ShownFcstFinish]],WorkWeek,Holidays)),0)</f>
        <v>0</v>
      </c>
      <c r="GA139" s="43" t="n">
        <f aca="false">IF(AND(Tasks[[#This Row],[_IsLeaf]]=1,Tasks[[#This Row],[_LeafTotalWork]]&gt;0),Tasks[[#This Row],[_LeafWork]]/(Tasks[[#This Row],[_FinishWorkday]]-Tasks[[#This Row],[_StartWorkday]]+1),0)</f>
        <v>0</v>
      </c>
      <c r="GB139" s="43" t="n">
        <f aca="false">Tasks[[#This Row],[_WorkPerWorkday]]*(Tasks[[#This Row],[_StartWorkday]]-1)</f>
        <v>-0</v>
      </c>
      <c r="GC139" s="43" t="n">
        <f aca="false">IF(Tasks[[#This Row],[_IsLeaf]]=1,MAX(N(Tasks[[#This Row],[_Days]]),0.1),0)</f>
        <v>0</v>
      </c>
      <c r="GD139" s="43" t="n">
        <f aca="false">Tasks[[#This Row],[_WeightDur]]*Tasks[[#This Row],[_LeafProgress]]</f>
        <v>0</v>
      </c>
      <c r="GE139" s="43" t="n">
        <f aca="false">Tasks[[#This Row],[_WeightDur]]*Tasks[[#This Row],[_PlannedPct]]</f>
        <v>0</v>
      </c>
      <c r="GF13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9" s="43" t="str">
        <f aca="false">IF(AND(Tasks[[#This Row],[_IsLeaf]]=1,N(Tasks[[#This Row],[_Days]])=0,Tasks[[#This Row],[_LeafProgress]]&lt;1),Tasks[[#This Row],[_ShownFcstFinish]]+Tasks[[#This Row],[_Row]]/100000,"")</f>
        <v/>
      </c>
      <c r="GH13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9" s="43" t="str">
        <f aca="false">IF(Tasks[[#This Row],[Task Name]]="","",LEFT(Tasks[[#This Row],[WBS]],FIND(".",Tasks[[#This Row],[WBS]]&amp;".")-1))</f>
        <v/>
      </c>
      <c r="GJ139" s="43" t="str">
        <f aca="false">IF(AND(Tasks[[#This Row],[Task Name]]&lt;&gt;"",Tasks[[#This Row],[_Level]]=1),Tasks[[#This Row],[_Row]],"")</f>
        <v/>
      </c>
      <c r="GK139" s="43" t="str">
        <f aca="false">IF(AND(Tasks[[#This Row],[_IsLeaf]]=1,N(Tasks[[#This Row],[_Days]])=0),Tasks[[#This Row],[Planned Finish]]+Tasks[[#This Row],[_Row]]/100000,"")</f>
        <v/>
      </c>
      <c r="GL139" s="43" t="str">
        <f aca="false">IF(AND(Tasks[[#This Row],[_IsLeaf]]=1,Tasks[[#This Row],[_LeafProgress]]&lt;1,OR(N(Tasks[[#This Row],[Finish Var]])&gt;0,Tasks[[#This Row],[Status]]="Late Start")),MAX(0,Tasks[[#This Row],[Finish Var]])+1-Tasks[[#This Row],[_Row]]/1000000,"")</f>
        <v/>
      </c>
      <c r="GM139" s="43" t="str">
        <f aca="false">IF(AND(Tasks[[#This Row],[_IsLeaf]]=1,N(Tasks[[#This Row],[Actual Start]])=0,Tasks[[#This Row],[_ShownFcstStart]]&gt;=StatusDate,Tasks[[#This Row],[_ShownFcstStart]]&lt;=LookaheadEnd),Tasks[[#This Row],[_ShownFcstStart]]+Tasks[[#This Row],[_Row]]/100000,"")</f>
        <v/>
      </c>
      <c r="GN139" s="43" t="str">
        <f aca="false">IF(AND(Tasks[[#This Row],[_IsLeaf]]=1,Tasks[[#This Row],[_LeafProgress]]&lt;1,Tasks[[#This Row],[_ShownFcstFinish]]&gt;=StatusDate,Tasks[[#This Row],[_ShownFcstFinish]]&lt;=LookaheadEnd),Tasks[[#This Row],[_ShownFcstFinish]]+Tasks[[#This Row],[_Row]]/100000,"")</f>
        <v/>
      </c>
      <c r="GO139" s="43" t="str">
        <f aca="false">IF(Tasks[[#This Row],[_LeafCritical]],Tasks[[#This Row],[_ShownFcstStart]]+Tasks[[#This Row],[_Row]]/100000,"")</f>
        <v/>
      </c>
      <c r="GP139" s="43" t="n">
        <f aca="false">Tasks[[#This Row],[_LeafWork]]*Tasks[[#This Row],[_LeafProgress]]</f>
        <v>0</v>
      </c>
      <c r="GQ139" s="91" t="str">
        <f aca="false">IF(AND(Tasks[[#This Row],[_IsLeaf]]=1,Tasks[[#This Row],[_LeafProgress]]&gt;=1),IF(N(Tasks[[#This Row],[Actual Finish]])&gt;0,Tasks[[#This Row],[Actual Finish]],Tasks[[#This Row],[_ShownFcstFinish]]),"")</f>
        <v/>
      </c>
      <c r="GR139" s="43" t="n">
        <f aca="false">IF(Tasks[[#This Row],[_IsLeaf]]=1,N(Tasks[[#This Row],[Story Points]]),0)</f>
        <v>0</v>
      </c>
      <c r="GS139" s="43" t="str">
        <f aca="false">""</f>
        <v/>
      </c>
      <c r="GT139" s="90" t="b">
        <f aca="false">IF(Tasks[[#This Row],[Task Name]]="",FALSE(),AND(Tasks[[#This Row],[_IsLeaf]]=1,N(Tasks[[#This Row],[_Days]])=0))</f>
        <v>0</v>
      </c>
      <c r="GU139" s="91" t="n">
        <f aca="false">IF(Tasks[[#This Row],[Task Name]]="",0,IF(AND(Tasks[[#This Row],[_IsLeaf]]=1,NOT(Tasks[[#This Row],[_IsMilestone]]),N(Tasks[[#This Row],[Progress]])&gt;0),Tasks[[#This Row],[Start]],0))</f>
        <v>0</v>
      </c>
      <c r="GV139" s="91" t="n">
        <f aca="false">IF(Tasks[[#This Row],[_DoneFrom]]=0,0,IF(Tasks[[#This Row],[Progress]]&gt;=1,Tasks[[#This Row],[Finish]],MAX(Tasks[[#This Row],[_DoneFrom]],Tasks[[#This Row],[Start]]+ROUND((Tasks[[#This Row],[Finish]]-Tasks[[#This Row],[Start]]+1)*Tasks[[#This Row],[Progress]],0)-1)))</f>
        <v>0</v>
      </c>
      <c r="GW139" s="91" t="n">
        <f aca="false">IF(Tasks[[#This Row],[Task Name]]="",0,IF(OR(NOT(Tasks[[#This Row],[_IsLeaf]]=1),Tasks[[#This Row],[_IsMilestone]],N(Tasks[[#This Row],[Progress]])&gt;=1),0,IF(Tasks[[#This Row],[_DoneTo]]&gt;0,Tasks[[#This Row],[_DoneTo]]+1,Tasks[[#This Row],[Start]])))</f>
        <v>0</v>
      </c>
      <c r="GX139" s="91" t="n">
        <f aca="false">IF(Tasks[[#This Row],[_RemFrom]]=0,0,Tasks[[#This Row],[Finish]])</f>
        <v>0</v>
      </c>
      <c r="GY139" s="90" t="b">
        <f aca="false">IF(Tasks[[#This Row],[Task Name]]="",FALSE(),OR(NOT(BaselineSet),N(Tasks[[#This Row],[Baseline Start]])&gt;0))</f>
        <v>0</v>
      </c>
      <c r="GZ13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9" s="92" t="str">
        <f aca="false">IF(Tasks[[#This Row],[_IsLeaf]]=1,Tasks[[#This Row],[_Row]],"")</f>
        <v/>
      </c>
      <c r="HD139" s="92" t="str">
        <f aca="false">IFERROR(INDEX(Tasks[UID],SMALL(Tasks[_PickKey],Tasks[[#This Row],[_Row]]))&amp;" "&amp;INDEX(Tasks[Task Name],SMALL(Tasks[_PickKey],Tasks[[#This Row],[_Row]])),"")</f>
        <v/>
      </c>
      <c r="HE139" s="43" t="str">
        <f aca="false">IF(Tasks[[#This Row],[Task Name]]="","",IF(Tasks[[#This Row],[_IsSummary]],NETWORKDAYS.INTL(Tasks[[#This Row],[Start]],Tasks[[#This Row],[Finish]],WorkWeek,Holidays),N(Tasks[[#This Row],[_Days]])))</f>
        <v/>
      </c>
      <c r="HF139" s="43" t="n">
        <f aca="false">IF(Tasks[[#This Row],[Expected]]="",0,((Tasks[[#This Row],[Pessimistic]]-Tasks[[#This Row],[Optimistic]])/6)^2)</f>
        <v>0</v>
      </c>
      <c r="HG139" s="43" t="n">
        <f aca="false">IF(Tasks[[#This Row],[Expected]]="",0,Tasks[[#This Row],[Expected]]-N(Tasks[[#This Row],[_Days]]))</f>
        <v>0</v>
      </c>
    </row>
    <row r="140" customFormat="false" ht="15" hidden="false" customHeight="false" outlineLevel="0" collapsed="false">
      <c r="A140" s="21" t="str">
        <f aca="false">IF(Tasks[[#This Row],[Task Name]]="","",COUNTA(Tasks[[#Headers],[Task Name]]:Tasks[[#This Row],[Task Name]])-1)</f>
        <v/>
      </c>
      <c r="B140" s="22" t="n">
        <v>148</v>
      </c>
      <c r="C140" s="22"/>
      <c r="D140" s="23"/>
      <c r="E140" s="22"/>
      <c r="F140" s="23"/>
      <c r="G140" s="22"/>
      <c r="H140" s="22"/>
      <c r="I140" s="23"/>
      <c r="J140" s="22"/>
      <c r="K140" s="22"/>
      <c r="L140" s="23"/>
      <c r="M140" s="22"/>
      <c r="N140" s="22"/>
      <c r="O140" s="23"/>
      <c r="P140" s="22"/>
      <c r="Q140" s="22"/>
      <c r="R140" s="23"/>
      <c r="S140" s="23"/>
      <c r="T140" s="84"/>
      <c r="U140" s="23"/>
      <c r="V140" s="84"/>
      <c r="W140" s="23"/>
      <c r="X140" s="84"/>
      <c r="Y140" s="23"/>
      <c r="Z140" s="84"/>
      <c r="AA140" s="23"/>
      <c r="AB140" s="23"/>
      <c r="AC140" s="7"/>
      <c r="AD140" s="7"/>
      <c r="AE140" s="63" t="str">
        <f aca="false">IF(Tasks[[#This Row],[Task Name]]="","",IF(Tasks[[#This Row],[_IsSummary]],MIN(INDEX(Tasks[_ShownFcstStart],Tasks[[#This Row],[_Row]]+1):INDEX(Tasks[_ShownFcstStart],Tasks[[#This Row],[_Row]]+Tasks[[#This Row],[_Descendants]])),Tasks[[#This Row],[_ShownFcstStart]]))</f>
        <v/>
      </c>
      <c r="AF140" s="63" t="str">
        <f aca="false">IF(Tasks[[#This Row],[Task Name]]="","",IF(Tasks[[#This Row],[_IsSummary]],MAX(INDEX(Tasks[_ShownFcstFinish],Tasks[[#This Row],[_Row]]+1):INDEX(Tasks[_ShownFcstFinish],Tasks[[#This Row],[_Row]]+Tasks[[#This Row],[_Descendants]])),Tasks[[#This Row],[_ShownFcstFinish]]))</f>
        <v/>
      </c>
      <c r="AG140" s="21" t="str">
        <f aca="false">""</f>
        <v/>
      </c>
      <c r="AH140" s="23"/>
      <c r="AI1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0" s="7"/>
      <c r="AK140" s="22"/>
      <c r="AL140" s="23"/>
      <c r="AM140" s="7"/>
      <c r="AN140" s="47" t="str">
        <f aca="false">IF(Tasks[[#This Row],[Task Name]]="","",IF(Tasks[[#This Row],[Finish]]&gt;=Tasks[[#This Row],[Planned Finish]],NETWORKDAYS.INTL(Tasks[[#This Row],[Planned Finish]],Tasks[[#This Row],[Finish]],WorkWeek,Holidays)-1,1-NETWORKDAYS.INTL(Tasks[[#This Row],[Finish]],Tasks[[#This Row],[Planned Finish]],WorkWeek,Holidays)))</f>
        <v/>
      </c>
      <c r="AO140" s="21" t="str">
        <f aca="false">IF(Tasks[[#This Row],[Task Name]]="","",IF(Tasks[[#This Row],[Progress]]&gt;=1,"Complete",IF(OR(N(Tasks[[#This Row],[Actual Start]])&gt;0,Tasks[[#This Row],[Progress]]&gt;0),IF(Tasks[[#This Row],[Finish Var]]&gt;0,"Behind","In Progress"),IF(Tasks[[#This Row],[Planned Start]]&lt;StatusDate,"Late Start","Not Started"))))</f>
        <v/>
      </c>
      <c r="AP140" s="21" t="str">
        <f aca="false">IF(Tasks[[#This Row],[Task Name]]="","",IF(IF(Tasks[[#This Row],[_IsSummary]],COUNTIF(INDEX(Tasks[_LeafCritical],Tasks[[#This Row],[_Row]]+1):INDEX(Tasks[_LeafCritical],Tasks[[#This Row],[_Row]]+Tasks[[#This Row],[_Descendants]]),TRUE())&gt;0,Tasks[[#This Row],[_LeafCritical]]),"Yes",""))</f>
        <v/>
      </c>
      <c r="AQ140" s="63" t="str">
        <f aca="false">IF(Tasks[[#This Row],[Task Name]]="","",IF(N(Tasks[[#This Row],[Baseline Start]])&gt;0,Tasks[[#This Row],[Baseline Start]],Tasks[[#This Row],[_CalcStart]]))</f>
        <v/>
      </c>
      <c r="AR140" s="63" t="str">
        <f aca="false">IF(Tasks[[#This Row],[Task Name]]="","",IF(N(Tasks[[#This Row],[Baseline Finish]])&gt;0,Tasks[[#This Row],[Baseline Finish]],Tasks[[#This Row],[_CalcFinish]]))</f>
        <v/>
      </c>
      <c r="AS140" s="47" t="str">
        <f aca="false">IF(Tasks[[#This Row],[Task Name]]="","",IF(Tasks[[#This Row],[Start]]&gt;=Tasks[[#This Row],[Planned Start]],NETWORKDAYS.INTL(Tasks[[#This Row],[Planned Start]],Tasks[[#This Row],[Start]],WorkWeek,Holidays)-1,1-NETWORKDAYS.INTL(Tasks[[#This Row],[Start]],Tasks[[#This Row],[Planned Start]],WorkWeek,Holidays)))</f>
        <v/>
      </c>
      <c r="AT140" s="63" t="str">
        <f aca="false">IF(Tasks[[#This Row],[Task Name]]="","",IF(Tasks[[#This Row],[_IsSummary]],MIN(INDEX(Tasks[_LeafLateStart],Tasks[[#This Row],[_Row]]+1):INDEX(Tasks[_LeafLateStart],Tasks[[#This Row],[_Row]]+Tasks[[#This Row],[_Descendants]])),Tasks[[#This Row],[_LeafLateStart]]))</f>
        <v/>
      </c>
      <c r="AU140" s="63" t="str">
        <f aca="false">IF(Tasks[[#This Row],[Task Name]]="","",IF(Tasks[[#This Row],[_IsSummary]],MAX(INDEX(Tasks[_LeafLateFinish],Tasks[[#This Row],[_Row]]+1):INDEX(Tasks[_LeafLateFinish],Tasks[[#This Row],[_Row]]+Tasks[[#This Row],[_Descendants]])),Tasks[[#This Row],[_LeafLateFinish]]))</f>
        <v/>
      </c>
      <c r="AV140" s="47" t="str">
        <f aca="false">IF(Tasks[[#This Row],[Task Name]]="","",IF(Tasks[[#This Row],[_IsSummary]],MIN(INDEX(Tasks[_LeafTotalSlack],Tasks[[#This Row],[_Row]]+1):INDEX(Tasks[_LeafTotalSlack],Tasks[[#This Row],[_Row]]+Tasks[[#This Row],[_Descendants]])),Tasks[[#This Row],[_LeafTotalSlack]]))</f>
        <v/>
      </c>
      <c r="AW1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5"/>
      <c r="BA14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1" t="str">
        <f aca="false">IF(Tasks[[#This Row],[Task Name]]="","",IF(Tasks[[#This Row],[_Level]]&lt;=OutlineShowLevel,"Yes","No"))</f>
        <v/>
      </c>
      <c r="BE140" s="86" t="str">
        <f aca="false">IF(Tasks[[#This Row],[Task Name]]="","",IF(Tasks[[#This Row],[_IsSummary]],SUM(INDEX(Tasks[_LeafTotalWork],Tasks[[#This Row],[_Row]]+1):INDEX(Tasks[_LeafTotalWork],Tasks[[#This Row],[_Row]]+Tasks[[#This Row],[_Descendants]])),Tasks[[#This Row],[_LeafTotalWork]]))</f>
        <v/>
      </c>
      <c r="BF140" s="23"/>
      <c r="BG1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0" s="21" t="str">
        <f aca="false">""</f>
        <v/>
      </c>
      <c r="BI140" s="87"/>
      <c r="BJ140" s="22"/>
      <c r="BK140" s="47" t="str">
        <f aca="false">IF(OR(Tasks[[#This Row],[Task Name]]="",Tasks[[#This Row],[Baseline Duration]]=""),"",Tasks[[#This Row],[_SpanDays]]-N(Tasks[[#This Row],[Baseline Duration]]))</f>
        <v/>
      </c>
      <c r="BL140" s="86" t="str">
        <f aca="false">IF(OR(Tasks[[#This Row],[Task Name]]="",Tasks[[#This Row],[Baseline Work]]=""),"",Tasks[[#This Row],[Work]]-N(Tasks[[#This Row],[Baseline Work]]))</f>
        <v/>
      </c>
      <c r="BM140" s="63" t="str">
        <f aca="false">IF(Tasks[[#This Row],[Task Name]]="","",IF(OR(TakeBaseline="Yes",N(Tasks[[#This Row],[Baseline Start]])=0),Tasks[[#This Row],[Start]],Tasks[[#This Row],[Baseline Start]]))</f>
        <v/>
      </c>
      <c r="BN140" s="63" t="str">
        <f aca="false">IF(Tasks[[#This Row],[Task Name]]="","",IF(OR(TakeBaseline="Yes",N(Tasks[[#This Row],[Baseline Finish]])=0),Tasks[[#This Row],[Finish]],Tasks[[#This Row],[Baseline Finish]]))</f>
        <v/>
      </c>
      <c r="BO140" s="21" t="str">
        <f aca="false">IF(Tasks[[#This Row],[Task Name]]="","",IF(OR(TakeBaseline="Yes",N(Tasks[[#This Row],[Baseline Duration]])=0),Tasks[[#This Row],[_SpanDays]],Tasks[[#This Row],[Baseline Duration]]))</f>
        <v/>
      </c>
      <c r="BP140" s="86" t="str">
        <f aca="false">IF(Tasks[[#This Row],[Task Name]]="","",IF(OR(TakeBaseline="Yes",N(Tasks[[#This Row],[Baseline Work]])=0),Tasks[[#This Row],[Work]],Tasks[[#This Row],[Baseline Work]]))</f>
        <v/>
      </c>
      <c r="BQ140" s="7"/>
      <c r="BR140" s="7"/>
      <c r="BS140" s="22"/>
      <c r="BT140" s="88"/>
      <c r="BU140" s="23"/>
      <c r="BV140" s="23"/>
      <c r="BW140" s="23"/>
      <c r="BX140" s="89" t="str">
        <f aca="false">IF(AND(Tasks[[#This Row],[_IsLeaf]]=1,ISNUMBER(Tasks[[#This Row],[Optimistic]]),ISNUMBER(Tasks[[#This Row],[Pessimistic]])),ROUND((Tasks[[#This Row],[Optimistic]]+4*N(Tasks[[#This Row],[_Days]])+Tasks[[#This Row],[Pessimistic]])/6,1),"")</f>
        <v/>
      </c>
      <c r="BY140" s="87"/>
      <c r="BZ140" s="87"/>
      <c r="CA140" s="22"/>
      <c r="CB140" s="43" t="str">
        <f aca="false">IF(Tasks[[#This Row],[Task Name]]="","",MAX(1,N(Tasks[[#This Row],[Level]])))</f>
        <v/>
      </c>
      <c r="CC140" s="43" t="n">
        <f aca="false">ROW()-ROW(Tasks[[#Headers],[ID]])</f>
        <v>135</v>
      </c>
      <c r="CD140" s="43" t="n">
        <f aca="false">IF(OR(Tasks[[#This Row],[Task Name]]="",Tasks[[#This Row],[_Level]]&lt;=1),0,IFERROR(LOOKUP(2,1/(Tasks[[#Headers],[_Level]]:Tasks[[#This Row],[_Level]]=Tasks[[#This Row],[_Level]]-1),ROW(Tasks[[#Headers],[_Level]]:Tasks[[#This Row],[_Level]])),0))</f>
        <v>0</v>
      </c>
      <c r="CE140" s="43" t="n">
        <f aca="false">IFERROR(N(INDEX(Tasks[_Level],Tasks[[#This Row],[_Row]]+1)),0)</f>
        <v>0</v>
      </c>
      <c r="CF140" s="90" t="b">
        <f aca="false">AND(Tasks[[#This Row],[Task Name]]&lt;&gt;"",Tasks[[#This Row],[_NextLevel]]&gt;Tasks[[#This Row],[_Level]])</f>
        <v>0</v>
      </c>
      <c r="CG140" s="43" t="n">
        <f aca="false">IF(Tasks[[#This Row],[_IsSummary]],COUNTIF(Tasks[WBS],Tasks[[#This Row],[WBS]]&amp;".*"),0)</f>
        <v>0</v>
      </c>
      <c r="CH140" s="43" t="n">
        <f aca="false">IF(AND(Tasks[[#This Row],[Task Name]]&lt;&gt;"",NOT(Tasks[[#This Row],[_IsSummary]])),1,0)</f>
        <v>0</v>
      </c>
      <c r="CI140" s="43" t="n">
        <f aca="false">IF(N(Tasks[[#This Row],[_Pred1UID]])=0,0,IFERROR(MATCH(Tasks[[#This Row],[_Pred1UID]],Tasks[UID],0),-1))</f>
        <v>0</v>
      </c>
      <c r="CJ140" s="43" t="n">
        <f aca="false">IF(N(Tasks[[#This Row],[_Pred2UID]])=0,0,IFERROR(MATCH(Tasks[[#This Row],[_Pred2UID]],Tasks[UID],0),-1))</f>
        <v>0</v>
      </c>
      <c r="CK140" s="43" t="n">
        <f aca="false">IF(N(Tasks[[#This Row],[_Pred3UID]])=0,0,IFERROR(MATCH(Tasks[[#This Row],[_Pred3UID]],Tasks[UID],0),-1))</f>
        <v>0</v>
      </c>
      <c r="CL140" s="43" t="n">
        <f aca="false">IF(N(Tasks[[#This Row],[_Pred4UID]])=0,0,IFERROR(MATCH(Tasks[[#This Row],[_Pred4UID]],Tasks[UID],0),-1))</f>
        <v>0</v>
      </c>
      <c r="CM14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0" s="91" t="n">
        <f aca="false">IF(OR(Tasks[[#This Row],[_ConstraintCode]]=2,Tasks[[#This Row],[_ConstraintCode]]=3,Tasks[[#This Row],[_ConstraintCode]]=4,Tasks[[#This Row],[_ConstraintCode]]=6),Tasks[[#This Row],[_ConstraintStart]],0)</f>
        <v>0</v>
      </c>
      <c r="CP140" s="91" t="n">
        <f aca="false">IF(OR(Tasks[[#This Row],[_ConstraintCode]]=2,Tasks[[#This Row],[_ConstraintCode]]=3,Tasks[[#This Row],[_ConstraintCode]]=5,Tasks[[#This Row],[_ConstraintCode]]=7),Tasks[[#This Row],[_ConstraintStart]],2958465)</f>
        <v>2958465</v>
      </c>
      <c r="CQ14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0" s="91" t="str">
        <f aca="false">IF(NOT(Tasks[[#This Row],[_IsLeaf]]=1),"",IF(N(Tasks[[#This Row],[_Days]])&lt;=0,Tasks[[#This Row],[_LeafCalcStart]],WORKDAY.INTL(Tasks[[#This Row],[_LeafCalcStart]],Tasks[[#This Row],[_Days]]-1,WorkWeek,Holidays)))</f>
        <v/>
      </c>
      <c r="CS14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0" s="43" t="str">
        <f aca="false">IF(Tasks[[#This Row],[_Predecessors]]="","",TRIM(MID(SUBSTITUTE(SUBSTITUTE(SUBSTITUTE(UPPER(Tasks[[#This Row],[_Predecessors]]),";",",")," ",""),",",REPT(" ",99)),1,99)))</f>
        <v/>
      </c>
      <c r="CV140" s="43" t="str">
        <f aca="false">IF(Tasks[[#This Row],[_Pred1Text]]="","",IFERROR(VALUE(LEFT(Tasks[[#This Row],[_Pred1Text]],MIN(FIND("F",Tasks[[#This Row],[_Pred1Text]]&amp;"F"),FIND("S",Tasks[[#This Row],[_Pred1Text]]&amp;"S"),FIND("+",Tasks[[#This Row],[_Pred1Text]]&amp;"+"),FIND("-",Tasks[[#This Row],[_Pred1Text]]&amp;"-"))-1)),""))</f>
        <v/>
      </c>
      <c r="CW14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0" s="43" t="str">
        <f aca="false">IF(Tasks[[#This Row],[_Pred1Text]]="","",TRIM(MID(SUBSTITUTE(SUBSTITUTE(SUBSTITUTE(UPPER(Tasks[[#This Row],[_Predecessors]]),";",",")," ",""),",",REPT(" ",99)),100,99)))</f>
        <v/>
      </c>
      <c r="CZ140" s="43" t="str">
        <f aca="false">IF(Tasks[[#This Row],[_Pred2Text]]="","",IFERROR(VALUE(LEFT(Tasks[[#This Row],[_Pred2Text]],MIN(FIND("F",Tasks[[#This Row],[_Pred2Text]]&amp;"F"),FIND("S",Tasks[[#This Row],[_Pred2Text]]&amp;"S"),FIND("+",Tasks[[#This Row],[_Pred2Text]]&amp;"+"),FIND("-",Tasks[[#This Row],[_Pred2Text]]&amp;"-"))-1)),""))</f>
        <v/>
      </c>
      <c r="DA14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0" s="43" t="str">
        <f aca="false">IF(Tasks[[#This Row],[_Pred2Text]]="","",TRIM(MID(SUBSTITUTE(SUBSTITUTE(SUBSTITUTE(UPPER(Tasks[[#This Row],[_Predecessors]]),";",",")," ",""),",",REPT(" ",99)),199,99)))</f>
        <v/>
      </c>
      <c r="DD140" s="43" t="str">
        <f aca="false">IF(Tasks[[#This Row],[_Pred3Text]]="","",IFERROR(VALUE(LEFT(Tasks[[#This Row],[_Pred3Text]],MIN(FIND("F",Tasks[[#This Row],[_Pred3Text]]&amp;"F"),FIND("S",Tasks[[#This Row],[_Pred3Text]]&amp;"S"),FIND("+",Tasks[[#This Row],[_Pred3Text]]&amp;"+"),FIND("-",Tasks[[#This Row],[_Pred3Text]]&amp;"-"))-1)),""))</f>
        <v/>
      </c>
      <c r="DE14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0" s="43" t="str">
        <f aca="false">IF(Tasks[[#This Row],[_Pred3Text]]="","",TRIM(MID(SUBSTITUTE(SUBSTITUTE(SUBSTITUTE(UPPER(Tasks[[#This Row],[_Predecessors]]),";",",")," ",""),",",REPT(" ",99)),298,99)))</f>
        <v/>
      </c>
      <c r="DH140" s="43" t="str">
        <f aca="false">IF(Tasks[[#This Row],[_Pred4Text]]="","",IFERROR(VALUE(LEFT(Tasks[[#This Row],[_Pred4Text]],MIN(FIND("F",Tasks[[#This Row],[_Pred4Text]]&amp;"F"),FIND("S",Tasks[[#This Row],[_Pred4Text]]&amp;"S"),FIND("+",Tasks[[#This Row],[_Pred4Text]]&amp;"+"),FIND("-",Tasks[[#This Row],[_Pred4Text]]&amp;"-"))-1)),""))</f>
        <v/>
      </c>
      <c r="DI14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0" s="43" t="str">
        <f aca="false">IF(OR(Tasks[[#This Row],[Task Name]]="",Tasks[[#This Row],[_Resources]]=""),"",TRIM(MID(SUBSTITUTE(Tasks[[#This Row],[_Resources]],",",REPT(" ",99)),1,99)))</f>
        <v/>
      </c>
      <c r="DL140" s="43" t="str">
        <f aca="false">IF(Tasks[[#This Row],[_Res1Text]]="","",TRIM(MID(SUBSTITUTE(Tasks[[#This Row],[_Resources]],",",REPT(" ",99)),100,99)))</f>
        <v/>
      </c>
      <c r="DM140" s="43" t="str">
        <f aca="false">IF(Tasks[[#This Row],[_Res2Text]]="","",TRIM(MID(SUBSTITUTE(Tasks[[#This Row],[_Resources]],",",REPT(" ",99)),199,99)))</f>
        <v/>
      </c>
      <c r="DN140" s="43" t="str">
        <f aca="false">IF(Tasks[[#This Row],[_Res3Text]]="","",TRIM(MID(SUBSTITUTE(Tasks[[#This Row],[_Resources]],",",REPT(" ",99)),298,99)))</f>
        <v/>
      </c>
      <c r="DO140" s="43" t="n">
        <f aca="false">IF(Tasks[[#This Row],[_Res1Text]]="",0,IFERROR(MATCH(TRIM(LEFT(Tasks[[#This Row],[_Res1Text]],FIND("[",Tasks[[#This Row],[_Res1Text]]&amp;"[")-1)),res_Name,0),IFERROR(MATCH(TRIM(LEFT(Tasks[[#This Row],[_Res1Text]],FIND("[",Tasks[[#This Row],[_Res1Text]]&amp;"[")-1)),res_Initials,0),0)))</f>
        <v>0</v>
      </c>
      <c r="DP140" s="43" t="n">
        <f aca="false">IF(Tasks[[#This Row],[_Res2Text]]="",0,IFERROR(MATCH(TRIM(LEFT(Tasks[[#This Row],[_Res2Text]],FIND("[",Tasks[[#This Row],[_Res2Text]]&amp;"[")-1)),res_Name,0),IFERROR(MATCH(TRIM(LEFT(Tasks[[#This Row],[_Res2Text]],FIND("[",Tasks[[#This Row],[_Res2Text]]&amp;"[")-1)),res_Initials,0),0)))</f>
        <v>0</v>
      </c>
      <c r="DQ140" s="43" t="n">
        <f aca="false">IF(Tasks[[#This Row],[_Res3Text]]="",0,IFERROR(MATCH(TRIM(LEFT(Tasks[[#This Row],[_Res3Text]],FIND("[",Tasks[[#This Row],[_Res3Text]]&amp;"[")-1)),res_Name,0),IFERROR(MATCH(TRIM(LEFT(Tasks[[#This Row],[_Res3Text]],FIND("[",Tasks[[#This Row],[_Res3Text]]&amp;"[")-1)),res_Initials,0),0)))</f>
        <v>0</v>
      </c>
      <c r="DR140" s="43" t="n">
        <f aca="false">IF(Tasks[[#This Row],[_Res4Text]]="",0,IFERROR(MATCH(TRIM(LEFT(Tasks[[#This Row],[_Res4Text]],FIND("[",Tasks[[#This Row],[_Res4Text]]&amp;"[")-1)),res_Name,0),IFERROR(MATCH(TRIM(LEFT(Tasks[[#This Row],[_Res4Text]],FIND("[",Tasks[[#This Row],[_Res4Text]]&amp;"[")-1)),res_Initials,0),0)))</f>
        <v>0</v>
      </c>
      <c r="DS140" s="43" t="str">
        <f aca="false">IF(Tasks[[#This Row],[_Res1Text]]="","",IF(Tasks[[#This Row],[_Res1Row]]&gt;0,INDEX(res_Name,Tasks[[#This Row],[_Res1Row]]),TRIM(LEFT(Tasks[[#This Row],[_Res1Text]],FIND("[",Tasks[[#This Row],[_Res1Text]]&amp;"[")-1))))</f>
        <v/>
      </c>
      <c r="DT14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0" s="43" t="n">
        <f aca="false">IF(NOT(Tasks[[#This Row],[_IsLeaf]]=1),0,(Tasks[[#This Row],[_Resource1]]&lt;&gt;"")+(Tasks[[#This Row],[_Res2]]&lt;&gt;"")+(Tasks[[#This Row],[_Res3]]&lt;&gt;"")+(Tasks[[#This Row],[_Res4]]&lt;&gt;""))</f>
        <v>0</v>
      </c>
      <c r="DV140" s="43" t="str">
        <f aca="false">IF(Tasks[[#This Row],[_Res2Text]]="","",IF(Tasks[[#This Row],[_Res2Row]]&gt;0,INDEX(res_Name,Tasks[[#This Row],[_Res2Row]]),TRIM(LEFT(Tasks[[#This Row],[_Res2Text]],FIND("[",Tasks[[#This Row],[_Res2Text]]&amp;"[")-1))))</f>
        <v/>
      </c>
      <c r="DW14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0" s="43" t="n">
        <f aca="false">IF(OR(NOT(Tasks[[#This Row],[_IsLeaf]]=1),Tasks[[#This Row],[_Res2Row]]=0),0,N(Tasks[[#This Row],[_Days]])*HoursPerDay*IF(Tasks[[#This Row],[_Res2Units]]="",DefaultUnits,Tasks[[#This Row],[_Res2Units]]))</f>
        <v>0</v>
      </c>
      <c r="DY140" s="43" t="n">
        <f aca="false">IF(AND(AND(Tasks[[#This Row],[_IsLeaf]]=1,Tasks[[#This Row],[_LeafTotalWork]]&gt;0),Tasks[[#This Row],[_Res2Work]]&gt;0),Tasks[[#This Row],[_Res2Work]]/(Tasks[[#This Row],[_FinishWorkday]]-Tasks[[#This Row],[_StartWorkday]]+1),0)</f>
        <v>0</v>
      </c>
      <c r="DZ140" s="43" t="n">
        <f aca="false">Tasks[[#This Row],[_Res2WorkPerWD]]*MAX(0,Tasks[[#This Row],[_StartWorkday]]-1)</f>
        <v>0</v>
      </c>
      <c r="EA140" s="43" t="n">
        <f aca="false">Tasks[[#This Row],[_Res2Work]]*Tasks[[#This Row],[_LeafProgress]]</f>
        <v>0</v>
      </c>
      <c r="EB140" s="43" t="str">
        <f aca="false">IF(Tasks[[#This Row],[_Res3Text]]="","",IF(Tasks[[#This Row],[_Res3Row]]&gt;0,INDEX(res_Name,Tasks[[#This Row],[_Res3Row]]),TRIM(LEFT(Tasks[[#This Row],[_Res3Text]],FIND("[",Tasks[[#This Row],[_Res3Text]]&amp;"[")-1))))</f>
        <v/>
      </c>
      <c r="EC14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0" s="43" t="n">
        <f aca="false">IF(OR(NOT(Tasks[[#This Row],[_IsLeaf]]=1),Tasks[[#This Row],[_Res3Row]]=0),0,N(Tasks[[#This Row],[_Days]])*HoursPerDay*IF(Tasks[[#This Row],[_Res3Units]]="",DefaultUnits,Tasks[[#This Row],[_Res3Units]]))</f>
        <v>0</v>
      </c>
      <c r="EE140" s="43" t="n">
        <f aca="false">IF(AND(AND(Tasks[[#This Row],[_IsLeaf]]=1,Tasks[[#This Row],[_LeafTotalWork]]&gt;0),Tasks[[#This Row],[_Res3Work]]&gt;0),Tasks[[#This Row],[_Res3Work]]/(Tasks[[#This Row],[_FinishWorkday]]-Tasks[[#This Row],[_StartWorkday]]+1),0)</f>
        <v>0</v>
      </c>
      <c r="EF140" s="43" t="n">
        <f aca="false">Tasks[[#This Row],[_Res3WorkPerWD]]*MAX(0,Tasks[[#This Row],[_StartWorkday]]-1)</f>
        <v>0</v>
      </c>
      <c r="EG140" s="43" t="n">
        <f aca="false">Tasks[[#This Row],[_Res3Work]]*Tasks[[#This Row],[_LeafProgress]]</f>
        <v>0</v>
      </c>
      <c r="EH140" s="43" t="str">
        <f aca="false">IF(Tasks[[#This Row],[_Res4Text]]="","",IF(Tasks[[#This Row],[_Res4Row]]&gt;0,INDEX(res_Name,Tasks[[#This Row],[_Res4Row]]),TRIM(LEFT(Tasks[[#This Row],[_Res4Text]],FIND("[",Tasks[[#This Row],[_Res4Text]]&amp;"[")-1))))</f>
        <v/>
      </c>
      <c r="EI14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0" s="43" t="n">
        <f aca="false">IF(OR(NOT(Tasks[[#This Row],[_IsLeaf]]=1),Tasks[[#This Row],[_Res4Row]]=0),0,N(Tasks[[#This Row],[_Days]])*HoursPerDay*IF(Tasks[[#This Row],[_Res4Units]]="",DefaultUnits,Tasks[[#This Row],[_Res4Units]]))</f>
        <v>0</v>
      </c>
      <c r="EK140" s="43" t="n">
        <f aca="false">IF(AND(AND(Tasks[[#This Row],[_IsLeaf]]=1,Tasks[[#This Row],[_LeafTotalWork]]&gt;0),Tasks[[#This Row],[_Res4Work]]&gt;0),Tasks[[#This Row],[_Res4Work]]/(Tasks[[#This Row],[_FinishWorkday]]-Tasks[[#This Row],[_StartWorkday]]+1),0)</f>
        <v>0</v>
      </c>
      <c r="EL140" s="43" t="n">
        <f aca="false">Tasks[[#This Row],[_Res4WorkPerWD]]*MAX(0,Tasks[[#This Row],[_StartWorkday]]-1)</f>
        <v>0</v>
      </c>
      <c r="EM140" s="43" t="n">
        <f aca="false">Tasks[[#This Row],[_Res4Work]]*Tasks[[#This Row],[_LeafProgress]]</f>
        <v>0</v>
      </c>
      <c r="EN140" s="43" t="n">
        <f aca="false">IF(ISNUMBER(Tasks[[#This Row],[% Complete]]),Tasks[[#This Row],[% Complete]],IF(Tasks[[#This Row],[Stage]]="",0,IFERROR(INDEX(stg_Pct,MATCH(Tasks[[#This Row],[Stage]],stg_Name,0)),0)))</f>
        <v>0</v>
      </c>
      <c r="EO140" s="43" t="n">
        <f aca="false">IF(NOT(Tasks[[#This Row],[_IsLeaf]]=1),0,IF(N(Tasks[[#This Row],[Actual Finish]])&gt;0,1,MIN(1,Tasks[[#This Row],[_Pct]])))</f>
        <v>0</v>
      </c>
      <c r="EP140" s="43" t="n">
        <f aca="false">IF(OR(NOT(Tasks[[#This Row],[_IsLeaf]]=1),Tasks[[#This Row],[_Res1Row]]=0),0,N(Tasks[[#This Row],[_Days]])*HoursPerDay*IF(Tasks[[#This Row],[_Units1]]="",DefaultUnits,Tasks[[#This Row],[_Units1]]))</f>
        <v>0</v>
      </c>
      <c r="EQ140" s="43" t="n">
        <f aca="false">Tasks[[#This Row],[_LeafWork]]+Tasks[[#This Row],[_Res2Work]]+Tasks[[#This Row],[_Res3Work]]+Tasks[[#This Row],[_Res4Work]]</f>
        <v>0</v>
      </c>
      <c r="ER14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0" s="43" t="n">
        <f aca="false">IF(NOT(Tasks[[#This Row],[_IsLeaf]]=1),0,MAX(_xlfn.MAXIFS(Tasks[_Row],Tasks[_Pred1UID],Tasks[[#This Row],[UID]]),_xlfn.MAXIFS(Tasks[_Row],Tasks[_Pred2UID],Tasks[[#This Row],[UID]]),_xlfn.MAXIFS(Tasks[_Row],Tasks[_Pred3UID],Tasks[[#This Row],[UID]]),_xlfn.MAXIFS(Tasks[_Row],Tasks[_Pred4UID],Tasks[[#This Row],[UID]])))</f>
        <v>0</v>
      </c>
      <c r="FA14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0" s="91" t="str">
        <f aca="false">IF(NOT(Tasks[[#This Row],[_IsLeaf]]=1),"",IF(N(Tasks[[#This Row],[_Days]])&lt;=0,Tasks[[#This Row],[_LeafLateFinish]],WORKDAY.INTL(Tasks[[#This Row],[_LeafLateFinish]],-(Tasks[[#This Row],[_Days]]-1),WorkWeek,Holidays)))</f>
        <v/>
      </c>
      <c r="FD14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0" s="90" t="b">
        <f aca="false">AND(Tasks[[#This Row],[_IsLeaf]]=1,Tasks[[#This Row],[_LeafProgress]]&lt;1,N(Tasks[[#This Row],[_LeafTotalSlack]])&lt;=CriticalSlackDays)</f>
        <v>0</v>
      </c>
      <c r="FF140" s="43" t="n">
        <f aca="false">IF(AND(Tasks[[#This Row],[_IsLeaf]]=1,Tasks[[#This Row],[_ConstraintCode]]=1,Tasks[[#This Row],[Mode]]&lt;&gt;"Manual",N(Tasks[[#This Row],[Actual Start]])=0),MAX(0,N(Tasks[[#This Row],[Free Slack]])),0)</f>
        <v>0</v>
      </c>
      <c r="FG140" s="91" t="str">
        <f aca="false">IF(NOT(Tasks[[#This Row],[_IsLeaf]]=1),"",IF(Tasks[[#This Row],[_AlapShift]]=0,Tasks[[#This Row],[_LeafCalcStart]],WORKDAY.INTL(Tasks[[#This Row],[_LeafCalcStart]],Tasks[[#This Row],[_AlapShift]],WorkWeek,Holidays)))</f>
        <v/>
      </c>
      <c r="FH140" s="91" t="str">
        <f aca="false">IF(NOT(Tasks[[#This Row],[_IsLeaf]]=1),"",IF(Tasks[[#This Row],[_AlapShift]]=0,Tasks[[#This Row],[_LeafCalcFinish]],WORKDAY.INTL(Tasks[[#This Row],[_LeafCalcFinish]],Tasks[[#This Row],[_AlapShift]],WorkWeek,Holidays)))</f>
        <v/>
      </c>
      <c r="FI140" s="91" t="str">
        <f aca="false">IF(NOT(Tasks[[#This Row],[_IsLeaf]]=1),"",IF(Tasks[[#This Row],[_AlapShift]]=0,Tasks[[#This Row],[_LeafFcstStart]],WORKDAY.INTL(Tasks[[#This Row],[_LeafFcstStart]],Tasks[[#This Row],[_AlapShift]],WorkWeek,Holidays)))</f>
        <v/>
      </c>
      <c r="FJ140" s="91" t="str">
        <f aca="false">IF(NOT(Tasks[[#This Row],[_IsLeaf]]=1),"",IF(Tasks[[#This Row],[_AlapShift]]=0,Tasks[[#This Row],[_LeafFcstFinish]],WORKDAY.INTL(Tasks[[#This Row],[_LeafFcstFinish]],Tasks[[#This Row],[_AlapShift]],WorkWeek,Holidays)))</f>
        <v/>
      </c>
      <c r="FK140" s="91" t="str">
        <f aca="false">IF(Tasks[[#This Row],[Task Name]]="","",IF(Tasks[[#This Row],[_IsSummary]],MIN(INDEX(Tasks[_ShownCalcStart],Tasks[[#This Row],[_Row]]+1):INDEX(Tasks[_ShownCalcStart],Tasks[[#This Row],[_Row]]+Tasks[[#This Row],[_Descendants]])),Tasks[[#This Row],[_ShownCalcStart]]))</f>
        <v/>
      </c>
      <c r="FL140" s="91" t="str">
        <f aca="false">IF(Tasks[[#This Row],[Task Name]]="","",IF(Tasks[[#This Row],[_IsSummary]],MAX(INDEX(Tasks[_ShownCalcFinish],Tasks[[#This Row],[_Row]]+1):INDEX(Tasks[_ShownCalcFinish],Tasks[[#This Row],[_Row]]+Tasks[[#This Row],[_Descendants]])),Tasks[[#This Row],[_ShownCalcFinish]]))</f>
        <v/>
      </c>
      <c r="FM14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0" s="43" t="n">
        <f aca="false">IF(AND(Tasks[[#This Row],[_IsLeaf]]=1,Tasks[[#This Row],[_LeafTotalWork]]&gt;0),NETWORKDAYS.INTL(ProjectStart,Tasks[[#This Row],[_ShownFcstStart]],WorkWeek,Holidays),0)</f>
        <v>0</v>
      </c>
      <c r="FZ140" s="43" t="n">
        <f aca="false">IF(AND(Tasks[[#This Row],[_IsLeaf]]=1,Tasks[[#This Row],[_LeafTotalWork]]&gt;0),MAX(Tasks[[#This Row],[_StartWorkday]],NETWORKDAYS.INTL(ProjectStart,Tasks[[#This Row],[_ShownFcstFinish]],WorkWeek,Holidays)),0)</f>
        <v>0</v>
      </c>
      <c r="GA140" s="43" t="n">
        <f aca="false">IF(AND(Tasks[[#This Row],[_IsLeaf]]=1,Tasks[[#This Row],[_LeafTotalWork]]&gt;0),Tasks[[#This Row],[_LeafWork]]/(Tasks[[#This Row],[_FinishWorkday]]-Tasks[[#This Row],[_StartWorkday]]+1),0)</f>
        <v>0</v>
      </c>
      <c r="GB140" s="43" t="n">
        <f aca="false">Tasks[[#This Row],[_WorkPerWorkday]]*(Tasks[[#This Row],[_StartWorkday]]-1)</f>
        <v>-0</v>
      </c>
      <c r="GC140" s="43" t="n">
        <f aca="false">IF(Tasks[[#This Row],[_IsLeaf]]=1,MAX(N(Tasks[[#This Row],[_Days]]),0.1),0)</f>
        <v>0</v>
      </c>
      <c r="GD140" s="43" t="n">
        <f aca="false">Tasks[[#This Row],[_WeightDur]]*Tasks[[#This Row],[_LeafProgress]]</f>
        <v>0</v>
      </c>
      <c r="GE140" s="43" t="n">
        <f aca="false">Tasks[[#This Row],[_WeightDur]]*Tasks[[#This Row],[_PlannedPct]]</f>
        <v>0</v>
      </c>
      <c r="GF14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0" s="43" t="str">
        <f aca="false">IF(AND(Tasks[[#This Row],[_IsLeaf]]=1,N(Tasks[[#This Row],[_Days]])=0,Tasks[[#This Row],[_LeafProgress]]&lt;1),Tasks[[#This Row],[_ShownFcstFinish]]+Tasks[[#This Row],[_Row]]/100000,"")</f>
        <v/>
      </c>
      <c r="GH14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0" s="43" t="str">
        <f aca="false">IF(Tasks[[#This Row],[Task Name]]="","",LEFT(Tasks[[#This Row],[WBS]],FIND(".",Tasks[[#This Row],[WBS]]&amp;".")-1))</f>
        <v/>
      </c>
      <c r="GJ140" s="43" t="str">
        <f aca="false">IF(AND(Tasks[[#This Row],[Task Name]]&lt;&gt;"",Tasks[[#This Row],[_Level]]=1),Tasks[[#This Row],[_Row]],"")</f>
        <v/>
      </c>
      <c r="GK140" s="43" t="str">
        <f aca="false">IF(AND(Tasks[[#This Row],[_IsLeaf]]=1,N(Tasks[[#This Row],[_Days]])=0),Tasks[[#This Row],[Planned Finish]]+Tasks[[#This Row],[_Row]]/100000,"")</f>
        <v/>
      </c>
      <c r="GL140" s="43" t="str">
        <f aca="false">IF(AND(Tasks[[#This Row],[_IsLeaf]]=1,Tasks[[#This Row],[_LeafProgress]]&lt;1,OR(N(Tasks[[#This Row],[Finish Var]])&gt;0,Tasks[[#This Row],[Status]]="Late Start")),MAX(0,Tasks[[#This Row],[Finish Var]])+1-Tasks[[#This Row],[_Row]]/1000000,"")</f>
        <v/>
      </c>
      <c r="GM140" s="43" t="str">
        <f aca="false">IF(AND(Tasks[[#This Row],[_IsLeaf]]=1,N(Tasks[[#This Row],[Actual Start]])=0,Tasks[[#This Row],[_ShownFcstStart]]&gt;=StatusDate,Tasks[[#This Row],[_ShownFcstStart]]&lt;=LookaheadEnd),Tasks[[#This Row],[_ShownFcstStart]]+Tasks[[#This Row],[_Row]]/100000,"")</f>
        <v/>
      </c>
      <c r="GN140" s="43" t="str">
        <f aca="false">IF(AND(Tasks[[#This Row],[_IsLeaf]]=1,Tasks[[#This Row],[_LeafProgress]]&lt;1,Tasks[[#This Row],[_ShownFcstFinish]]&gt;=StatusDate,Tasks[[#This Row],[_ShownFcstFinish]]&lt;=LookaheadEnd),Tasks[[#This Row],[_ShownFcstFinish]]+Tasks[[#This Row],[_Row]]/100000,"")</f>
        <v/>
      </c>
      <c r="GO140" s="43" t="str">
        <f aca="false">IF(Tasks[[#This Row],[_LeafCritical]],Tasks[[#This Row],[_ShownFcstStart]]+Tasks[[#This Row],[_Row]]/100000,"")</f>
        <v/>
      </c>
      <c r="GP140" s="43" t="n">
        <f aca="false">Tasks[[#This Row],[_LeafWork]]*Tasks[[#This Row],[_LeafProgress]]</f>
        <v>0</v>
      </c>
      <c r="GQ140" s="91" t="str">
        <f aca="false">IF(AND(Tasks[[#This Row],[_IsLeaf]]=1,Tasks[[#This Row],[_LeafProgress]]&gt;=1),IF(N(Tasks[[#This Row],[Actual Finish]])&gt;0,Tasks[[#This Row],[Actual Finish]],Tasks[[#This Row],[_ShownFcstFinish]]),"")</f>
        <v/>
      </c>
      <c r="GR140" s="43" t="n">
        <f aca="false">IF(Tasks[[#This Row],[_IsLeaf]]=1,N(Tasks[[#This Row],[Story Points]]),0)</f>
        <v>0</v>
      </c>
      <c r="GS140" s="43" t="str">
        <f aca="false">""</f>
        <v/>
      </c>
      <c r="GT140" s="90" t="b">
        <f aca="false">IF(Tasks[[#This Row],[Task Name]]="",FALSE(),AND(Tasks[[#This Row],[_IsLeaf]]=1,N(Tasks[[#This Row],[_Days]])=0))</f>
        <v>0</v>
      </c>
      <c r="GU140" s="91" t="n">
        <f aca="false">IF(Tasks[[#This Row],[Task Name]]="",0,IF(AND(Tasks[[#This Row],[_IsLeaf]]=1,NOT(Tasks[[#This Row],[_IsMilestone]]),N(Tasks[[#This Row],[Progress]])&gt;0),Tasks[[#This Row],[Start]],0))</f>
        <v>0</v>
      </c>
      <c r="GV140" s="91" t="n">
        <f aca="false">IF(Tasks[[#This Row],[_DoneFrom]]=0,0,IF(Tasks[[#This Row],[Progress]]&gt;=1,Tasks[[#This Row],[Finish]],MAX(Tasks[[#This Row],[_DoneFrom]],Tasks[[#This Row],[Start]]+ROUND((Tasks[[#This Row],[Finish]]-Tasks[[#This Row],[Start]]+1)*Tasks[[#This Row],[Progress]],0)-1)))</f>
        <v>0</v>
      </c>
      <c r="GW140" s="91" t="n">
        <f aca="false">IF(Tasks[[#This Row],[Task Name]]="",0,IF(OR(NOT(Tasks[[#This Row],[_IsLeaf]]=1),Tasks[[#This Row],[_IsMilestone]],N(Tasks[[#This Row],[Progress]])&gt;=1),0,IF(Tasks[[#This Row],[_DoneTo]]&gt;0,Tasks[[#This Row],[_DoneTo]]+1,Tasks[[#This Row],[Start]])))</f>
        <v>0</v>
      </c>
      <c r="GX140" s="91" t="n">
        <f aca="false">IF(Tasks[[#This Row],[_RemFrom]]=0,0,Tasks[[#This Row],[Finish]])</f>
        <v>0</v>
      </c>
      <c r="GY140" s="90" t="b">
        <f aca="false">IF(Tasks[[#This Row],[Task Name]]="",FALSE(),OR(NOT(BaselineSet),N(Tasks[[#This Row],[Baseline Start]])&gt;0))</f>
        <v>0</v>
      </c>
      <c r="GZ14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0" s="92" t="str">
        <f aca="false">IF(Tasks[[#This Row],[_IsLeaf]]=1,Tasks[[#This Row],[_Row]],"")</f>
        <v/>
      </c>
      <c r="HD140" s="92" t="str">
        <f aca="false">IFERROR(INDEX(Tasks[UID],SMALL(Tasks[_PickKey],Tasks[[#This Row],[_Row]]))&amp;" "&amp;INDEX(Tasks[Task Name],SMALL(Tasks[_PickKey],Tasks[[#This Row],[_Row]])),"")</f>
        <v/>
      </c>
      <c r="HE140" s="43" t="str">
        <f aca="false">IF(Tasks[[#This Row],[Task Name]]="","",IF(Tasks[[#This Row],[_IsSummary]],NETWORKDAYS.INTL(Tasks[[#This Row],[Start]],Tasks[[#This Row],[Finish]],WorkWeek,Holidays),N(Tasks[[#This Row],[_Days]])))</f>
        <v/>
      </c>
      <c r="HF140" s="43" t="n">
        <f aca="false">IF(Tasks[[#This Row],[Expected]]="",0,((Tasks[[#This Row],[Pessimistic]]-Tasks[[#This Row],[Optimistic]])/6)^2)</f>
        <v>0</v>
      </c>
      <c r="HG140" s="43" t="n">
        <f aca="false">IF(Tasks[[#This Row],[Expected]]="",0,Tasks[[#This Row],[Expected]]-N(Tasks[[#This Row],[_Days]]))</f>
        <v>0</v>
      </c>
    </row>
    <row r="141" customFormat="false" ht="15" hidden="false" customHeight="false" outlineLevel="0" collapsed="false">
      <c r="A141" s="21" t="str">
        <f aca="false">IF(Tasks[[#This Row],[Task Name]]="","",COUNTA(Tasks[[#Headers],[Task Name]]:Tasks[[#This Row],[Task Name]])-1)</f>
        <v/>
      </c>
      <c r="B141" s="22" t="n">
        <v>149</v>
      </c>
      <c r="C141" s="22"/>
      <c r="D141" s="23"/>
      <c r="E141" s="22"/>
      <c r="F141" s="23"/>
      <c r="G141" s="22"/>
      <c r="H141" s="22"/>
      <c r="I141" s="23"/>
      <c r="J141" s="22"/>
      <c r="K141" s="22"/>
      <c r="L141" s="23"/>
      <c r="M141" s="22"/>
      <c r="N141" s="22"/>
      <c r="O141" s="23"/>
      <c r="P141" s="22"/>
      <c r="Q141" s="22"/>
      <c r="R141" s="23"/>
      <c r="S141" s="23"/>
      <c r="T141" s="84"/>
      <c r="U141" s="23"/>
      <c r="V141" s="84"/>
      <c r="W141" s="23"/>
      <c r="X141" s="84"/>
      <c r="Y141" s="23"/>
      <c r="Z141" s="84"/>
      <c r="AA141" s="23"/>
      <c r="AB141" s="23"/>
      <c r="AC141" s="7"/>
      <c r="AD141" s="7"/>
      <c r="AE141" s="63" t="str">
        <f aca="false">IF(Tasks[[#This Row],[Task Name]]="","",IF(Tasks[[#This Row],[_IsSummary]],MIN(INDEX(Tasks[_ShownFcstStart],Tasks[[#This Row],[_Row]]+1):INDEX(Tasks[_ShownFcstStart],Tasks[[#This Row],[_Row]]+Tasks[[#This Row],[_Descendants]])),Tasks[[#This Row],[_ShownFcstStart]]))</f>
        <v/>
      </c>
      <c r="AF141" s="63" t="str">
        <f aca="false">IF(Tasks[[#This Row],[Task Name]]="","",IF(Tasks[[#This Row],[_IsSummary]],MAX(INDEX(Tasks[_ShownFcstFinish],Tasks[[#This Row],[_Row]]+1):INDEX(Tasks[_ShownFcstFinish],Tasks[[#This Row],[_Row]]+Tasks[[#This Row],[_Descendants]])),Tasks[[#This Row],[_ShownFcstFinish]]))</f>
        <v/>
      </c>
      <c r="AG141" s="21" t="str">
        <f aca="false">""</f>
        <v/>
      </c>
      <c r="AH141" s="23"/>
      <c r="AI1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1" s="7"/>
      <c r="AK141" s="22"/>
      <c r="AL141" s="23"/>
      <c r="AM141" s="7"/>
      <c r="AN141" s="47" t="str">
        <f aca="false">IF(Tasks[[#This Row],[Task Name]]="","",IF(Tasks[[#This Row],[Finish]]&gt;=Tasks[[#This Row],[Planned Finish]],NETWORKDAYS.INTL(Tasks[[#This Row],[Planned Finish]],Tasks[[#This Row],[Finish]],WorkWeek,Holidays)-1,1-NETWORKDAYS.INTL(Tasks[[#This Row],[Finish]],Tasks[[#This Row],[Planned Finish]],WorkWeek,Holidays)))</f>
        <v/>
      </c>
      <c r="AO141" s="21" t="str">
        <f aca="false">IF(Tasks[[#This Row],[Task Name]]="","",IF(Tasks[[#This Row],[Progress]]&gt;=1,"Complete",IF(OR(N(Tasks[[#This Row],[Actual Start]])&gt;0,Tasks[[#This Row],[Progress]]&gt;0),IF(Tasks[[#This Row],[Finish Var]]&gt;0,"Behind","In Progress"),IF(Tasks[[#This Row],[Planned Start]]&lt;StatusDate,"Late Start","Not Started"))))</f>
        <v/>
      </c>
      <c r="AP141" s="21" t="str">
        <f aca="false">IF(Tasks[[#This Row],[Task Name]]="","",IF(IF(Tasks[[#This Row],[_IsSummary]],COUNTIF(INDEX(Tasks[_LeafCritical],Tasks[[#This Row],[_Row]]+1):INDEX(Tasks[_LeafCritical],Tasks[[#This Row],[_Row]]+Tasks[[#This Row],[_Descendants]]),TRUE())&gt;0,Tasks[[#This Row],[_LeafCritical]]),"Yes",""))</f>
        <v/>
      </c>
      <c r="AQ141" s="63" t="str">
        <f aca="false">IF(Tasks[[#This Row],[Task Name]]="","",IF(N(Tasks[[#This Row],[Baseline Start]])&gt;0,Tasks[[#This Row],[Baseline Start]],Tasks[[#This Row],[_CalcStart]]))</f>
        <v/>
      </c>
      <c r="AR141" s="63" t="str">
        <f aca="false">IF(Tasks[[#This Row],[Task Name]]="","",IF(N(Tasks[[#This Row],[Baseline Finish]])&gt;0,Tasks[[#This Row],[Baseline Finish]],Tasks[[#This Row],[_CalcFinish]]))</f>
        <v/>
      </c>
      <c r="AS141" s="47" t="str">
        <f aca="false">IF(Tasks[[#This Row],[Task Name]]="","",IF(Tasks[[#This Row],[Start]]&gt;=Tasks[[#This Row],[Planned Start]],NETWORKDAYS.INTL(Tasks[[#This Row],[Planned Start]],Tasks[[#This Row],[Start]],WorkWeek,Holidays)-1,1-NETWORKDAYS.INTL(Tasks[[#This Row],[Start]],Tasks[[#This Row],[Planned Start]],WorkWeek,Holidays)))</f>
        <v/>
      </c>
      <c r="AT141" s="63" t="str">
        <f aca="false">IF(Tasks[[#This Row],[Task Name]]="","",IF(Tasks[[#This Row],[_IsSummary]],MIN(INDEX(Tasks[_LeafLateStart],Tasks[[#This Row],[_Row]]+1):INDEX(Tasks[_LeafLateStart],Tasks[[#This Row],[_Row]]+Tasks[[#This Row],[_Descendants]])),Tasks[[#This Row],[_LeafLateStart]]))</f>
        <v/>
      </c>
      <c r="AU141" s="63" t="str">
        <f aca="false">IF(Tasks[[#This Row],[Task Name]]="","",IF(Tasks[[#This Row],[_IsSummary]],MAX(INDEX(Tasks[_LeafLateFinish],Tasks[[#This Row],[_Row]]+1):INDEX(Tasks[_LeafLateFinish],Tasks[[#This Row],[_Row]]+Tasks[[#This Row],[_Descendants]])),Tasks[[#This Row],[_LeafLateFinish]]))</f>
        <v/>
      </c>
      <c r="AV141" s="47" t="str">
        <f aca="false">IF(Tasks[[#This Row],[Task Name]]="","",IF(Tasks[[#This Row],[_IsSummary]],MIN(INDEX(Tasks[_LeafTotalSlack],Tasks[[#This Row],[_Row]]+1):INDEX(Tasks[_LeafTotalSlack],Tasks[[#This Row],[_Row]]+Tasks[[#This Row],[_Descendants]])),Tasks[[#This Row],[_LeafTotalSlack]]))</f>
        <v/>
      </c>
      <c r="AW1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5"/>
      <c r="BA14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1" t="str">
        <f aca="false">IF(Tasks[[#This Row],[Task Name]]="","",IF(Tasks[[#This Row],[_Level]]&lt;=OutlineShowLevel,"Yes","No"))</f>
        <v/>
      </c>
      <c r="BE141" s="86" t="str">
        <f aca="false">IF(Tasks[[#This Row],[Task Name]]="","",IF(Tasks[[#This Row],[_IsSummary]],SUM(INDEX(Tasks[_LeafTotalWork],Tasks[[#This Row],[_Row]]+1):INDEX(Tasks[_LeafTotalWork],Tasks[[#This Row],[_Row]]+Tasks[[#This Row],[_Descendants]])),Tasks[[#This Row],[_LeafTotalWork]]))</f>
        <v/>
      </c>
      <c r="BF141" s="23"/>
      <c r="BG1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1" s="21" t="str">
        <f aca="false">""</f>
        <v/>
      </c>
      <c r="BI141" s="87"/>
      <c r="BJ141" s="22"/>
      <c r="BK141" s="47" t="str">
        <f aca="false">IF(OR(Tasks[[#This Row],[Task Name]]="",Tasks[[#This Row],[Baseline Duration]]=""),"",Tasks[[#This Row],[_SpanDays]]-N(Tasks[[#This Row],[Baseline Duration]]))</f>
        <v/>
      </c>
      <c r="BL141" s="86" t="str">
        <f aca="false">IF(OR(Tasks[[#This Row],[Task Name]]="",Tasks[[#This Row],[Baseline Work]]=""),"",Tasks[[#This Row],[Work]]-N(Tasks[[#This Row],[Baseline Work]]))</f>
        <v/>
      </c>
      <c r="BM141" s="63" t="str">
        <f aca="false">IF(Tasks[[#This Row],[Task Name]]="","",IF(OR(TakeBaseline="Yes",N(Tasks[[#This Row],[Baseline Start]])=0),Tasks[[#This Row],[Start]],Tasks[[#This Row],[Baseline Start]]))</f>
        <v/>
      </c>
      <c r="BN141" s="63" t="str">
        <f aca="false">IF(Tasks[[#This Row],[Task Name]]="","",IF(OR(TakeBaseline="Yes",N(Tasks[[#This Row],[Baseline Finish]])=0),Tasks[[#This Row],[Finish]],Tasks[[#This Row],[Baseline Finish]]))</f>
        <v/>
      </c>
      <c r="BO141" s="21" t="str">
        <f aca="false">IF(Tasks[[#This Row],[Task Name]]="","",IF(OR(TakeBaseline="Yes",N(Tasks[[#This Row],[Baseline Duration]])=0),Tasks[[#This Row],[_SpanDays]],Tasks[[#This Row],[Baseline Duration]]))</f>
        <v/>
      </c>
      <c r="BP141" s="86" t="str">
        <f aca="false">IF(Tasks[[#This Row],[Task Name]]="","",IF(OR(TakeBaseline="Yes",N(Tasks[[#This Row],[Baseline Work]])=0),Tasks[[#This Row],[Work]],Tasks[[#This Row],[Baseline Work]]))</f>
        <v/>
      </c>
      <c r="BQ141" s="7"/>
      <c r="BR141" s="7"/>
      <c r="BS141" s="22"/>
      <c r="BT141" s="88"/>
      <c r="BU141" s="23"/>
      <c r="BV141" s="23"/>
      <c r="BW141" s="23"/>
      <c r="BX141" s="89" t="str">
        <f aca="false">IF(AND(Tasks[[#This Row],[_IsLeaf]]=1,ISNUMBER(Tasks[[#This Row],[Optimistic]]),ISNUMBER(Tasks[[#This Row],[Pessimistic]])),ROUND((Tasks[[#This Row],[Optimistic]]+4*N(Tasks[[#This Row],[_Days]])+Tasks[[#This Row],[Pessimistic]])/6,1),"")</f>
        <v/>
      </c>
      <c r="BY141" s="87"/>
      <c r="BZ141" s="87"/>
      <c r="CA141" s="22"/>
      <c r="CB141" s="43" t="str">
        <f aca="false">IF(Tasks[[#This Row],[Task Name]]="","",MAX(1,N(Tasks[[#This Row],[Level]])))</f>
        <v/>
      </c>
      <c r="CC141" s="43" t="n">
        <f aca="false">ROW()-ROW(Tasks[[#Headers],[ID]])</f>
        <v>136</v>
      </c>
      <c r="CD141" s="43" t="n">
        <f aca="false">IF(OR(Tasks[[#This Row],[Task Name]]="",Tasks[[#This Row],[_Level]]&lt;=1),0,IFERROR(LOOKUP(2,1/(Tasks[[#Headers],[_Level]]:Tasks[[#This Row],[_Level]]=Tasks[[#This Row],[_Level]]-1),ROW(Tasks[[#Headers],[_Level]]:Tasks[[#This Row],[_Level]])),0))</f>
        <v>0</v>
      </c>
      <c r="CE141" s="43" t="n">
        <f aca="false">IFERROR(N(INDEX(Tasks[_Level],Tasks[[#This Row],[_Row]]+1)),0)</f>
        <v>0</v>
      </c>
      <c r="CF141" s="90" t="b">
        <f aca="false">AND(Tasks[[#This Row],[Task Name]]&lt;&gt;"",Tasks[[#This Row],[_NextLevel]]&gt;Tasks[[#This Row],[_Level]])</f>
        <v>0</v>
      </c>
      <c r="CG141" s="43" t="n">
        <f aca="false">IF(Tasks[[#This Row],[_IsSummary]],COUNTIF(Tasks[WBS],Tasks[[#This Row],[WBS]]&amp;".*"),0)</f>
        <v>0</v>
      </c>
      <c r="CH141" s="43" t="n">
        <f aca="false">IF(AND(Tasks[[#This Row],[Task Name]]&lt;&gt;"",NOT(Tasks[[#This Row],[_IsSummary]])),1,0)</f>
        <v>0</v>
      </c>
      <c r="CI141" s="43" t="n">
        <f aca="false">IF(N(Tasks[[#This Row],[_Pred1UID]])=0,0,IFERROR(MATCH(Tasks[[#This Row],[_Pred1UID]],Tasks[UID],0),-1))</f>
        <v>0</v>
      </c>
      <c r="CJ141" s="43" t="n">
        <f aca="false">IF(N(Tasks[[#This Row],[_Pred2UID]])=0,0,IFERROR(MATCH(Tasks[[#This Row],[_Pred2UID]],Tasks[UID],0),-1))</f>
        <v>0</v>
      </c>
      <c r="CK141" s="43" t="n">
        <f aca="false">IF(N(Tasks[[#This Row],[_Pred3UID]])=0,0,IFERROR(MATCH(Tasks[[#This Row],[_Pred3UID]],Tasks[UID],0),-1))</f>
        <v>0</v>
      </c>
      <c r="CL141" s="43" t="n">
        <f aca="false">IF(N(Tasks[[#This Row],[_Pred4UID]])=0,0,IFERROR(MATCH(Tasks[[#This Row],[_Pred4UID]],Tasks[UID],0),-1))</f>
        <v>0</v>
      </c>
      <c r="CM14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1" s="91" t="n">
        <f aca="false">IF(OR(Tasks[[#This Row],[_ConstraintCode]]=2,Tasks[[#This Row],[_ConstraintCode]]=3,Tasks[[#This Row],[_ConstraintCode]]=4,Tasks[[#This Row],[_ConstraintCode]]=6),Tasks[[#This Row],[_ConstraintStart]],0)</f>
        <v>0</v>
      </c>
      <c r="CP141" s="91" t="n">
        <f aca="false">IF(OR(Tasks[[#This Row],[_ConstraintCode]]=2,Tasks[[#This Row],[_ConstraintCode]]=3,Tasks[[#This Row],[_ConstraintCode]]=5,Tasks[[#This Row],[_ConstraintCode]]=7),Tasks[[#This Row],[_ConstraintStart]],2958465)</f>
        <v>2958465</v>
      </c>
      <c r="CQ14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1" s="91" t="str">
        <f aca="false">IF(NOT(Tasks[[#This Row],[_IsLeaf]]=1),"",IF(N(Tasks[[#This Row],[_Days]])&lt;=0,Tasks[[#This Row],[_LeafCalcStart]],WORKDAY.INTL(Tasks[[#This Row],[_LeafCalcStart]],Tasks[[#This Row],[_Days]]-1,WorkWeek,Holidays)))</f>
        <v/>
      </c>
      <c r="CS14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1" s="43" t="str">
        <f aca="false">IF(Tasks[[#This Row],[_Predecessors]]="","",TRIM(MID(SUBSTITUTE(SUBSTITUTE(SUBSTITUTE(UPPER(Tasks[[#This Row],[_Predecessors]]),";",",")," ",""),",",REPT(" ",99)),1,99)))</f>
        <v/>
      </c>
      <c r="CV141" s="43" t="str">
        <f aca="false">IF(Tasks[[#This Row],[_Pred1Text]]="","",IFERROR(VALUE(LEFT(Tasks[[#This Row],[_Pred1Text]],MIN(FIND("F",Tasks[[#This Row],[_Pred1Text]]&amp;"F"),FIND("S",Tasks[[#This Row],[_Pred1Text]]&amp;"S"),FIND("+",Tasks[[#This Row],[_Pred1Text]]&amp;"+"),FIND("-",Tasks[[#This Row],[_Pred1Text]]&amp;"-"))-1)),""))</f>
        <v/>
      </c>
      <c r="CW14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1" s="43" t="str">
        <f aca="false">IF(Tasks[[#This Row],[_Pred1Text]]="","",TRIM(MID(SUBSTITUTE(SUBSTITUTE(SUBSTITUTE(UPPER(Tasks[[#This Row],[_Predecessors]]),";",",")," ",""),",",REPT(" ",99)),100,99)))</f>
        <v/>
      </c>
      <c r="CZ141" s="43" t="str">
        <f aca="false">IF(Tasks[[#This Row],[_Pred2Text]]="","",IFERROR(VALUE(LEFT(Tasks[[#This Row],[_Pred2Text]],MIN(FIND("F",Tasks[[#This Row],[_Pred2Text]]&amp;"F"),FIND("S",Tasks[[#This Row],[_Pred2Text]]&amp;"S"),FIND("+",Tasks[[#This Row],[_Pred2Text]]&amp;"+"),FIND("-",Tasks[[#This Row],[_Pred2Text]]&amp;"-"))-1)),""))</f>
        <v/>
      </c>
      <c r="DA14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1" s="43" t="str">
        <f aca="false">IF(Tasks[[#This Row],[_Pred2Text]]="","",TRIM(MID(SUBSTITUTE(SUBSTITUTE(SUBSTITUTE(UPPER(Tasks[[#This Row],[_Predecessors]]),";",",")," ",""),",",REPT(" ",99)),199,99)))</f>
        <v/>
      </c>
      <c r="DD141" s="43" t="str">
        <f aca="false">IF(Tasks[[#This Row],[_Pred3Text]]="","",IFERROR(VALUE(LEFT(Tasks[[#This Row],[_Pred3Text]],MIN(FIND("F",Tasks[[#This Row],[_Pred3Text]]&amp;"F"),FIND("S",Tasks[[#This Row],[_Pred3Text]]&amp;"S"),FIND("+",Tasks[[#This Row],[_Pred3Text]]&amp;"+"),FIND("-",Tasks[[#This Row],[_Pred3Text]]&amp;"-"))-1)),""))</f>
        <v/>
      </c>
      <c r="DE14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1" s="43" t="str">
        <f aca="false">IF(Tasks[[#This Row],[_Pred3Text]]="","",TRIM(MID(SUBSTITUTE(SUBSTITUTE(SUBSTITUTE(UPPER(Tasks[[#This Row],[_Predecessors]]),";",",")," ",""),",",REPT(" ",99)),298,99)))</f>
        <v/>
      </c>
      <c r="DH141" s="43" t="str">
        <f aca="false">IF(Tasks[[#This Row],[_Pred4Text]]="","",IFERROR(VALUE(LEFT(Tasks[[#This Row],[_Pred4Text]],MIN(FIND("F",Tasks[[#This Row],[_Pred4Text]]&amp;"F"),FIND("S",Tasks[[#This Row],[_Pred4Text]]&amp;"S"),FIND("+",Tasks[[#This Row],[_Pred4Text]]&amp;"+"),FIND("-",Tasks[[#This Row],[_Pred4Text]]&amp;"-"))-1)),""))</f>
        <v/>
      </c>
      <c r="DI14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1" s="43" t="str">
        <f aca="false">IF(OR(Tasks[[#This Row],[Task Name]]="",Tasks[[#This Row],[_Resources]]=""),"",TRIM(MID(SUBSTITUTE(Tasks[[#This Row],[_Resources]],",",REPT(" ",99)),1,99)))</f>
        <v/>
      </c>
      <c r="DL141" s="43" t="str">
        <f aca="false">IF(Tasks[[#This Row],[_Res1Text]]="","",TRIM(MID(SUBSTITUTE(Tasks[[#This Row],[_Resources]],",",REPT(" ",99)),100,99)))</f>
        <v/>
      </c>
      <c r="DM141" s="43" t="str">
        <f aca="false">IF(Tasks[[#This Row],[_Res2Text]]="","",TRIM(MID(SUBSTITUTE(Tasks[[#This Row],[_Resources]],",",REPT(" ",99)),199,99)))</f>
        <v/>
      </c>
      <c r="DN141" s="43" t="str">
        <f aca="false">IF(Tasks[[#This Row],[_Res3Text]]="","",TRIM(MID(SUBSTITUTE(Tasks[[#This Row],[_Resources]],",",REPT(" ",99)),298,99)))</f>
        <v/>
      </c>
      <c r="DO141" s="43" t="n">
        <f aca="false">IF(Tasks[[#This Row],[_Res1Text]]="",0,IFERROR(MATCH(TRIM(LEFT(Tasks[[#This Row],[_Res1Text]],FIND("[",Tasks[[#This Row],[_Res1Text]]&amp;"[")-1)),res_Name,0),IFERROR(MATCH(TRIM(LEFT(Tasks[[#This Row],[_Res1Text]],FIND("[",Tasks[[#This Row],[_Res1Text]]&amp;"[")-1)),res_Initials,0),0)))</f>
        <v>0</v>
      </c>
      <c r="DP141" s="43" t="n">
        <f aca="false">IF(Tasks[[#This Row],[_Res2Text]]="",0,IFERROR(MATCH(TRIM(LEFT(Tasks[[#This Row],[_Res2Text]],FIND("[",Tasks[[#This Row],[_Res2Text]]&amp;"[")-1)),res_Name,0),IFERROR(MATCH(TRIM(LEFT(Tasks[[#This Row],[_Res2Text]],FIND("[",Tasks[[#This Row],[_Res2Text]]&amp;"[")-1)),res_Initials,0),0)))</f>
        <v>0</v>
      </c>
      <c r="DQ141" s="43" t="n">
        <f aca="false">IF(Tasks[[#This Row],[_Res3Text]]="",0,IFERROR(MATCH(TRIM(LEFT(Tasks[[#This Row],[_Res3Text]],FIND("[",Tasks[[#This Row],[_Res3Text]]&amp;"[")-1)),res_Name,0),IFERROR(MATCH(TRIM(LEFT(Tasks[[#This Row],[_Res3Text]],FIND("[",Tasks[[#This Row],[_Res3Text]]&amp;"[")-1)),res_Initials,0),0)))</f>
        <v>0</v>
      </c>
      <c r="DR141" s="43" t="n">
        <f aca="false">IF(Tasks[[#This Row],[_Res4Text]]="",0,IFERROR(MATCH(TRIM(LEFT(Tasks[[#This Row],[_Res4Text]],FIND("[",Tasks[[#This Row],[_Res4Text]]&amp;"[")-1)),res_Name,0),IFERROR(MATCH(TRIM(LEFT(Tasks[[#This Row],[_Res4Text]],FIND("[",Tasks[[#This Row],[_Res4Text]]&amp;"[")-1)),res_Initials,0),0)))</f>
        <v>0</v>
      </c>
      <c r="DS141" s="43" t="str">
        <f aca="false">IF(Tasks[[#This Row],[_Res1Text]]="","",IF(Tasks[[#This Row],[_Res1Row]]&gt;0,INDEX(res_Name,Tasks[[#This Row],[_Res1Row]]),TRIM(LEFT(Tasks[[#This Row],[_Res1Text]],FIND("[",Tasks[[#This Row],[_Res1Text]]&amp;"[")-1))))</f>
        <v/>
      </c>
      <c r="DT14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1" s="43" t="n">
        <f aca="false">IF(NOT(Tasks[[#This Row],[_IsLeaf]]=1),0,(Tasks[[#This Row],[_Resource1]]&lt;&gt;"")+(Tasks[[#This Row],[_Res2]]&lt;&gt;"")+(Tasks[[#This Row],[_Res3]]&lt;&gt;"")+(Tasks[[#This Row],[_Res4]]&lt;&gt;""))</f>
        <v>0</v>
      </c>
      <c r="DV141" s="43" t="str">
        <f aca="false">IF(Tasks[[#This Row],[_Res2Text]]="","",IF(Tasks[[#This Row],[_Res2Row]]&gt;0,INDEX(res_Name,Tasks[[#This Row],[_Res2Row]]),TRIM(LEFT(Tasks[[#This Row],[_Res2Text]],FIND("[",Tasks[[#This Row],[_Res2Text]]&amp;"[")-1))))</f>
        <v/>
      </c>
      <c r="DW14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1" s="43" t="n">
        <f aca="false">IF(OR(NOT(Tasks[[#This Row],[_IsLeaf]]=1),Tasks[[#This Row],[_Res2Row]]=0),0,N(Tasks[[#This Row],[_Days]])*HoursPerDay*IF(Tasks[[#This Row],[_Res2Units]]="",DefaultUnits,Tasks[[#This Row],[_Res2Units]]))</f>
        <v>0</v>
      </c>
      <c r="DY141" s="43" t="n">
        <f aca="false">IF(AND(AND(Tasks[[#This Row],[_IsLeaf]]=1,Tasks[[#This Row],[_LeafTotalWork]]&gt;0),Tasks[[#This Row],[_Res2Work]]&gt;0),Tasks[[#This Row],[_Res2Work]]/(Tasks[[#This Row],[_FinishWorkday]]-Tasks[[#This Row],[_StartWorkday]]+1),0)</f>
        <v>0</v>
      </c>
      <c r="DZ141" s="43" t="n">
        <f aca="false">Tasks[[#This Row],[_Res2WorkPerWD]]*MAX(0,Tasks[[#This Row],[_StartWorkday]]-1)</f>
        <v>0</v>
      </c>
      <c r="EA141" s="43" t="n">
        <f aca="false">Tasks[[#This Row],[_Res2Work]]*Tasks[[#This Row],[_LeafProgress]]</f>
        <v>0</v>
      </c>
      <c r="EB141" s="43" t="str">
        <f aca="false">IF(Tasks[[#This Row],[_Res3Text]]="","",IF(Tasks[[#This Row],[_Res3Row]]&gt;0,INDEX(res_Name,Tasks[[#This Row],[_Res3Row]]),TRIM(LEFT(Tasks[[#This Row],[_Res3Text]],FIND("[",Tasks[[#This Row],[_Res3Text]]&amp;"[")-1))))</f>
        <v/>
      </c>
      <c r="EC14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1" s="43" t="n">
        <f aca="false">IF(OR(NOT(Tasks[[#This Row],[_IsLeaf]]=1),Tasks[[#This Row],[_Res3Row]]=0),0,N(Tasks[[#This Row],[_Days]])*HoursPerDay*IF(Tasks[[#This Row],[_Res3Units]]="",DefaultUnits,Tasks[[#This Row],[_Res3Units]]))</f>
        <v>0</v>
      </c>
      <c r="EE141" s="43" t="n">
        <f aca="false">IF(AND(AND(Tasks[[#This Row],[_IsLeaf]]=1,Tasks[[#This Row],[_LeafTotalWork]]&gt;0),Tasks[[#This Row],[_Res3Work]]&gt;0),Tasks[[#This Row],[_Res3Work]]/(Tasks[[#This Row],[_FinishWorkday]]-Tasks[[#This Row],[_StartWorkday]]+1),0)</f>
        <v>0</v>
      </c>
      <c r="EF141" s="43" t="n">
        <f aca="false">Tasks[[#This Row],[_Res3WorkPerWD]]*MAX(0,Tasks[[#This Row],[_StartWorkday]]-1)</f>
        <v>0</v>
      </c>
      <c r="EG141" s="43" t="n">
        <f aca="false">Tasks[[#This Row],[_Res3Work]]*Tasks[[#This Row],[_LeafProgress]]</f>
        <v>0</v>
      </c>
      <c r="EH141" s="43" t="str">
        <f aca="false">IF(Tasks[[#This Row],[_Res4Text]]="","",IF(Tasks[[#This Row],[_Res4Row]]&gt;0,INDEX(res_Name,Tasks[[#This Row],[_Res4Row]]),TRIM(LEFT(Tasks[[#This Row],[_Res4Text]],FIND("[",Tasks[[#This Row],[_Res4Text]]&amp;"[")-1))))</f>
        <v/>
      </c>
      <c r="EI14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1" s="43" t="n">
        <f aca="false">IF(OR(NOT(Tasks[[#This Row],[_IsLeaf]]=1),Tasks[[#This Row],[_Res4Row]]=0),0,N(Tasks[[#This Row],[_Days]])*HoursPerDay*IF(Tasks[[#This Row],[_Res4Units]]="",DefaultUnits,Tasks[[#This Row],[_Res4Units]]))</f>
        <v>0</v>
      </c>
      <c r="EK141" s="43" t="n">
        <f aca="false">IF(AND(AND(Tasks[[#This Row],[_IsLeaf]]=1,Tasks[[#This Row],[_LeafTotalWork]]&gt;0),Tasks[[#This Row],[_Res4Work]]&gt;0),Tasks[[#This Row],[_Res4Work]]/(Tasks[[#This Row],[_FinishWorkday]]-Tasks[[#This Row],[_StartWorkday]]+1),0)</f>
        <v>0</v>
      </c>
      <c r="EL141" s="43" t="n">
        <f aca="false">Tasks[[#This Row],[_Res4WorkPerWD]]*MAX(0,Tasks[[#This Row],[_StartWorkday]]-1)</f>
        <v>0</v>
      </c>
      <c r="EM141" s="43" t="n">
        <f aca="false">Tasks[[#This Row],[_Res4Work]]*Tasks[[#This Row],[_LeafProgress]]</f>
        <v>0</v>
      </c>
      <c r="EN141" s="43" t="n">
        <f aca="false">IF(ISNUMBER(Tasks[[#This Row],[% Complete]]),Tasks[[#This Row],[% Complete]],IF(Tasks[[#This Row],[Stage]]="",0,IFERROR(INDEX(stg_Pct,MATCH(Tasks[[#This Row],[Stage]],stg_Name,0)),0)))</f>
        <v>0</v>
      </c>
      <c r="EO141" s="43" t="n">
        <f aca="false">IF(NOT(Tasks[[#This Row],[_IsLeaf]]=1),0,IF(N(Tasks[[#This Row],[Actual Finish]])&gt;0,1,MIN(1,Tasks[[#This Row],[_Pct]])))</f>
        <v>0</v>
      </c>
      <c r="EP141" s="43" t="n">
        <f aca="false">IF(OR(NOT(Tasks[[#This Row],[_IsLeaf]]=1),Tasks[[#This Row],[_Res1Row]]=0),0,N(Tasks[[#This Row],[_Days]])*HoursPerDay*IF(Tasks[[#This Row],[_Units1]]="",DefaultUnits,Tasks[[#This Row],[_Units1]]))</f>
        <v>0</v>
      </c>
      <c r="EQ141" s="43" t="n">
        <f aca="false">Tasks[[#This Row],[_LeafWork]]+Tasks[[#This Row],[_Res2Work]]+Tasks[[#This Row],[_Res3Work]]+Tasks[[#This Row],[_Res4Work]]</f>
        <v>0</v>
      </c>
      <c r="ER14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1" s="43" t="n">
        <f aca="false">IF(NOT(Tasks[[#This Row],[_IsLeaf]]=1),0,MAX(_xlfn.MAXIFS(Tasks[_Row],Tasks[_Pred1UID],Tasks[[#This Row],[UID]]),_xlfn.MAXIFS(Tasks[_Row],Tasks[_Pred2UID],Tasks[[#This Row],[UID]]),_xlfn.MAXIFS(Tasks[_Row],Tasks[_Pred3UID],Tasks[[#This Row],[UID]]),_xlfn.MAXIFS(Tasks[_Row],Tasks[_Pred4UID],Tasks[[#This Row],[UID]])))</f>
        <v>0</v>
      </c>
      <c r="FA14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1" s="91" t="str">
        <f aca="false">IF(NOT(Tasks[[#This Row],[_IsLeaf]]=1),"",IF(N(Tasks[[#This Row],[_Days]])&lt;=0,Tasks[[#This Row],[_LeafLateFinish]],WORKDAY.INTL(Tasks[[#This Row],[_LeafLateFinish]],-(Tasks[[#This Row],[_Days]]-1),WorkWeek,Holidays)))</f>
        <v/>
      </c>
      <c r="FD14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1" s="90" t="b">
        <f aca="false">AND(Tasks[[#This Row],[_IsLeaf]]=1,Tasks[[#This Row],[_LeafProgress]]&lt;1,N(Tasks[[#This Row],[_LeafTotalSlack]])&lt;=CriticalSlackDays)</f>
        <v>0</v>
      </c>
      <c r="FF141" s="43" t="n">
        <f aca="false">IF(AND(Tasks[[#This Row],[_IsLeaf]]=1,Tasks[[#This Row],[_ConstraintCode]]=1,Tasks[[#This Row],[Mode]]&lt;&gt;"Manual",N(Tasks[[#This Row],[Actual Start]])=0),MAX(0,N(Tasks[[#This Row],[Free Slack]])),0)</f>
        <v>0</v>
      </c>
      <c r="FG141" s="91" t="str">
        <f aca="false">IF(NOT(Tasks[[#This Row],[_IsLeaf]]=1),"",IF(Tasks[[#This Row],[_AlapShift]]=0,Tasks[[#This Row],[_LeafCalcStart]],WORKDAY.INTL(Tasks[[#This Row],[_LeafCalcStart]],Tasks[[#This Row],[_AlapShift]],WorkWeek,Holidays)))</f>
        <v/>
      </c>
      <c r="FH141" s="91" t="str">
        <f aca="false">IF(NOT(Tasks[[#This Row],[_IsLeaf]]=1),"",IF(Tasks[[#This Row],[_AlapShift]]=0,Tasks[[#This Row],[_LeafCalcFinish]],WORKDAY.INTL(Tasks[[#This Row],[_LeafCalcFinish]],Tasks[[#This Row],[_AlapShift]],WorkWeek,Holidays)))</f>
        <v/>
      </c>
      <c r="FI141" s="91" t="str">
        <f aca="false">IF(NOT(Tasks[[#This Row],[_IsLeaf]]=1),"",IF(Tasks[[#This Row],[_AlapShift]]=0,Tasks[[#This Row],[_LeafFcstStart]],WORKDAY.INTL(Tasks[[#This Row],[_LeafFcstStart]],Tasks[[#This Row],[_AlapShift]],WorkWeek,Holidays)))</f>
        <v/>
      </c>
      <c r="FJ141" s="91" t="str">
        <f aca="false">IF(NOT(Tasks[[#This Row],[_IsLeaf]]=1),"",IF(Tasks[[#This Row],[_AlapShift]]=0,Tasks[[#This Row],[_LeafFcstFinish]],WORKDAY.INTL(Tasks[[#This Row],[_LeafFcstFinish]],Tasks[[#This Row],[_AlapShift]],WorkWeek,Holidays)))</f>
        <v/>
      </c>
      <c r="FK141" s="91" t="str">
        <f aca="false">IF(Tasks[[#This Row],[Task Name]]="","",IF(Tasks[[#This Row],[_IsSummary]],MIN(INDEX(Tasks[_ShownCalcStart],Tasks[[#This Row],[_Row]]+1):INDEX(Tasks[_ShownCalcStart],Tasks[[#This Row],[_Row]]+Tasks[[#This Row],[_Descendants]])),Tasks[[#This Row],[_ShownCalcStart]]))</f>
        <v/>
      </c>
      <c r="FL141" s="91" t="str">
        <f aca="false">IF(Tasks[[#This Row],[Task Name]]="","",IF(Tasks[[#This Row],[_IsSummary]],MAX(INDEX(Tasks[_ShownCalcFinish],Tasks[[#This Row],[_Row]]+1):INDEX(Tasks[_ShownCalcFinish],Tasks[[#This Row],[_Row]]+Tasks[[#This Row],[_Descendants]])),Tasks[[#This Row],[_ShownCalcFinish]]))</f>
        <v/>
      </c>
      <c r="FM14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1" s="43" t="n">
        <f aca="false">IF(AND(Tasks[[#This Row],[_IsLeaf]]=1,Tasks[[#This Row],[_LeafTotalWork]]&gt;0),NETWORKDAYS.INTL(ProjectStart,Tasks[[#This Row],[_ShownFcstStart]],WorkWeek,Holidays),0)</f>
        <v>0</v>
      </c>
      <c r="FZ141" s="43" t="n">
        <f aca="false">IF(AND(Tasks[[#This Row],[_IsLeaf]]=1,Tasks[[#This Row],[_LeafTotalWork]]&gt;0),MAX(Tasks[[#This Row],[_StartWorkday]],NETWORKDAYS.INTL(ProjectStart,Tasks[[#This Row],[_ShownFcstFinish]],WorkWeek,Holidays)),0)</f>
        <v>0</v>
      </c>
      <c r="GA141" s="43" t="n">
        <f aca="false">IF(AND(Tasks[[#This Row],[_IsLeaf]]=1,Tasks[[#This Row],[_LeafTotalWork]]&gt;0),Tasks[[#This Row],[_LeafWork]]/(Tasks[[#This Row],[_FinishWorkday]]-Tasks[[#This Row],[_StartWorkday]]+1),0)</f>
        <v>0</v>
      </c>
      <c r="GB141" s="43" t="n">
        <f aca="false">Tasks[[#This Row],[_WorkPerWorkday]]*(Tasks[[#This Row],[_StartWorkday]]-1)</f>
        <v>-0</v>
      </c>
      <c r="GC141" s="43" t="n">
        <f aca="false">IF(Tasks[[#This Row],[_IsLeaf]]=1,MAX(N(Tasks[[#This Row],[_Days]]),0.1),0)</f>
        <v>0</v>
      </c>
      <c r="GD141" s="43" t="n">
        <f aca="false">Tasks[[#This Row],[_WeightDur]]*Tasks[[#This Row],[_LeafProgress]]</f>
        <v>0</v>
      </c>
      <c r="GE141" s="43" t="n">
        <f aca="false">Tasks[[#This Row],[_WeightDur]]*Tasks[[#This Row],[_PlannedPct]]</f>
        <v>0</v>
      </c>
      <c r="GF14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1" s="43" t="str">
        <f aca="false">IF(AND(Tasks[[#This Row],[_IsLeaf]]=1,N(Tasks[[#This Row],[_Days]])=0,Tasks[[#This Row],[_LeafProgress]]&lt;1),Tasks[[#This Row],[_ShownFcstFinish]]+Tasks[[#This Row],[_Row]]/100000,"")</f>
        <v/>
      </c>
      <c r="GH14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1" s="43" t="str">
        <f aca="false">IF(Tasks[[#This Row],[Task Name]]="","",LEFT(Tasks[[#This Row],[WBS]],FIND(".",Tasks[[#This Row],[WBS]]&amp;".")-1))</f>
        <v/>
      </c>
      <c r="GJ141" s="43" t="str">
        <f aca="false">IF(AND(Tasks[[#This Row],[Task Name]]&lt;&gt;"",Tasks[[#This Row],[_Level]]=1),Tasks[[#This Row],[_Row]],"")</f>
        <v/>
      </c>
      <c r="GK141" s="43" t="str">
        <f aca="false">IF(AND(Tasks[[#This Row],[_IsLeaf]]=1,N(Tasks[[#This Row],[_Days]])=0),Tasks[[#This Row],[Planned Finish]]+Tasks[[#This Row],[_Row]]/100000,"")</f>
        <v/>
      </c>
      <c r="GL141" s="43" t="str">
        <f aca="false">IF(AND(Tasks[[#This Row],[_IsLeaf]]=1,Tasks[[#This Row],[_LeafProgress]]&lt;1,OR(N(Tasks[[#This Row],[Finish Var]])&gt;0,Tasks[[#This Row],[Status]]="Late Start")),MAX(0,Tasks[[#This Row],[Finish Var]])+1-Tasks[[#This Row],[_Row]]/1000000,"")</f>
        <v/>
      </c>
      <c r="GM141" s="43" t="str">
        <f aca="false">IF(AND(Tasks[[#This Row],[_IsLeaf]]=1,N(Tasks[[#This Row],[Actual Start]])=0,Tasks[[#This Row],[_ShownFcstStart]]&gt;=StatusDate,Tasks[[#This Row],[_ShownFcstStart]]&lt;=LookaheadEnd),Tasks[[#This Row],[_ShownFcstStart]]+Tasks[[#This Row],[_Row]]/100000,"")</f>
        <v/>
      </c>
      <c r="GN141" s="43" t="str">
        <f aca="false">IF(AND(Tasks[[#This Row],[_IsLeaf]]=1,Tasks[[#This Row],[_LeafProgress]]&lt;1,Tasks[[#This Row],[_ShownFcstFinish]]&gt;=StatusDate,Tasks[[#This Row],[_ShownFcstFinish]]&lt;=LookaheadEnd),Tasks[[#This Row],[_ShownFcstFinish]]+Tasks[[#This Row],[_Row]]/100000,"")</f>
        <v/>
      </c>
      <c r="GO141" s="43" t="str">
        <f aca="false">IF(Tasks[[#This Row],[_LeafCritical]],Tasks[[#This Row],[_ShownFcstStart]]+Tasks[[#This Row],[_Row]]/100000,"")</f>
        <v/>
      </c>
      <c r="GP141" s="43" t="n">
        <f aca="false">Tasks[[#This Row],[_LeafWork]]*Tasks[[#This Row],[_LeafProgress]]</f>
        <v>0</v>
      </c>
      <c r="GQ141" s="91" t="str">
        <f aca="false">IF(AND(Tasks[[#This Row],[_IsLeaf]]=1,Tasks[[#This Row],[_LeafProgress]]&gt;=1),IF(N(Tasks[[#This Row],[Actual Finish]])&gt;0,Tasks[[#This Row],[Actual Finish]],Tasks[[#This Row],[_ShownFcstFinish]]),"")</f>
        <v/>
      </c>
      <c r="GR141" s="43" t="n">
        <f aca="false">IF(Tasks[[#This Row],[_IsLeaf]]=1,N(Tasks[[#This Row],[Story Points]]),0)</f>
        <v>0</v>
      </c>
      <c r="GS141" s="43" t="str">
        <f aca="false">""</f>
        <v/>
      </c>
      <c r="GT141" s="90" t="b">
        <f aca="false">IF(Tasks[[#This Row],[Task Name]]="",FALSE(),AND(Tasks[[#This Row],[_IsLeaf]]=1,N(Tasks[[#This Row],[_Days]])=0))</f>
        <v>0</v>
      </c>
      <c r="GU141" s="91" t="n">
        <f aca="false">IF(Tasks[[#This Row],[Task Name]]="",0,IF(AND(Tasks[[#This Row],[_IsLeaf]]=1,NOT(Tasks[[#This Row],[_IsMilestone]]),N(Tasks[[#This Row],[Progress]])&gt;0),Tasks[[#This Row],[Start]],0))</f>
        <v>0</v>
      </c>
      <c r="GV141" s="91" t="n">
        <f aca="false">IF(Tasks[[#This Row],[_DoneFrom]]=0,0,IF(Tasks[[#This Row],[Progress]]&gt;=1,Tasks[[#This Row],[Finish]],MAX(Tasks[[#This Row],[_DoneFrom]],Tasks[[#This Row],[Start]]+ROUND((Tasks[[#This Row],[Finish]]-Tasks[[#This Row],[Start]]+1)*Tasks[[#This Row],[Progress]],0)-1)))</f>
        <v>0</v>
      </c>
      <c r="GW141" s="91" t="n">
        <f aca="false">IF(Tasks[[#This Row],[Task Name]]="",0,IF(OR(NOT(Tasks[[#This Row],[_IsLeaf]]=1),Tasks[[#This Row],[_IsMilestone]],N(Tasks[[#This Row],[Progress]])&gt;=1),0,IF(Tasks[[#This Row],[_DoneTo]]&gt;0,Tasks[[#This Row],[_DoneTo]]+1,Tasks[[#This Row],[Start]])))</f>
        <v>0</v>
      </c>
      <c r="GX141" s="91" t="n">
        <f aca="false">IF(Tasks[[#This Row],[_RemFrom]]=0,0,Tasks[[#This Row],[Finish]])</f>
        <v>0</v>
      </c>
      <c r="GY141" s="90" t="b">
        <f aca="false">IF(Tasks[[#This Row],[Task Name]]="",FALSE(),OR(NOT(BaselineSet),N(Tasks[[#This Row],[Baseline Start]])&gt;0))</f>
        <v>0</v>
      </c>
      <c r="GZ14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1" s="92" t="str">
        <f aca="false">IF(Tasks[[#This Row],[_IsLeaf]]=1,Tasks[[#This Row],[_Row]],"")</f>
        <v/>
      </c>
      <c r="HD141" s="92" t="str">
        <f aca="false">IFERROR(INDEX(Tasks[UID],SMALL(Tasks[_PickKey],Tasks[[#This Row],[_Row]]))&amp;" "&amp;INDEX(Tasks[Task Name],SMALL(Tasks[_PickKey],Tasks[[#This Row],[_Row]])),"")</f>
        <v/>
      </c>
      <c r="HE141" s="43" t="str">
        <f aca="false">IF(Tasks[[#This Row],[Task Name]]="","",IF(Tasks[[#This Row],[_IsSummary]],NETWORKDAYS.INTL(Tasks[[#This Row],[Start]],Tasks[[#This Row],[Finish]],WorkWeek,Holidays),N(Tasks[[#This Row],[_Days]])))</f>
        <v/>
      </c>
      <c r="HF141" s="43" t="n">
        <f aca="false">IF(Tasks[[#This Row],[Expected]]="",0,((Tasks[[#This Row],[Pessimistic]]-Tasks[[#This Row],[Optimistic]])/6)^2)</f>
        <v>0</v>
      </c>
      <c r="HG141" s="43" t="n">
        <f aca="false">IF(Tasks[[#This Row],[Expected]]="",0,Tasks[[#This Row],[Expected]]-N(Tasks[[#This Row],[_Days]]))</f>
        <v>0</v>
      </c>
    </row>
    <row r="142" customFormat="false" ht="15" hidden="false" customHeight="false" outlineLevel="0" collapsed="false">
      <c r="A142" s="21" t="str">
        <f aca="false">IF(Tasks[[#This Row],[Task Name]]="","",COUNTA(Tasks[[#Headers],[Task Name]]:Tasks[[#This Row],[Task Name]])-1)</f>
        <v/>
      </c>
      <c r="B142" s="22" t="n">
        <v>150</v>
      </c>
      <c r="C142" s="22"/>
      <c r="D142" s="23"/>
      <c r="E142" s="22"/>
      <c r="F142" s="23"/>
      <c r="G142" s="22"/>
      <c r="H142" s="22"/>
      <c r="I142" s="23"/>
      <c r="J142" s="22"/>
      <c r="K142" s="22"/>
      <c r="L142" s="23"/>
      <c r="M142" s="22"/>
      <c r="N142" s="22"/>
      <c r="O142" s="23"/>
      <c r="P142" s="22"/>
      <c r="Q142" s="22"/>
      <c r="R142" s="23"/>
      <c r="S142" s="23"/>
      <c r="T142" s="84"/>
      <c r="U142" s="23"/>
      <c r="V142" s="84"/>
      <c r="W142" s="23"/>
      <c r="X142" s="84"/>
      <c r="Y142" s="23"/>
      <c r="Z142" s="84"/>
      <c r="AA142" s="23"/>
      <c r="AB142" s="23"/>
      <c r="AC142" s="7"/>
      <c r="AD142" s="7"/>
      <c r="AE142" s="63" t="str">
        <f aca="false">IF(Tasks[[#This Row],[Task Name]]="","",IF(Tasks[[#This Row],[_IsSummary]],MIN(INDEX(Tasks[_ShownFcstStart],Tasks[[#This Row],[_Row]]+1):INDEX(Tasks[_ShownFcstStart],Tasks[[#This Row],[_Row]]+Tasks[[#This Row],[_Descendants]])),Tasks[[#This Row],[_ShownFcstStart]]))</f>
        <v/>
      </c>
      <c r="AF142" s="63" t="str">
        <f aca="false">IF(Tasks[[#This Row],[Task Name]]="","",IF(Tasks[[#This Row],[_IsSummary]],MAX(INDEX(Tasks[_ShownFcstFinish],Tasks[[#This Row],[_Row]]+1):INDEX(Tasks[_ShownFcstFinish],Tasks[[#This Row],[_Row]]+Tasks[[#This Row],[_Descendants]])),Tasks[[#This Row],[_ShownFcstFinish]]))</f>
        <v/>
      </c>
      <c r="AG142" s="21" t="str">
        <f aca="false">""</f>
        <v/>
      </c>
      <c r="AH142" s="23"/>
      <c r="AI1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2" s="7"/>
      <c r="AK142" s="22"/>
      <c r="AL142" s="23"/>
      <c r="AM142" s="7"/>
      <c r="AN142" s="47" t="str">
        <f aca="false">IF(Tasks[[#This Row],[Task Name]]="","",IF(Tasks[[#This Row],[Finish]]&gt;=Tasks[[#This Row],[Planned Finish]],NETWORKDAYS.INTL(Tasks[[#This Row],[Planned Finish]],Tasks[[#This Row],[Finish]],WorkWeek,Holidays)-1,1-NETWORKDAYS.INTL(Tasks[[#This Row],[Finish]],Tasks[[#This Row],[Planned Finish]],WorkWeek,Holidays)))</f>
        <v/>
      </c>
      <c r="AO142" s="21" t="str">
        <f aca="false">IF(Tasks[[#This Row],[Task Name]]="","",IF(Tasks[[#This Row],[Progress]]&gt;=1,"Complete",IF(OR(N(Tasks[[#This Row],[Actual Start]])&gt;0,Tasks[[#This Row],[Progress]]&gt;0),IF(Tasks[[#This Row],[Finish Var]]&gt;0,"Behind","In Progress"),IF(Tasks[[#This Row],[Planned Start]]&lt;StatusDate,"Late Start","Not Started"))))</f>
        <v/>
      </c>
      <c r="AP142" s="21" t="str">
        <f aca="false">IF(Tasks[[#This Row],[Task Name]]="","",IF(IF(Tasks[[#This Row],[_IsSummary]],COUNTIF(INDEX(Tasks[_LeafCritical],Tasks[[#This Row],[_Row]]+1):INDEX(Tasks[_LeafCritical],Tasks[[#This Row],[_Row]]+Tasks[[#This Row],[_Descendants]]),TRUE())&gt;0,Tasks[[#This Row],[_LeafCritical]]),"Yes",""))</f>
        <v/>
      </c>
      <c r="AQ142" s="63" t="str">
        <f aca="false">IF(Tasks[[#This Row],[Task Name]]="","",IF(N(Tasks[[#This Row],[Baseline Start]])&gt;0,Tasks[[#This Row],[Baseline Start]],Tasks[[#This Row],[_CalcStart]]))</f>
        <v/>
      </c>
      <c r="AR142" s="63" t="str">
        <f aca="false">IF(Tasks[[#This Row],[Task Name]]="","",IF(N(Tasks[[#This Row],[Baseline Finish]])&gt;0,Tasks[[#This Row],[Baseline Finish]],Tasks[[#This Row],[_CalcFinish]]))</f>
        <v/>
      </c>
      <c r="AS142" s="47" t="str">
        <f aca="false">IF(Tasks[[#This Row],[Task Name]]="","",IF(Tasks[[#This Row],[Start]]&gt;=Tasks[[#This Row],[Planned Start]],NETWORKDAYS.INTL(Tasks[[#This Row],[Planned Start]],Tasks[[#This Row],[Start]],WorkWeek,Holidays)-1,1-NETWORKDAYS.INTL(Tasks[[#This Row],[Start]],Tasks[[#This Row],[Planned Start]],WorkWeek,Holidays)))</f>
        <v/>
      </c>
      <c r="AT142" s="63" t="str">
        <f aca="false">IF(Tasks[[#This Row],[Task Name]]="","",IF(Tasks[[#This Row],[_IsSummary]],MIN(INDEX(Tasks[_LeafLateStart],Tasks[[#This Row],[_Row]]+1):INDEX(Tasks[_LeafLateStart],Tasks[[#This Row],[_Row]]+Tasks[[#This Row],[_Descendants]])),Tasks[[#This Row],[_LeafLateStart]]))</f>
        <v/>
      </c>
      <c r="AU142" s="63" t="str">
        <f aca="false">IF(Tasks[[#This Row],[Task Name]]="","",IF(Tasks[[#This Row],[_IsSummary]],MAX(INDEX(Tasks[_LeafLateFinish],Tasks[[#This Row],[_Row]]+1):INDEX(Tasks[_LeafLateFinish],Tasks[[#This Row],[_Row]]+Tasks[[#This Row],[_Descendants]])),Tasks[[#This Row],[_LeafLateFinish]]))</f>
        <v/>
      </c>
      <c r="AV142" s="47" t="str">
        <f aca="false">IF(Tasks[[#This Row],[Task Name]]="","",IF(Tasks[[#This Row],[_IsSummary]],MIN(INDEX(Tasks[_LeafTotalSlack],Tasks[[#This Row],[_Row]]+1):INDEX(Tasks[_LeafTotalSlack],Tasks[[#This Row],[_Row]]+Tasks[[#This Row],[_Descendants]])),Tasks[[#This Row],[_LeafTotalSlack]]))</f>
        <v/>
      </c>
      <c r="AW1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5"/>
      <c r="BA14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1" t="str">
        <f aca="false">IF(Tasks[[#This Row],[Task Name]]="","",IF(Tasks[[#This Row],[_Level]]&lt;=OutlineShowLevel,"Yes","No"))</f>
        <v/>
      </c>
      <c r="BE142" s="86" t="str">
        <f aca="false">IF(Tasks[[#This Row],[Task Name]]="","",IF(Tasks[[#This Row],[_IsSummary]],SUM(INDEX(Tasks[_LeafTotalWork],Tasks[[#This Row],[_Row]]+1):INDEX(Tasks[_LeafTotalWork],Tasks[[#This Row],[_Row]]+Tasks[[#This Row],[_Descendants]])),Tasks[[#This Row],[_LeafTotalWork]]))</f>
        <v/>
      </c>
      <c r="BF142" s="23"/>
      <c r="BG1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2" s="21" t="str">
        <f aca="false">""</f>
        <v/>
      </c>
      <c r="BI142" s="87"/>
      <c r="BJ142" s="22"/>
      <c r="BK142" s="47" t="str">
        <f aca="false">IF(OR(Tasks[[#This Row],[Task Name]]="",Tasks[[#This Row],[Baseline Duration]]=""),"",Tasks[[#This Row],[_SpanDays]]-N(Tasks[[#This Row],[Baseline Duration]]))</f>
        <v/>
      </c>
      <c r="BL142" s="86" t="str">
        <f aca="false">IF(OR(Tasks[[#This Row],[Task Name]]="",Tasks[[#This Row],[Baseline Work]]=""),"",Tasks[[#This Row],[Work]]-N(Tasks[[#This Row],[Baseline Work]]))</f>
        <v/>
      </c>
      <c r="BM142" s="63" t="str">
        <f aca="false">IF(Tasks[[#This Row],[Task Name]]="","",IF(OR(TakeBaseline="Yes",N(Tasks[[#This Row],[Baseline Start]])=0),Tasks[[#This Row],[Start]],Tasks[[#This Row],[Baseline Start]]))</f>
        <v/>
      </c>
      <c r="BN142" s="63" t="str">
        <f aca="false">IF(Tasks[[#This Row],[Task Name]]="","",IF(OR(TakeBaseline="Yes",N(Tasks[[#This Row],[Baseline Finish]])=0),Tasks[[#This Row],[Finish]],Tasks[[#This Row],[Baseline Finish]]))</f>
        <v/>
      </c>
      <c r="BO142" s="21" t="str">
        <f aca="false">IF(Tasks[[#This Row],[Task Name]]="","",IF(OR(TakeBaseline="Yes",N(Tasks[[#This Row],[Baseline Duration]])=0),Tasks[[#This Row],[_SpanDays]],Tasks[[#This Row],[Baseline Duration]]))</f>
        <v/>
      </c>
      <c r="BP142" s="86" t="str">
        <f aca="false">IF(Tasks[[#This Row],[Task Name]]="","",IF(OR(TakeBaseline="Yes",N(Tasks[[#This Row],[Baseline Work]])=0),Tasks[[#This Row],[Work]],Tasks[[#This Row],[Baseline Work]]))</f>
        <v/>
      </c>
      <c r="BQ142" s="7"/>
      <c r="BR142" s="7"/>
      <c r="BS142" s="22"/>
      <c r="BT142" s="88"/>
      <c r="BU142" s="23"/>
      <c r="BV142" s="23"/>
      <c r="BW142" s="23"/>
      <c r="BX142" s="89" t="str">
        <f aca="false">IF(AND(Tasks[[#This Row],[_IsLeaf]]=1,ISNUMBER(Tasks[[#This Row],[Optimistic]]),ISNUMBER(Tasks[[#This Row],[Pessimistic]])),ROUND((Tasks[[#This Row],[Optimistic]]+4*N(Tasks[[#This Row],[_Days]])+Tasks[[#This Row],[Pessimistic]])/6,1),"")</f>
        <v/>
      </c>
      <c r="BY142" s="87"/>
      <c r="BZ142" s="87"/>
      <c r="CA142" s="22"/>
      <c r="CB142" s="43" t="str">
        <f aca="false">IF(Tasks[[#This Row],[Task Name]]="","",MAX(1,N(Tasks[[#This Row],[Level]])))</f>
        <v/>
      </c>
      <c r="CC142" s="43" t="n">
        <f aca="false">ROW()-ROW(Tasks[[#Headers],[ID]])</f>
        <v>137</v>
      </c>
      <c r="CD142" s="43" t="n">
        <f aca="false">IF(OR(Tasks[[#This Row],[Task Name]]="",Tasks[[#This Row],[_Level]]&lt;=1),0,IFERROR(LOOKUP(2,1/(Tasks[[#Headers],[_Level]]:Tasks[[#This Row],[_Level]]=Tasks[[#This Row],[_Level]]-1),ROW(Tasks[[#Headers],[_Level]]:Tasks[[#This Row],[_Level]])),0))</f>
        <v>0</v>
      </c>
      <c r="CE142" s="43" t="n">
        <f aca="false">IFERROR(N(INDEX(Tasks[_Level],Tasks[[#This Row],[_Row]]+1)),0)</f>
        <v>0</v>
      </c>
      <c r="CF142" s="90" t="b">
        <f aca="false">AND(Tasks[[#This Row],[Task Name]]&lt;&gt;"",Tasks[[#This Row],[_NextLevel]]&gt;Tasks[[#This Row],[_Level]])</f>
        <v>0</v>
      </c>
      <c r="CG142" s="43" t="n">
        <f aca="false">IF(Tasks[[#This Row],[_IsSummary]],COUNTIF(Tasks[WBS],Tasks[[#This Row],[WBS]]&amp;".*"),0)</f>
        <v>0</v>
      </c>
      <c r="CH142" s="43" t="n">
        <f aca="false">IF(AND(Tasks[[#This Row],[Task Name]]&lt;&gt;"",NOT(Tasks[[#This Row],[_IsSummary]])),1,0)</f>
        <v>0</v>
      </c>
      <c r="CI142" s="43" t="n">
        <f aca="false">IF(N(Tasks[[#This Row],[_Pred1UID]])=0,0,IFERROR(MATCH(Tasks[[#This Row],[_Pred1UID]],Tasks[UID],0),-1))</f>
        <v>0</v>
      </c>
      <c r="CJ142" s="43" t="n">
        <f aca="false">IF(N(Tasks[[#This Row],[_Pred2UID]])=0,0,IFERROR(MATCH(Tasks[[#This Row],[_Pred2UID]],Tasks[UID],0),-1))</f>
        <v>0</v>
      </c>
      <c r="CK142" s="43" t="n">
        <f aca="false">IF(N(Tasks[[#This Row],[_Pred3UID]])=0,0,IFERROR(MATCH(Tasks[[#This Row],[_Pred3UID]],Tasks[UID],0),-1))</f>
        <v>0</v>
      </c>
      <c r="CL142" s="43" t="n">
        <f aca="false">IF(N(Tasks[[#This Row],[_Pred4UID]])=0,0,IFERROR(MATCH(Tasks[[#This Row],[_Pred4UID]],Tasks[UID],0),-1))</f>
        <v>0</v>
      </c>
      <c r="CM14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2" s="91" t="n">
        <f aca="false">IF(OR(Tasks[[#This Row],[_ConstraintCode]]=2,Tasks[[#This Row],[_ConstraintCode]]=3,Tasks[[#This Row],[_ConstraintCode]]=4,Tasks[[#This Row],[_ConstraintCode]]=6),Tasks[[#This Row],[_ConstraintStart]],0)</f>
        <v>0</v>
      </c>
      <c r="CP142" s="91" t="n">
        <f aca="false">IF(OR(Tasks[[#This Row],[_ConstraintCode]]=2,Tasks[[#This Row],[_ConstraintCode]]=3,Tasks[[#This Row],[_ConstraintCode]]=5,Tasks[[#This Row],[_ConstraintCode]]=7),Tasks[[#This Row],[_ConstraintStart]],2958465)</f>
        <v>2958465</v>
      </c>
      <c r="CQ14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2" s="91" t="str">
        <f aca="false">IF(NOT(Tasks[[#This Row],[_IsLeaf]]=1),"",IF(N(Tasks[[#This Row],[_Days]])&lt;=0,Tasks[[#This Row],[_LeafCalcStart]],WORKDAY.INTL(Tasks[[#This Row],[_LeafCalcStart]],Tasks[[#This Row],[_Days]]-1,WorkWeek,Holidays)))</f>
        <v/>
      </c>
      <c r="CS14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2" s="43" t="str">
        <f aca="false">IF(Tasks[[#This Row],[_Predecessors]]="","",TRIM(MID(SUBSTITUTE(SUBSTITUTE(SUBSTITUTE(UPPER(Tasks[[#This Row],[_Predecessors]]),";",",")," ",""),",",REPT(" ",99)),1,99)))</f>
        <v/>
      </c>
      <c r="CV142" s="43" t="str">
        <f aca="false">IF(Tasks[[#This Row],[_Pred1Text]]="","",IFERROR(VALUE(LEFT(Tasks[[#This Row],[_Pred1Text]],MIN(FIND("F",Tasks[[#This Row],[_Pred1Text]]&amp;"F"),FIND("S",Tasks[[#This Row],[_Pred1Text]]&amp;"S"),FIND("+",Tasks[[#This Row],[_Pred1Text]]&amp;"+"),FIND("-",Tasks[[#This Row],[_Pred1Text]]&amp;"-"))-1)),""))</f>
        <v/>
      </c>
      <c r="CW14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2" s="43" t="str">
        <f aca="false">IF(Tasks[[#This Row],[_Pred1Text]]="","",TRIM(MID(SUBSTITUTE(SUBSTITUTE(SUBSTITUTE(UPPER(Tasks[[#This Row],[_Predecessors]]),";",",")," ",""),",",REPT(" ",99)),100,99)))</f>
        <v/>
      </c>
      <c r="CZ142" s="43" t="str">
        <f aca="false">IF(Tasks[[#This Row],[_Pred2Text]]="","",IFERROR(VALUE(LEFT(Tasks[[#This Row],[_Pred2Text]],MIN(FIND("F",Tasks[[#This Row],[_Pred2Text]]&amp;"F"),FIND("S",Tasks[[#This Row],[_Pred2Text]]&amp;"S"),FIND("+",Tasks[[#This Row],[_Pred2Text]]&amp;"+"),FIND("-",Tasks[[#This Row],[_Pred2Text]]&amp;"-"))-1)),""))</f>
        <v/>
      </c>
      <c r="DA14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2" s="43" t="str">
        <f aca="false">IF(Tasks[[#This Row],[_Pred2Text]]="","",TRIM(MID(SUBSTITUTE(SUBSTITUTE(SUBSTITUTE(UPPER(Tasks[[#This Row],[_Predecessors]]),";",",")," ",""),",",REPT(" ",99)),199,99)))</f>
        <v/>
      </c>
      <c r="DD142" s="43" t="str">
        <f aca="false">IF(Tasks[[#This Row],[_Pred3Text]]="","",IFERROR(VALUE(LEFT(Tasks[[#This Row],[_Pred3Text]],MIN(FIND("F",Tasks[[#This Row],[_Pred3Text]]&amp;"F"),FIND("S",Tasks[[#This Row],[_Pred3Text]]&amp;"S"),FIND("+",Tasks[[#This Row],[_Pred3Text]]&amp;"+"),FIND("-",Tasks[[#This Row],[_Pred3Text]]&amp;"-"))-1)),""))</f>
        <v/>
      </c>
      <c r="DE14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2" s="43" t="str">
        <f aca="false">IF(Tasks[[#This Row],[_Pred3Text]]="","",TRIM(MID(SUBSTITUTE(SUBSTITUTE(SUBSTITUTE(UPPER(Tasks[[#This Row],[_Predecessors]]),";",",")," ",""),",",REPT(" ",99)),298,99)))</f>
        <v/>
      </c>
      <c r="DH142" s="43" t="str">
        <f aca="false">IF(Tasks[[#This Row],[_Pred4Text]]="","",IFERROR(VALUE(LEFT(Tasks[[#This Row],[_Pred4Text]],MIN(FIND("F",Tasks[[#This Row],[_Pred4Text]]&amp;"F"),FIND("S",Tasks[[#This Row],[_Pred4Text]]&amp;"S"),FIND("+",Tasks[[#This Row],[_Pred4Text]]&amp;"+"),FIND("-",Tasks[[#This Row],[_Pred4Text]]&amp;"-"))-1)),""))</f>
        <v/>
      </c>
      <c r="DI14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2" s="43" t="str">
        <f aca="false">IF(OR(Tasks[[#This Row],[Task Name]]="",Tasks[[#This Row],[_Resources]]=""),"",TRIM(MID(SUBSTITUTE(Tasks[[#This Row],[_Resources]],",",REPT(" ",99)),1,99)))</f>
        <v/>
      </c>
      <c r="DL142" s="43" t="str">
        <f aca="false">IF(Tasks[[#This Row],[_Res1Text]]="","",TRIM(MID(SUBSTITUTE(Tasks[[#This Row],[_Resources]],",",REPT(" ",99)),100,99)))</f>
        <v/>
      </c>
      <c r="DM142" s="43" t="str">
        <f aca="false">IF(Tasks[[#This Row],[_Res2Text]]="","",TRIM(MID(SUBSTITUTE(Tasks[[#This Row],[_Resources]],",",REPT(" ",99)),199,99)))</f>
        <v/>
      </c>
      <c r="DN142" s="43" t="str">
        <f aca="false">IF(Tasks[[#This Row],[_Res3Text]]="","",TRIM(MID(SUBSTITUTE(Tasks[[#This Row],[_Resources]],",",REPT(" ",99)),298,99)))</f>
        <v/>
      </c>
      <c r="DO142" s="43" t="n">
        <f aca="false">IF(Tasks[[#This Row],[_Res1Text]]="",0,IFERROR(MATCH(TRIM(LEFT(Tasks[[#This Row],[_Res1Text]],FIND("[",Tasks[[#This Row],[_Res1Text]]&amp;"[")-1)),res_Name,0),IFERROR(MATCH(TRIM(LEFT(Tasks[[#This Row],[_Res1Text]],FIND("[",Tasks[[#This Row],[_Res1Text]]&amp;"[")-1)),res_Initials,0),0)))</f>
        <v>0</v>
      </c>
      <c r="DP142" s="43" t="n">
        <f aca="false">IF(Tasks[[#This Row],[_Res2Text]]="",0,IFERROR(MATCH(TRIM(LEFT(Tasks[[#This Row],[_Res2Text]],FIND("[",Tasks[[#This Row],[_Res2Text]]&amp;"[")-1)),res_Name,0),IFERROR(MATCH(TRIM(LEFT(Tasks[[#This Row],[_Res2Text]],FIND("[",Tasks[[#This Row],[_Res2Text]]&amp;"[")-1)),res_Initials,0),0)))</f>
        <v>0</v>
      </c>
      <c r="DQ142" s="43" t="n">
        <f aca="false">IF(Tasks[[#This Row],[_Res3Text]]="",0,IFERROR(MATCH(TRIM(LEFT(Tasks[[#This Row],[_Res3Text]],FIND("[",Tasks[[#This Row],[_Res3Text]]&amp;"[")-1)),res_Name,0),IFERROR(MATCH(TRIM(LEFT(Tasks[[#This Row],[_Res3Text]],FIND("[",Tasks[[#This Row],[_Res3Text]]&amp;"[")-1)),res_Initials,0),0)))</f>
        <v>0</v>
      </c>
      <c r="DR142" s="43" t="n">
        <f aca="false">IF(Tasks[[#This Row],[_Res4Text]]="",0,IFERROR(MATCH(TRIM(LEFT(Tasks[[#This Row],[_Res4Text]],FIND("[",Tasks[[#This Row],[_Res4Text]]&amp;"[")-1)),res_Name,0),IFERROR(MATCH(TRIM(LEFT(Tasks[[#This Row],[_Res4Text]],FIND("[",Tasks[[#This Row],[_Res4Text]]&amp;"[")-1)),res_Initials,0),0)))</f>
        <v>0</v>
      </c>
      <c r="DS142" s="43" t="str">
        <f aca="false">IF(Tasks[[#This Row],[_Res1Text]]="","",IF(Tasks[[#This Row],[_Res1Row]]&gt;0,INDEX(res_Name,Tasks[[#This Row],[_Res1Row]]),TRIM(LEFT(Tasks[[#This Row],[_Res1Text]],FIND("[",Tasks[[#This Row],[_Res1Text]]&amp;"[")-1))))</f>
        <v/>
      </c>
      <c r="DT14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2" s="43" t="n">
        <f aca="false">IF(NOT(Tasks[[#This Row],[_IsLeaf]]=1),0,(Tasks[[#This Row],[_Resource1]]&lt;&gt;"")+(Tasks[[#This Row],[_Res2]]&lt;&gt;"")+(Tasks[[#This Row],[_Res3]]&lt;&gt;"")+(Tasks[[#This Row],[_Res4]]&lt;&gt;""))</f>
        <v>0</v>
      </c>
      <c r="DV142" s="43" t="str">
        <f aca="false">IF(Tasks[[#This Row],[_Res2Text]]="","",IF(Tasks[[#This Row],[_Res2Row]]&gt;0,INDEX(res_Name,Tasks[[#This Row],[_Res2Row]]),TRIM(LEFT(Tasks[[#This Row],[_Res2Text]],FIND("[",Tasks[[#This Row],[_Res2Text]]&amp;"[")-1))))</f>
        <v/>
      </c>
      <c r="DW14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2" s="43" t="n">
        <f aca="false">IF(OR(NOT(Tasks[[#This Row],[_IsLeaf]]=1),Tasks[[#This Row],[_Res2Row]]=0),0,N(Tasks[[#This Row],[_Days]])*HoursPerDay*IF(Tasks[[#This Row],[_Res2Units]]="",DefaultUnits,Tasks[[#This Row],[_Res2Units]]))</f>
        <v>0</v>
      </c>
      <c r="DY142" s="43" t="n">
        <f aca="false">IF(AND(AND(Tasks[[#This Row],[_IsLeaf]]=1,Tasks[[#This Row],[_LeafTotalWork]]&gt;0),Tasks[[#This Row],[_Res2Work]]&gt;0),Tasks[[#This Row],[_Res2Work]]/(Tasks[[#This Row],[_FinishWorkday]]-Tasks[[#This Row],[_StartWorkday]]+1),0)</f>
        <v>0</v>
      </c>
      <c r="DZ142" s="43" t="n">
        <f aca="false">Tasks[[#This Row],[_Res2WorkPerWD]]*MAX(0,Tasks[[#This Row],[_StartWorkday]]-1)</f>
        <v>0</v>
      </c>
      <c r="EA142" s="43" t="n">
        <f aca="false">Tasks[[#This Row],[_Res2Work]]*Tasks[[#This Row],[_LeafProgress]]</f>
        <v>0</v>
      </c>
      <c r="EB142" s="43" t="str">
        <f aca="false">IF(Tasks[[#This Row],[_Res3Text]]="","",IF(Tasks[[#This Row],[_Res3Row]]&gt;0,INDEX(res_Name,Tasks[[#This Row],[_Res3Row]]),TRIM(LEFT(Tasks[[#This Row],[_Res3Text]],FIND("[",Tasks[[#This Row],[_Res3Text]]&amp;"[")-1))))</f>
        <v/>
      </c>
      <c r="EC14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2" s="43" t="n">
        <f aca="false">IF(OR(NOT(Tasks[[#This Row],[_IsLeaf]]=1),Tasks[[#This Row],[_Res3Row]]=0),0,N(Tasks[[#This Row],[_Days]])*HoursPerDay*IF(Tasks[[#This Row],[_Res3Units]]="",DefaultUnits,Tasks[[#This Row],[_Res3Units]]))</f>
        <v>0</v>
      </c>
      <c r="EE142" s="43" t="n">
        <f aca="false">IF(AND(AND(Tasks[[#This Row],[_IsLeaf]]=1,Tasks[[#This Row],[_LeafTotalWork]]&gt;0),Tasks[[#This Row],[_Res3Work]]&gt;0),Tasks[[#This Row],[_Res3Work]]/(Tasks[[#This Row],[_FinishWorkday]]-Tasks[[#This Row],[_StartWorkday]]+1),0)</f>
        <v>0</v>
      </c>
      <c r="EF142" s="43" t="n">
        <f aca="false">Tasks[[#This Row],[_Res3WorkPerWD]]*MAX(0,Tasks[[#This Row],[_StartWorkday]]-1)</f>
        <v>0</v>
      </c>
      <c r="EG142" s="43" t="n">
        <f aca="false">Tasks[[#This Row],[_Res3Work]]*Tasks[[#This Row],[_LeafProgress]]</f>
        <v>0</v>
      </c>
      <c r="EH142" s="43" t="str">
        <f aca="false">IF(Tasks[[#This Row],[_Res4Text]]="","",IF(Tasks[[#This Row],[_Res4Row]]&gt;0,INDEX(res_Name,Tasks[[#This Row],[_Res4Row]]),TRIM(LEFT(Tasks[[#This Row],[_Res4Text]],FIND("[",Tasks[[#This Row],[_Res4Text]]&amp;"[")-1))))</f>
        <v/>
      </c>
      <c r="EI14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2" s="43" t="n">
        <f aca="false">IF(OR(NOT(Tasks[[#This Row],[_IsLeaf]]=1),Tasks[[#This Row],[_Res4Row]]=0),0,N(Tasks[[#This Row],[_Days]])*HoursPerDay*IF(Tasks[[#This Row],[_Res4Units]]="",DefaultUnits,Tasks[[#This Row],[_Res4Units]]))</f>
        <v>0</v>
      </c>
      <c r="EK142" s="43" t="n">
        <f aca="false">IF(AND(AND(Tasks[[#This Row],[_IsLeaf]]=1,Tasks[[#This Row],[_LeafTotalWork]]&gt;0),Tasks[[#This Row],[_Res4Work]]&gt;0),Tasks[[#This Row],[_Res4Work]]/(Tasks[[#This Row],[_FinishWorkday]]-Tasks[[#This Row],[_StartWorkday]]+1),0)</f>
        <v>0</v>
      </c>
      <c r="EL142" s="43" t="n">
        <f aca="false">Tasks[[#This Row],[_Res4WorkPerWD]]*MAX(0,Tasks[[#This Row],[_StartWorkday]]-1)</f>
        <v>0</v>
      </c>
      <c r="EM142" s="43" t="n">
        <f aca="false">Tasks[[#This Row],[_Res4Work]]*Tasks[[#This Row],[_LeafProgress]]</f>
        <v>0</v>
      </c>
      <c r="EN142" s="43" t="n">
        <f aca="false">IF(ISNUMBER(Tasks[[#This Row],[% Complete]]),Tasks[[#This Row],[% Complete]],IF(Tasks[[#This Row],[Stage]]="",0,IFERROR(INDEX(stg_Pct,MATCH(Tasks[[#This Row],[Stage]],stg_Name,0)),0)))</f>
        <v>0</v>
      </c>
      <c r="EO142" s="43" t="n">
        <f aca="false">IF(NOT(Tasks[[#This Row],[_IsLeaf]]=1),0,IF(N(Tasks[[#This Row],[Actual Finish]])&gt;0,1,MIN(1,Tasks[[#This Row],[_Pct]])))</f>
        <v>0</v>
      </c>
      <c r="EP142" s="43" t="n">
        <f aca="false">IF(OR(NOT(Tasks[[#This Row],[_IsLeaf]]=1),Tasks[[#This Row],[_Res1Row]]=0),0,N(Tasks[[#This Row],[_Days]])*HoursPerDay*IF(Tasks[[#This Row],[_Units1]]="",DefaultUnits,Tasks[[#This Row],[_Units1]]))</f>
        <v>0</v>
      </c>
      <c r="EQ142" s="43" t="n">
        <f aca="false">Tasks[[#This Row],[_LeafWork]]+Tasks[[#This Row],[_Res2Work]]+Tasks[[#This Row],[_Res3Work]]+Tasks[[#This Row],[_Res4Work]]</f>
        <v>0</v>
      </c>
      <c r="ER14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2" s="43" t="n">
        <f aca="false">IF(NOT(Tasks[[#This Row],[_IsLeaf]]=1),0,MAX(_xlfn.MAXIFS(Tasks[_Row],Tasks[_Pred1UID],Tasks[[#This Row],[UID]]),_xlfn.MAXIFS(Tasks[_Row],Tasks[_Pred2UID],Tasks[[#This Row],[UID]]),_xlfn.MAXIFS(Tasks[_Row],Tasks[_Pred3UID],Tasks[[#This Row],[UID]]),_xlfn.MAXIFS(Tasks[_Row],Tasks[_Pred4UID],Tasks[[#This Row],[UID]])))</f>
        <v>0</v>
      </c>
      <c r="FA14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2" s="91" t="str">
        <f aca="false">IF(NOT(Tasks[[#This Row],[_IsLeaf]]=1),"",IF(N(Tasks[[#This Row],[_Days]])&lt;=0,Tasks[[#This Row],[_LeafLateFinish]],WORKDAY.INTL(Tasks[[#This Row],[_LeafLateFinish]],-(Tasks[[#This Row],[_Days]]-1),WorkWeek,Holidays)))</f>
        <v/>
      </c>
      <c r="FD14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2" s="90" t="b">
        <f aca="false">AND(Tasks[[#This Row],[_IsLeaf]]=1,Tasks[[#This Row],[_LeafProgress]]&lt;1,N(Tasks[[#This Row],[_LeafTotalSlack]])&lt;=CriticalSlackDays)</f>
        <v>0</v>
      </c>
      <c r="FF142" s="43" t="n">
        <f aca="false">IF(AND(Tasks[[#This Row],[_IsLeaf]]=1,Tasks[[#This Row],[_ConstraintCode]]=1,Tasks[[#This Row],[Mode]]&lt;&gt;"Manual",N(Tasks[[#This Row],[Actual Start]])=0),MAX(0,N(Tasks[[#This Row],[Free Slack]])),0)</f>
        <v>0</v>
      </c>
      <c r="FG142" s="91" t="str">
        <f aca="false">IF(NOT(Tasks[[#This Row],[_IsLeaf]]=1),"",IF(Tasks[[#This Row],[_AlapShift]]=0,Tasks[[#This Row],[_LeafCalcStart]],WORKDAY.INTL(Tasks[[#This Row],[_LeafCalcStart]],Tasks[[#This Row],[_AlapShift]],WorkWeek,Holidays)))</f>
        <v/>
      </c>
      <c r="FH142" s="91" t="str">
        <f aca="false">IF(NOT(Tasks[[#This Row],[_IsLeaf]]=1),"",IF(Tasks[[#This Row],[_AlapShift]]=0,Tasks[[#This Row],[_LeafCalcFinish]],WORKDAY.INTL(Tasks[[#This Row],[_LeafCalcFinish]],Tasks[[#This Row],[_AlapShift]],WorkWeek,Holidays)))</f>
        <v/>
      </c>
      <c r="FI142" s="91" t="str">
        <f aca="false">IF(NOT(Tasks[[#This Row],[_IsLeaf]]=1),"",IF(Tasks[[#This Row],[_AlapShift]]=0,Tasks[[#This Row],[_LeafFcstStart]],WORKDAY.INTL(Tasks[[#This Row],[_LeafFcstStart]],Tasks[[#This Row],[_AlapShift]],WorkWeek,Holidays)))</f>
        <v/>
      </c>
      <c r="FJ142" s="91" t="str">
        <f aca="false">IF(NOT(Tasks[[#This Row],[_IsLeaf]]=1),"",IF(Tasks[[#This Row],[_AlapShift]]=0,Tasks[[#This Row],[_LeafFcstFinish]],WORKDAY.INTL(Tasks[[#This Row],[_LeafFcstFinish]],Tasks[[#This Row],[_AlapShift]],WorkWeek,Holidays)))</f>
        <v/>
      </c>
      <c r="FK142" s="91" t="str">
        <f aca="false">IF(Tasks[[#This Row],[Task Name]]="","",IF(Tasks[[#This Row],[_IsSummary]],MIN(INDEX(Tasks[_ShownCalcStart],Tasks[[#This Row],[_Row]]+1):INDEX(Tasks[_ShownCalcStart],Tasks[[#This Row],[_Row]]+Tasks[[#This Row],[_Descendants]])),Tasks[[#This Row],[_ShownCalcStart]]))</f>
        <v/>
      </c>
      <c r="FL142" s="91" t="str">
        <f aca="false">IF(Tasks[[#This Row],[Task Name]]="","",IF(Tasks[[#This Row],[_IsSummary]],MAX(INDEX(Tasks[_ShownCalcFinish],Tasks[[#This Row],[_Row]]+1):INDEX(Tasks[_ShownCalcFinish],Tasks[[#This Row],[_Row]]+Tasks[[#This Row],[_Descendants]])),Tasks[[#This Row],[_ShownCalcFinish]]))</f>
        <v/>
      </c>
      <c r="FM14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2" s="43" t="n">
        <f aca="false">IF(AND(Tasks[[#This Row],[_IsLeaf]]=1,Tasks[[#This Row],[_LeafTotalWork]]&gt;0),NETWORKDAYS.INTL(ProjectStart,Tasks[[#This Row],[_ShownFcstStart]],WorkWeek,Holidays),0)</f>
        <v>0</v>
      </c>
      <c r="FZ142" s="43" t="n">
        <f aca="false">IF(AND(Tasks[[#This Row],[_IsLeaf]]=1,Tasks[[#This Row],[_LeafTotalWork]]&gt;0),MAX(Tasks[[#This Row],[_StartWorkday]],NETWORKDAYS.INTL(ProjectStart,Tasks[[#This Row],[_ShownFcstFinish]],WorkWeek,Holidays)),0)</f>
        <v>0</v>
      </c>
      <c r="GA142" s="43" t="n">
        <f aca="false">IF(AND(Tasks[[#This Row],[_IsLeaf]]=1,Tasks[[#This Row],[_LeafTotalWork]]&gt;0),Tasks[[#This Row],[_LeafWork]]/(Tasks[[#This Row],[_FinishWorkday]]-Tasks[[#This Row],[_StartWorkday]]+1),0)</f>
        <v>0</v>
      </c>
      <c r="GB142" s="43" t="n">
        <f aca="false">Tasks[[#This Row],[_WorkPerWorkday]]*(Tasks[[#This Row],[_StartWorkday]]-1)</f>
        <v>-0</v>
      </c>
      <c r="GC142" s="43" t="n">
        <f aca="false">IF(Tasks[[#This Row],[_IsLeaf]]=1,MAX(N(Tasks[[#This Row],[_Days]]),0.1),0)</f>
        <v>0</v>
      </c>
      <c r="GD142" s="43" t="n">
        <f aca="false">Tasks[[#This Row],[_WeightDur]]*Tasks[[#This Row],[_LeafProgress]]</f>
        <v>0</v>
      </c>
      <c r="GE142" s="43" t="n">
        <f aca="false">Tasks[[#This Row],[_WeightDur]]*Tasks[[#This Row],[_PlannedPct]]</f>
        <v>0</v>
      </c>
      <c r="GF14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2" s="43" t="str">
        <f aca="false">IF(AND(Tasks[[#This Row],[_IsLeaf]]=1,N(Tasks[[#This Row],[_Days]])=0,Tasks[[#This Row],[_LeafProgress]]&lt;1),Tasks[[#This Row],[_ShownFcstFinish]]+Tasks[[#This Row],[_Row]]/100000,"")</f>
        <v/>
      </c>
      <c r="GH14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2" s="43" t="str">
        <f aca="false">IF(Tasks[[#This Row],[Task Name]]="","",LEFT(Tasks[[#This Row],[WBS]],FIND(".",Tasks[[#This Row],[WBS]]&amp;".")-1))</f>
        <v/>
      </c>
      <c r="GJ142" s="43" t="str">
        <f aca="false">IF(AND(Tasks[[#This Row],[Task Name]]&lt;&gt;"",Tasks[[#This Row],[_Level]]=1),Tasks[[#This Row],[_Row]],"")</f>
        <v/>
      </c>
      <c r="GK142" s="43" t="str">
        <f aca="false">IF(AND(Tasks[[#This Row],[_IsLeaf]]=1,N(Tasks[[#This Row],[_Days]])=0),Tasks[[#This Row],[Planned Finish]]+Tasks[[#This Row],[_Row]]/100000,"")</f>
        <v/>
      </c>
      <c r="GL142" s="43" t="str">
        <f aca="false">IF(AND(Tasks[[#This Row],[_IsLeaf]]=1,Tasks[[#This Row],[_LeafProgress]]&lt;1,OR(N(Tasks[[#This Row],[Finish Var]])&gt;0,Tasks[[#This Row],[Status]]="Late Start")),MAX(0,Tasks[[#This Row],[Finish Var]])+1-Tasks[[#This Row],[_Row]]/1000000,"")</f>
        <v/>
      </c>
      <c r="GM142" s="43" t="str">
        <f aca="false">IF(AND(Tasks[[#This Row],[_IsLeaf]]=1,N(Tasks[[#This Row],[Actual Start]])=0,Tasks[[#This Row],[_ShownFcstStart]]&gt;=StatusDate,Tasks[[#This Row],[_ShownFcstStart]]&lt;=LookaheadEnd),Tasks[[#This Row],[_ShownFcstStart]]+Tasks[[#This Row],[_Row]]/100000,"")</f>
        <v/>
      </c>
      <c r="GN142" s="43" t="str">
        <f aca="false">IF(AND(Tasks[[#This Row],[_IsLeaf]]=1,Tasks[[#This Row],[_LeafProgress]]&lt;1,Tasks[[#This Row],[_ShownFcstFinish]]&gt;=StatusDate,Tasks[[#This Row],[_ShownFcstFinish]]&lt;=LookaheadEnd),Tasks[[#This Row],[_ShownFcstFinish]]+Tasks[[#This Row],[_Row]]/100000,"")</f>
        <v/>
      </c>
      <c r="GO142" s="43" t="str">
        <f aca="false">IF(Tasks[[#This Row],[_LeafCritical]],Tasks[[#This Row],[_ShownFcstStart]]+Tasks[[#This Row],[_Row]]/100000,"")</f>
        <v/>
      </c>
      <c r="GP142" s="43" t="n">
        <f aca="false">Tasks[[#This Row],[_LeafWork]]*Tasks[[#This Row],[_LeafProgress]]</f>
        <v>0</v>
      </c>
      <c r="GQ142" s="91" t="str">
        <f aca="false">IF(AND(Tasks[[#This Row],[_IsLeaf]]=1,Tasks[[#This Row],[_LeafProgress]]&gt;=1),IF(N(Tasks[[#This Row],[Actual Finish]])&gt;0,Tasks[[#This Row],[Actual Finish]],Tasks[[#This Row],[_ShownFcstFinish]]),"")</f>
        <v/>
      </c>
      <c r="GR142" s="43" t="n">
        <f aca="false">IF(Tasks[[#This Row],[_IsLeaf]]=1,N(Tasks[[#This Row],[Story Points]]),0)</f>
        <v>0</v>
      </c>
      <c r="GS142" s="43" t="str">
        <f aca="false">""</f>
        <v/>
      </c>
      <c r="GT142" s="90" t="b">
        <f aca="false">IF(Tasks[[#This Row],[Task Name]]="",FALSE(),AND(Tasks[[#This Row],[_IsLeaf]]=1,N(Tasks[[#This Row],[_Days]])=0))</f>
        <v>0</v>
      </c>
      <c r="GU142" s="91" t="n">
        <f aca="false">IF(Tasks[[#This Row],[Task Name]]="",0,IF(AND(Tasks[[#This Row],[_IsLeaf]]=1,NOT(Tasks[[#This Row],[_IsMilestone]]),N(Tasks[[#This Row],[Progress]])&gt;0),Tasks[[#This Row],[Start]],0))</f>
        <v>0</v>
      </c>
      <c r="GV142" s="91" t="n">
        <f aca="false">IF(Tasks[[#This Row],[_DoneFrom]]=0,0,IF(Tasks[[#This Row],[Progress]]&gt;=1,Tasks[[#This Row],[Finish]],MAX(Tasks[[#This Row],[_DoneFrom]],Tasks[[#This Row],[Start]]+ROUND((Tasks[[#This Row],[Finish]]-Tasks[[#This Row],[Start]]+1)*Tasks[[#This Row],[Progress]],0)-1)))</f>
        <v>0</v>
      </c>
      <c r="GW142" s="91" t="n">
        <f aca="false">IF(Tasks[[#This Row],[Task Name]]="",0,IF(OR(NOT(Tasks[[#This Row],[_IsLeaf]]=1),Tasks[[#This Row],[_IsMilestone]],N(Tasks[[#This Row],[Progress]])&gt;=1),0,IF(Tasks[[#This Row],[_DoneTo]]&gt;0,Tasks[[#This Row],[_DoneTo]]+1,Tasks[[#This Row],[Start]])))</f>
        <v>0</v>
      </c>
      <c r="GX142" s="91" t="n">
        <f aca="false">IF(Tasks[[#This Row],[_RemFrom]]=0,0,Tasks[[#This Row],[Finish]])</f>
        <v>0</v>
      </c>
      <c r="GY142" s="90" t="b">
        <f aca="false">IF(Tasks[[#This Row],[Task Name]]="",FALSE(),OR(NOT(BaselineSet),N(Tasks[[#This Row],[Baseline Start]])&gt;0))</f>
        <v>0</v>
      </c>
      <c r="GZ14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2" s="92" t="str">
        <f aca="false">IF(Tasks[[#This Row],[_IsLeaf]]=1,Tasks[[#This Row],[_Row]],"")</f>
        <v/>
      </c>
      <c r="HD142" s="92" t="str">
        <f aca="false">IFERROR(INDEX(Tasks[UID],SMALL(Tasks[_PickKey],Tasks[[#This Row],[_Row]]))&amp;" "&amp;INDEX(Tasks[Task Name],SMALL(Tasks[_PickKey],Tasks[[#This Row],[_Row]])),"")</f>
        <v/>
      </c>
      <c r="HE142" s="43" t="str">
        <f aca="false">IF(Tasks[[#This Row],[Task Name]]="","",IF(Tasks[[#This Row],[_IsSummary]],NETWORKDAYS.INTL(Tasks[[#This Row],[Start]],Tasks[[#This Row],[Finish]],WorkWeek,Holidays),N(Tasks[[#This Row],[_Days]])))</f>
        <v/>
      </c>
      <c r="HF142" s="43" t="n">
        <f aca="false">IF(Tasks[[#This Row],[Expected]]="",0,((Tasks[[#This Row],[Pessimistic]]-Tasks[[#This Row],[Optimistic]])/6)^2)</f>
        <v>0</v>
      </c>
      <c r="HG142" s="43" t="n">
        <f aca="false">IF(Tasks[[#This Row],[Expected]]="",0,Tasks[[#This Row],[Expected]]-N(Tasks[[#This Row],[_Days]]))</f>
        <v>0</v>
      </c>
    </row>
    <row r="143" customFormat="false" ht="15" hidden="false" customHeight="false" outlineLevel="0" collapsed="false">
      <c r="A143" s="21" t="str">
        <f aca="false">IF(Tasks[[#This Row],[Task Name]]="","",COUNTA(Tasks[[#Headers],[Task Name]]:Tasks[[#This Row],[Task Name]])-1)</f>
        <v/>
      </c>
      <c r="B143" s="22" t="n">
        <v>151</v>
      </c>
      <c r="C143" s="22"/>
      <c r="D143" s="23"/>
      <c r="E143" s="22"/>
      <c r="F143" s="23"/>
      <c r="G143" s="22"/>
      <c r="H143" s="22"/>
      <c r="I143" s="23"/>
      <c r="J143" s="22"/>
      <c r="K143" s="22"/>
      <c r="L143" s="23"/>
      <c r="M143" s="22"/>
      <c r="N143" s="22"/>
      <c r="O143" s="23"/>
      <c r="P143" s="22"/>
      <c r="Q143" s="22"/>
      <c r="R143" s="23"/>
      <c r="S143" s="23"/>
      <c r="T143" s="84"/>
      <c r="U143" s="23"/>
      <c r="V143" s="84"/>
      <c r="W143" s="23"/>
      <c r="X143" s="84"/>
      <c r="Y143" s="23"/>
      <c r="Z143" s="84"/>
      <c r="AA143" s="23"/>
      <c r="AB143" s="23"/>
      <c r="AC143" s="7"/>
      <c r="AD143" s="7"/>
      <c r="AE143" s="63" t="str">
        <f aca="false">IF(Tasks[[#This Row],[Task Name]]="","",IF(Tasks[[#This Row],[_IsSummary]],MIN(INDEX(Tasks[_ShownFcstStart],Tasks[[#This Row],[_Row]]+1):INDEX(Tasks[_ShownFcstStart],Tasks[[#This Row],[_Row]]+Tasks[[#This Row],[_Descendants]])),Tasks[[#This Row],[_ShownFcstStart]]))</f>
        <v/>
      </c>
      <c r="AF143" s="63" t="str">
        <f aca="false">IF(Tasks[[#This Row],[Task Name]]="","",IF(Tasks[[#This Row],[_IsSummary]],MAX(INDEX(Tasks[_ShownFcstFinish],Tasks[[#This Row],[_Row]]+1):INDEX(Tasks[_ShownFcstFinish],Tasks[[#This Row],[_Row]]+Tasks[[#This Row],[_Descendants]])),Tasks[[#This Row],[_ShownFcstFinish]]))</f>
        <v/>
      </c>
      <c r="AG143" s="21" t="str">
        <f aca="false">""</f>
        <v/>
      </c>
      <c r="AH143" s="23"/>
      <c r="AI1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3" s="7"/>
      <c r="AK143" s="22"/>
      <c r="AL143" s="23"/>
      <c r="AM143" s="7"/>
      <c r="AN143" s="47" t="str">
        <f aca="false">IF(Tasks[[#This Row],[Task Name]]="","",IF(Tasks[[#This Row],[Finish]]&gt;=Tasks[[#This Row],[Planned Finish]],NETWORKDAYS.INTL(Tasks[[#This Row],[Planned Finish]],Tasks[[#This Row],[Finish]],WorkWeek,Holidays)-1,1-NETWORKDAYS.INTL(Tasks[[#This Row],[Finish]],Tasks[[#This Row],[Planned Finish]],WorkWeek,Holidays)))</f>
        <v/>
      </c>
      <c r="AO143" s="21" t="str">
        <f aca="false">IF(Tasks[[#This Row],[Task Name]]="","",IF(Tasks[[#This Row],[Progress]]&gt;=1,"Complete",IF(OR(N(Tasks[[#This Row],[Actual Start]])&gt;0,Tasks[[#This Row],[Progress]]&gt;0),IF(Tasks[[#This Row],[Finish Var]]&gt;0,"Behind","In Progress"),IF(Tasks[[#This Row],[Planned Start]]&lt;StatusDate,"Late Start","Not Started"))))</f>
        <v/>
      </c>
      <c r="AP143" s="21" t="str">
        <f aca="false">IF(Tasks[[#This Row],[Task Name]]="","",IF(IF(Tasks[[#This Row],[_IsSummary]],COUNTIF(INDEX(Tasks[_LeafCritical],Tasks[[#This Row],[_Row]]+1):INDEX(Tasks[_LeafCritical],Tasks[[#This Row],[_Row]]+Tasks[[#This Row],[_Descendants]]),TRUE())&gt;0,Tasks[[#This Row],[_LeafCritical]]),"Yes",""))</f>
        <v/>
      </c>
      <c r="AQ143" s="63" t="str">
        <f aca="false">IF(Tasks[[#This Row],[Task Name]]="","",IF(N(Tasks[[#This Row],[Baseline Start]])&gt;0,Tasks[[#This Row],[Baseline Start]],Tasks[[#This Row],[_CalcStart]]))</f>
        <v/>
      </c>
      <c r="AR143" s="63" t="str">
        <f aca="false">IF(Tasks[[#This Row],[Task Name]]="","",IF(N(Tasks[[#This Row],[Baseline Finish]])&gt;0,Tasks[[#This Row],[Baseline Finish]],Tasks[[#This Row],[_CalcFinish]]))</f>
        <v/>
      </c>
      <c r="AS143" s="47" t="str">
        <f aca="false">IF(Tasks[[#This Row],[Task Name]]="","",IF(Tasks[[#This Row],[Start]]&gt;=Tasks[[#This Row],[Planned Start]],NETWORKDAYS.INTL(Tasks[[#This Row],[Planned Start]],Tasks[[#This Row],[Start]],WorkWeek,Holidays)-1,1-NETWORKDAYS.INTL(Tasks[[#This Row],[Start]],Tasks[[#This Row],[Planned Start]],WorkWeek,Holidays)))</f>
        <v/>
      </c>
      <c r="AT143" s="63" t="str">
        <f aca="false">IF(Tasks[[#This Row],[Task Name]]="","",IF(Tasks[[#This Row],[_IsSummary]],MIN(INDEX(Tasks[_LeafLateStart],Tasks[[#This Row],[_Row]]+1):INDEX(Tasks[_LeafLateStart],Tasks[[#This Row],[_Row]]+Tasks[[#This Row],[_Descendants]])),Tasks[[#This Row],[_LeafLateStart]]))</f>
        <v/>
      </c>
      <c r="AU143" s="63" t="str">
        <f aca="false">IF(Tasks[[#This Row],[Task Name]]="","",IF(Tasks[[#This Row],[_IsSummary]],MAX(INDEX(Tasks[_LeafLateFinish],Tasks[[#This Row],[_Row]]+1):INDEX(Tasks[_LeafLateFinish],Tasks[[#This Row],[_Row]]+Tasks[[#This Row],[_Descendants]])),Tasks[[#This Row],[_LeafLateFinish]]))</f>
        <v/>
      </c>
      <c r="AV143" s="47" t="str">
        <f aca="false">IF(Tasks[[#This Row],[Task Name]]="","",IF(Tasks[[#This Row],[_IsSummary]],MIN(INDEX(Tasks[_LeafTotalSlack],Tasks[[#This Row],[_Row]]+1):INDEX(Tasks[_LeafTotalSlack],Tasks[[#This Row],[_Row]]+Tasks[[#This Row],[_Descendants]])),Tasks[[#This Row],[_LeafTotalSlack]]))</f>
        <v/>
      </c>
      <c r="AW1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5"/>
      <c r="BA14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1" t="str">
        <f aca="false">IF(Tasks[[#This Row],[Task Name]]="","",IF(Tasks[[#This Row],[_Level]]&lt;=OutlineShowLevel,"Yes","No"))</f>
        <v/>
      </c>
      <c r="BE143" s="86" t="str">
        <f aca="false">IF(Tasks[[#This Row],[Task Name]]="","",IF(Tasks[[#This Row],[_IsSummary]],SUM(INDEX(Tasks[_LeafTotalWork],Tasks[[#This Row],[_Row]]+1):INDEX(Tasks[_LeafTotalWork],Tasks[[#This Row],[_Row]]+Tasks[[#This Row],[_Descendants]])),Tasks[[#This Row],[_LeafTotalWork]]))</f>
        <v/>
      </c>
      <c r="BF143" s="23"/>
      <c r="BG1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3" s="21" t="str">
        <f aca="false">""</f>
        <v/>
      </c>
      <c r="BI143" s="87"/>
      <c r="BJ143" s="22"/>
      <c r="BK143" s="47" t="str">
        <f aca="false">IF(OR(Tasks[[#This Row],[Task Name]]="",Tasks[[#This Row],[Baseline Duration]]=""),"",Tasks[[#This Row],[_SpanDays]]-N(Tasks[[#This Row],[Baseline Duration]]))</f>
        <v/>
      </c>
      <c r="BL143" s="86" t="str">
        <f aca="false">IF(OR(Tasks[[#This Row],[Task Name]]="",Tasks[[#This Row],[Baseline Work]]=""),"",Tasks[[#This Row],[Work]]-N(Tasks[[#This Row],[Baseline Work]]))</f>
        <v/>
      </c>
      <c r="BM143" s="63" t="str">
        <f aca="false">IF(Tasks[[#This Row],[Task Name]]="","",IF(OR(TakeBaseline="Yes",N(Tasks[[#This Row],[Baseline Start]])=0),Tasks[[#This Row],[Start]],Tasks[[#This Row],[Baseline Start]]))</f>
        <v/>
      </c>
      <c r="BN143" s="63" t="str">
        <f aca="false">IF(Tasks[[#This Row],[Task Name]]="","",IF(OR(TakeBaseline="Yes",N(Tasks[[#This Row],[Baseline Finish]])=0),Tasks[[#This Row],[Finish]],Tasks[[#This Row],[Baseline Finish]]))</f>
        <v/>
      </c>
      <c r="BO143" s="21" t="str">
        <f aca="false">IF(Tasks[[#This Row],[Task Name]]="","",IF(OR(TakeBaseline="Yes",N(Tasks[[#This Row],[Baseline Duration]])=0),Tasks[[#This Row],[_SpanDays]],Tasks[[#This Row],[Baseline Duration]]))</f>
        <v/>
      </c>
      <c r="BP143" s="86" t="str">
        <f aca="false">IF(Tasks[[#This Row],[Task Name]]="","",IF(OR(TakeBaseline="Yes",N(Tasks[[#This Row],[Baseline Work]])=0),Tasks[[#This Row],[Work]],Tasks[[#This Row],[Baseline Work]]))</f>
        <v/>
      </c>
      <c r="BQ143" s="7"/>
      <c r="BR143" s="7"/>
      <c r="BS143" s="22"/>
      <c r="BT143" s="88"/>
      <c r="BU143" s="23"/>
      <c r="BV143" s="23"/>
      <c r="BW143" s="23"/>
      <c r="BX143" s="89" t="str">
        <f aca="false">IF(AND(Tasks[[#This Row],[_IsLeaf]]=1,ISNUMBER(Tasks[[#This Row],[Optimistic]]),ISNUMBER(Tasks[[#This Row],[Pessimistic]])),ROUND((Tasks[[#This Row],[Optimistic]]+4*N(Tasks[[#This Row],[_Days]])+Tasks[[#This Row],[Pessimistic]])/6,1),"")</f>
        <v/>
      </c>
      <c r="BY143" s="87"/>
      <c r="BZ143" s="87"/>
      <c r="CA143" s="22"/>
      <c r="CB143" s="43" t="str">
        <f aca="false">IF(Tasks[[#This Row],[Task Name]]="","",MAX(1,N(Tasks[[#This Row],[Level]])))</f>
        <v/>
      </c>
      <c r="CC143" s="43" t="n">
        <f aca="false">ROW()-ROW(Tasks[[#Headers],[ID]])</f>
        <v>138</v>
      </c>
      <c r="CD143" s="43" t="n">
        <f aca="false">IF(OR(Tasks[[#This Row],[Task Name]]="",Tasks[[#This Row],[_Level]]&lt;=1),0,IFERROR(LOOKUP(2,1/(Tasks[[#Headers],[_Level]]:Tasks[[#This Row],[_Level]]=Tasks[[#This Row],[_Level]]-1),ROW(Tasks[[#Headers],[_Level]]:Tasks[[#This Row],[_Level]])),0))</f>
        <v>0</v>
      </c>
      <c r="CE143" s="43" t="n">
        <f aca="false">IFERROR(N(INDEX(Tasks[_Level],Tasks[[#This Row],[_Row]]+1)),0)</f>
        <v>0</v>
      </c>
      <c r="CF143" s="90" t="b">
        <f aca="false">AND(Tasks[[#This Row],[Task Name]]&lt;&gt;"",Tasks[[#This Row],[_NextLevel]]&gt;Tasks[[#This Row],[_Level]])</f>
        <v>0</v>
      </c>
      <c r="CG143" s="43" t="n">
        <f aca="false">IF(Tasks[[#This Row],[_IsSummary]],COUNTIF(Tasks[WBS],Tasks[[#This Row],[WBS]]&amp;".*"),0)</f>
        <v>0</v>
      </c>
      <c r="CH143" s="43" t="n">
        <f aca="false">IF(AND(Tasks[[#This Row],[Task Name]]&lt;&gt;"",NOT(Tasks[[#This Row],[_IsSummary]])),1,0)</f>
        <v>0</v>
      </c>
      <c r="CI143" s="43" t="n">
        <f aca="false">IF(N(Tasks[[#This Row],[_Pred1UID]])=0,0,IFERROR(MATCH(Tasks[[#This Row],[_Pred1UID]],Tasks[UID],0),-1))</f>
        <v>0</v>
      </c>
      <c r="CJ143" s="43" t="n">
        <f aca="false">IF(N(Tasks[[#This Row],[_Pred2UID]])=0,0,IFERROR(MATCH(Tasks[[#This Row],[_Pred2UID]],Tasks[UID],0),-1))</f>
        <v>0</v>
      </c>
      <c r="CK143" s="43" t="n">
        <f aca="false">IF(N(Tasks[[#This Row],[_Pred3UID]])=0,0,IFERROR(MATCH(Tasks[[#This Row],[_Pred3UID]],Tasks[UID],0),-1))</f>
        <v>0</v>
      </c>
      <c r="CL143" s="43" t="n">
        <f aca="false">IF(N(Tasks[[#This Row],[_Pred4UID]])=0,0,IFERROR(MATCH(Tasks[[#This Row],[_Pred4UID]],Tasks[UID],0),-1))</f>
        <v>0</v>
      </c>
      <c r="CM14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3" s="91" t="n">
        <f aca="false">IF(OR(Tasks[[#This Row],[_ConstraintCode]]=2,Tasks[[#This Row],[_ConstraintCode]]=3,Tasks[[#This Row],[_ConstraintCode]]=4,Tasks[[#This Row],[_ConstraintCode]]=6),Tasks[[#This Row],[_ConstraintStart]],0)</f>
        <v>0</v>
      </c>
      <c r="CP143" s="91" t="n">
        <f aca="false">IF(OR(Tasks[[#This Row],[_ConstraintCode]]=2,Tasks[[#This Row],[_ConstraintCode]]=3,Tasks[[#This Row],[_ConstraintCode]]=5,Tasks[[#This Row],[_ConstraintCode]]=7),Tasks[[#This Row],[_ConstraintStart]],2958465)</f>
        <v>2958465</v>
      </c>
      <c r="CQ14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3" s="91" t="str">
        <f aca="false">IF(NOT(Tasks[[#This Row],[_IsLeaf]]=1),"",IF(N(Tasks[[#This Row],[_Days]])&lt;=0,Tasks[[#This Row],[_LeafCalcStart]],WORKDAY.INTL(Tasks[[#This Row],[_LeafCalcStart]],Tasks[[#This Row],[_Days]]-1,WorkWeek,Holidays)))</f>
        <v/>
      </c>
      <c r="CS14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3" s="43" t="str">
        <f aca="false">IF(Tasks[[#This Row],[_Predecessors]]="","",TRIM(MID(SUBSTITUTE(SUBSTITUTE(SUBSTITUTE(UPPER(Tasks[[#This Row],[_Predecessors]]),";",",")," ",""),",",REPT(" ",99)),1,99)))</f>
        <v/>
      </c>
      <c r="CV143" s="43" t="str">
        <f aca="false">IF(Tasks[[#This Row],[_Pred1Text]]="","",IFERROR(VALUE(LEFT(Tasks[[#This Row],[_Pred1Text]],MIN(FIND("F",Tasks[[#This Row],[_Pred1Text]]&amp;"F"),FIND("S",Tasks[[#This Row],[_Pred1Text]]&amp;"S"),FIND("+",Tasks[[#This Row],[_Pred1Text]]&amp;"+"),FIND("-",Tasks[[#This Row],[_Pred1Text]]&amp;"-"))-1)),""))</f>
        <v/>
      </c>
      <c r="CW14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3" s="43" t="str">
        <f aca="false">IF(Tasks[[#This Row],[_Pred1Text]]="","",TRIM(MID(SUBSTITUTE(SUBSTITUTE(SUBSTITUTE(UPPER(Tasks[[#This Row],[_Predecessors]]),";",",")," ",""),",",REPT(" ",99)),100,99)))</f>
        <v/>
      </c>
      <c r="CZ143" s="43" t="str">
        <f aca="false">IF(Tasks[[#This Row],[_Pred2Text]]="","",IFERROR(VALUE(LEFT(Tasks[[#This Row],[_Pred2Text]],MIN(FIND("F",Tasks[[#This Row],[_Pred2Text]]&amp;"F"),FIND("S",Tasks[[#This Row],[_Pred2Text]]&amp;"S"),FIND("+",Tasks[[#This Row],[_Pred2Text]]&amp;"+"),FIND("-",Tasks[[#This Row],[_Pred2Text]]&amp;"-"))-1)),""))</f>
        <v/>
      </c>
      <c r="DA14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3" s="43" t="str">
        <f aca="false">IF(Tasks[[#This Row],[_Pred2Text]]="","",TRIM(MID(SUBSTITUTE(SUBSTITUTE(SUBSTITUTE(UPPER(Tasks[[#This Row],[_Predecessors]]),";",",")," ",""),",",REPT(" ",99)),199,99)))</f>
        <v/>
      </c>
      <c r="DD143" s="43" t="str">
        <f aca="false">IF(Tasks[[#This Row],[_Pred3Text]]="","",IFERROR(VALUE(LEFT(Tasks[[#This Row],[_Pred3Text]],MIN(FIND("F",Tasks[[#This Row],[_Pred3Text]]&amp;"F"),FIND("S",Tasks[[#This Row],[_Pred3Text]]&amp;"S"),FIND("+",Tasks[[#This Row],[_Pred3Text]]&amp;"+"),FIND("-",Tasks[[#This Row],[_Pred3Text]]&amp;"-"))-1)),""))</f>
        <v/>
      </c>
      <c r="DE14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3" s="43" t="str">
        <f aca="false">IF(Tasks[[#This Row],[_Pred3Text]]="","",TRIM(MID(SUBSTITUTE(SUBSTITUTE(SUBSTITUTE(UPPER(Tasks[[#This Row],[_Predecessors]]),";",",")," ",""),",",REPT(" ",99)),298,99)))</f>
        <v/>
      </c>
      <c r="DH143" s="43" t="str">
        <f aca="false">IF(Tasks[[#This Row],[_Pred4Text]]="","",IFERROR(VALUE(LEFT(Tasks[[#This Row],[_Pred4Text]],MIN(FIND("F",Tasks[[#This Row],[_Pred4Text]]&amp;"F"),FIND("S",Tasks[[#This Row],[_Pred4Text]]&amp;"S"),FIND("+",Tasks[[#This Row],[_Pred4Text]]&amp;"+"),FIND("-",Tasks[[#This Row],[_Pred4Text]]&amp;"-"))-1)),""))</f>
        <v/>
      </c>
      <c r="DI14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3" s="43" t="str">
        <f aca="false">IF(OR(Tasks[[#This Row],[Task Name]]="",Tasks[[#This Row],[_Resources]]=""),"",TRIM(MID(SUBSTITUTE(Tasks[[#This Row],[_Resources]],",",REPT(" ",99)),1,99)))</f>
        <v/>
      </c>
      <c r="DL143" s="43" t="str">
        <f aca="false">IF(Tasks[[#This Row],[_Res1Text]]="","",TRIM(MID(SUBSTITUTE(Tasks[[#This Row],[_Resources]],",",REPT(" ",99)),100,99)))</f>
        <v/>
      </c>
      <c r="DM143" s="43" t="str">
        <f aca="false">IF(Tasks[[#This Row],[_Res2Text]]="","",TRIM(MID(SUBSTITUTE(Tasks[[#This Row],[_Resources]],",",REPT(" ",99)),199,99)))</f>
        <v/>
      </c>
      <c r="DN143" s="43" t="str">
        <f aca="false">IF(Tasks[[#This Row],[_Res3Text]]="","",TRIM(MID(SUBSTITUTE(Tasks[[#This Row],[_Resources]],",",REPT(" ",99)),298,99)))</f>
        <v/>
      </c>
      <c r="DO143" s="43" t="n">
        <f aca="false">IF(Tasks[[#This Row],[_Res1Text]]="",0,IFERROR(MATCH(TRIM(LEFT(Tasks[[#This Row],[_Res1Text]],FIND("[",Tasks[[#This Row],[_Res1Text]]&amp;"[")-1)),res_Name,0),IFERROR(MATCH(TRIM(LEFT(Tasks[[#This Row],[_Res1Text]],FIND("[",Tasks[[#This Row],[_Res1Text]]&amp;"[")-1)),res_Initials,0),0)))</f>
        <v>0</v>
      </c>
      <c r="DP143" s="43" t="n">
        <f aca="false">IF(Tasks[[#This Row],[_Res2Text]]="",0,IFERROR(MATCH(TRIM(LEFT(Tasks[[#This Row],[_Res2Text]],FIND("[",Tasks[[#This Row],[_Res2Text]]&amp;"[")-1)),res_Name,0),IFERROR(MATCH(TRIM(LEFT(Tasks[[#This Row],[_Res2Text]],FIND("[",Tasks[[#This Row],[_Res2Text]]&amp;"[")-1)),res_Initials,0),0)))</f>
        <v>0</v>
      </c>
      <c r="DQ143" s="43" t="n">
        <f aca="false">IF(Tasks[[#This Row],[_Res3Text]]="",0,IFERROR(MATCH(TRIM(LEFT(Tasks[[#This Row],[_Res3Text]],FIND("[",Tasks[[#This Row],[_Res3Text]]&amp;"[")-1)),res_Name,0),IFERROR(MATCH(TRIM(LEFT(Tasks[[#This Row],[_Res3Text]],FIND("[",Tasks[[#This Row],[_Res3Text]]&amp;"[")-1)),res_Initials,0),0)))</f>
        <v>0</v>
      </c>
      <c r="DR143" s="43" t="n">
        <f aca="false">IF(Tasks[[#This Row],[_Res4Text]]="",0,IFERROR(MATCH(TRIM(LEFT(Tasks[[#This Row],[_Res4Text]],FIND("[",Tasks[[#This Row],[_Res4Text]]&amp;"[")-1)),res_Name,0),IFERROR(MATCH(TRIM(LEFT(Tasks[[#This Row],[_Res4Text]],FIND("[",Tasks[[#This Row],[_Res4Text]]&amp;"[")-1)),res_Initials,0),0)))</f>
        <v>0</v>
      </c>
      <c r="DS143" s="43" t="str">
        <f aca="false">IF(Tasks[[#This Row],[_Res1Text]]="","",IF(Tasks[[#This Row],[_Res1Row]]&gt;0,INDEX(res_Name,Tasks[[#This Row],[_Res1Row]]),TRIM(LEFT(Tasks[[#This Row],[_Res1Text]],FIND("[",Tasks[[#This Row],[_Res1Text]]&amp;"[")-1))))</f>
        <v/>
      </c>
      <c r="DT14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3" s="43" t="n">
        <f aca="false">IF(NOT(Tasks[[#This Row],[_IsLeaf]]=1),0,(Tasks[[#This Row],[_Resource1]]&lt;&gt;"")+(Tasks[[#This Row],[_Res2]]&lt;&gt;"")+(Tasks[[#This Row],[_Res3]]&lt;&gt;"")+(Tasks[[#This Row],[_Res4]]&lt;&gt;""))</f>
        <v>0</v>
      </c>
      <c r="DV143" s="43" t="str">
        <f aca="false">IF(Tasks[[#This Row],[_Res2Text]]="","",IF(Tasks[[#This Row],[_Res2Row]]&gt;0,INDEX(res_Name,Tasks[[#This Row],[_Res2Row]]),TRIM(LEFT(Tasks[[#This Row],[_Res2Text]],FIND("[",Tasks[[#This Row],[_Res2Text]]&amp;"[")-1))))</f>
        <v/>
      </c>
      <c r="DW14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3" s="43" t="n">
        <f aca="false">IF(OR(NOT(Tasks[[#This Row],[_IsLeaf]]=1),Tasks[[#This Row],[_Res2Row]]=0),0,N(Tasks[[#This Row],[_Days]])*HoursPerDay*IF(Tasks[[#This Row],[_Res2Units]]="",DefaultUnits,Tasks[[#This Row],[_Res2Units]]))</f>
        <v>0</v>
      </c>
      <c r="DY143" s="43" t="n">
        <f aca="false">IF(AND(AND(Tasks[[#This Row],[_IsLeaf]]=1,Tasks[[#This Row],[_LeafTotalWork]]&gt;0),Tasks[[#This Row],[_Res2Work]]&gt;0),Tasks[[#This Row],[_Res2Work]]/(Tasks[[#This Row],[_FinishWorkday]]-Tasks[[#This Row],[_StartWorkday]]+1),0)</f>
        <v>0</v>
      </c>
      <c r="DZ143" s="43" t="n">
        <f aca="false">Tasks[[#This Row],[_Res2WorkPerWD]]*MAX(0,Tasks[[#This Row],[_StartWorkday]]-1)</f>
        <v>0</v>
      </c>
      <c r="EA143" s="43" t="n">
        <f aca="false">Tasks[[#This Row],[_Res2Work]]*Tasks[[#This Row],[_LeafProgress]]</f>
        <v>0</v>
      </c>
      <c r="EB143" s="43" t="str">
        <f aca="false">IF(Tasks[[#This Row],[_Res3Text]]="","",IF(Tasks[[#This Row],[_Res3Row]]&gt;0,INDEX(res_Name,Tasks[[#This Row],[_Res3Row]]),TRIM(LEFT(Tasks[[#This Row],[_Res3Text]],FIND("[",Tasks[[#This Row],[_Res3Text]]&amp;"[")-1))))</f>
        <v/>
      </c>
      <c r="EC14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3" s="43" t="n">
        <f aca="false">IF(OR(NOT(Tasks[[#This Row],[_IsLeaf]]=1),Tasks[[#This Row],[_Res3Row]]=0),0,N(Tasks[[#This Row],[_Days]])*HoursPerDay*IF(Tasks[[#This Row],[_Res3Units]]="",DefaultUnits,Tasks[[#This Row],[_Res3Units]]))</f>
        <v>0</v>
      </c>
      <c r="EE143" s="43" t="n">
        <f aca="false">IF(AND(AND(Tasks[[#This Row],[_IsLeaf]]=1,Tasks[[#This Row],[_LeafTotalWork]]&gt;0),Tasks[[#This Row],[_Res3Work]]&gt;0),Tasks[[#This Row],[_Res3Work]]/(Tasks[[#This Row],[_FinishWorkday]]-Tasks[[#This Row],[_StartWorkday]]+1),0)</f>
        <v>0</v>
      </c>
      <c r="EF143" s="43" t="n">
        <f aca="false">Tasks[[#This Row],[_Res3WorkPerWD]]*MAX(0,Tasks[[#This Row],[_StartWorkday]]-1)</f>
        <v>0</v>
      </c>
      <c r="EG143" s="43" t="n">
        <f aca="false">Tasks[[#This Row],[_Res3Work]]*Tasks[[#This Row],[_LeafProgress]]</f>
        <v>0</v>
      </c>
      <c r="EH143" s="43" t="str">
        <f aca="false">IF(Tasks[[#This Row],[_Res4Text]]="","",IF(Tasks[[#This Row],[_Res4Row]]&gt;0,INDEX(res_Name,Tasks[[#This Row],[_Res4Row]]),TRIM(LEFT(Tasks[[#This Row],[_Res4Text]],FIND("[",Tasks[[#This Row],[_Res4Text]]&amp;"[")-1))))</f>
        <v/>
      </c>
      <c r="EI14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3" s="43" t="n">
        <f aca="false">IF(OR(NOT(Tasks[[#This Row],[_IsLeaf]]=1),Tasks[[#This Row],[_Res4Row]]=0),0,N(Tasks[[#This Row],[_Days]])*HoursPerDay*IF(Tasks[[#This Row],[_Res4Units]]="",DefaultUnits,Tasks[[#This Row],[_Res4Units]]))</f>
        <v>0</v>
      </c>
      <c r="EK143" s="43" t="n">
        <f aca="false">IF(AND(AND(Tasks[[#This Row],[_IsLeaf]]=1,Tasks[[#This Row],[_LeafTotalWork]]&gt;0),Tasks[[#This Row],[_Res4Work]]&gt;0),Tasks[[#This Row],[_Res4Work]]/(Tasks[[#This Row],[_FinishWorkday]]-Tasks[[#This Row],[_StartWorkday]]+1),0)</f>
        <v>0</v>
      </c>
      <c r="EL143" s="43" t="n">
        <f aca="false">Tasks[[#This Row],[_Res4WorkPerWD]]*MAX(0,Tasks[[#This Row],[_StartWorkday]]-1)</f>
        <v>0</v>
      </c>
      <c r="EM143" s="43" t="n">
        <f aca="false">Tasks[[#This Row],[_Res4Work]]*Tasks[[#This Row],[_LeafProgress]]</f>
        <v>0</v>
      </c>
      <c r="EN143" s="43" t="n">
        <f aca="false">IF(ISNUMBER(Tasks[[#This Row],[% Complete]]),Tasks[[#This Row],[% Complete]],IF(Tasks[[#This Row],[Stage]]="",0,IFERROR(INDEX(stg_Pct,MATCH(Tasks[[#This Row],[Stage]],stg_Name,0)),0)))</f>
        <v>0</v>
      </c>
      <c r="EO143" s="43" t="n">
        <f aca="false">IF(NOT(Tasks[[#This Row],[_IsLeaf]]=1),0,IF(N(Tasks[[#This Row],[Actual Finish]])&gt;0,1,MIN(1,Tasks[[#This Row],[_Pct]])))</f>
        <v>0</v>
      </c>
      <c r="EP143" s="43" t="n">
        <f aca="false">IF(OR(NOT(Tasks[[#This Row],[_IsLeaf]]=1),Tasks[[#This Row],[_Res1Row]]=0),0,N(Tasks[[#This Row],[_Days]])*HoursPerDay*IF(Tasks[[#This Row],[_Units1]]="",DefaultUnits,Tasks[[#This Row],[_Units1]]))</f>
        <v>0</v>
      </c>
      <c r="EQ143" s="43" t="n">
        <f aca="false">Tasks[[#This Row],[_LeafWork]]+Tasks[[#This Row],[_Res2Work]]+Tasks[[#This Row],[_Res3Work]]+Tasks[[#This Row],[_Res4Work]]</f>
        <v>0</v>
      </c>
      <c r="ER14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3" s="43" t="n">
        <f aca="false">IF(NOT(Tasks[[#This Row],[_IsLeaf]]=1),0,MAX(_xlfn.MAXIFS(Tasks[_Row],Tasks[_Pred1UID],Tasks[[#This Row],[UID]]),_xlfn.MAXIFS(Tasks[_Row],Tasks[_Pred2UID],Tasks[[#This Row],[UID]]),_xlfn.MAXIFS(Tasks[_Row],Tasks[_Pred3UID],Tasks[[#This Row],[UID]]),_xlfn.MAXIFS(Tasks[_Row],Tasks[_Pred4UID],Tasks[[#This Row],[UID]])))</f>
        <v>0</v>
      </c>
      <c r="FA14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3" s="91" t="str">
        <f aca="false">IF(NOT(Tasks[[#This Row],[_IsLeaf]]=1),"",IF(N(Tasks[[#This Row],[_Days]])&lt;=0,Tasks[[#This Row],[_LeafLateFinish]],WORKDAY.INTL(Tasks[[#This Row],[_LeafLateFinish]],-(Tasks[[#This Row],[_Days]]-1),WorkWeek,Holidays)))</f>
        <v/>
      </c>
      <c r="FD14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3" s="90" t="b">
        <f aca="false">AND(Tasks[[#This Row],[_IsLeaf]]=1,Tasks[[#This Row],[_LeafProgress]]&lt;1,N(Tasks[[#This Row],[_LeafTotalSlack]])&lt;=CriticalSlackDays)</f>
        <v>0</v>
      </c>
      <c r="FF143" s="43" t="n">
        <f aca="false">IF(AND(Tasks[[#This Row],[_IsLeaf]]=1,Tasks[[#This Row],[_ConstraintCode]]=1,Tasks[[#This Row],[Mode]]&lt;&gt;"Manual",N(Tasks[[#This Row],[Actual Start]])=0),MAX(0,N(Tasks[[#This Row],[Free Slack]])),0)</f>
        <v>0</v>
      </c>
      <c r="FG143" s="91" t="str">
        <f aca="false">IF(NOT(Tasks[[#This Row],[_IsLeaf]]=1),"",IF(Tasks[[#This Row],[_AlapShift]]=0,Tasks[[#This Row],[_LeafCalcStart]],WORKDAY.INTL(Tasks[[#This Row],[_LeafCalcStart]],Tasks[[#This Row],[_AlapShift]],WorkWeek,Holidays)))</f>
        <v/>
      </c>
      <c r="FH143" s="91" t="str">
        <f aca="false">IF(NOT(Tasks[[#This Row],[_IsLeaf]]=1),"",IF(Tasks[[#This Row],[_AlapShift]]=0,Tasks[[#This Row],[_LeafCalcFinish]],WORKDAY.INTL(Tasks[[#This Row],[_LeafCalcFinish]],Tasks[[#This Row],[_AlapShift]],WorkWeek,Holidays)))</f>
        <v/>
      </c>
      <c r="FI143" s="91" t="str">
        <f aca="false">IF(NOT(Tasks[[#This Row],[_IsLeaf]]=1),"",IF(Tasks[[#This Row],[_AlapShift]]=0,Tasks[[#This Row],[_LeafFcstStart]],WORKDAY.INTL(Tasks[[#This Row],[_LeafFcstStart]],Tasks[[#This Row],[_AlapShift]],WorkWeek,Holidays)))</f>
        <v/>
      </c>
      <c r="FJ143" s="91" t="str">
        <f aca="false">IF(NOT(Tasks[[#This Row],[_IsLeaf]]=1),"",IF(Tasks[[#This Row],[_AlapShift]]=0,Tasks[[#This Row],[_LeafFcstFinish]],WORKDAY.INTL(Tasks[[#This Row],[_LeafFcstFinish]],Tasks[[#This Row],[_AlapShift]],WorkWeek,Holidays)))</f>
        <v/>
      </c>
      <c r="FK143" s="91" t="str">
        <f aca="false">IF(Tasks[[#This Row],[Task Name]]="","",IF(Tasks[[#This Row],[_IsSummary]],MIN(INDEX(Tasks[_ShownCalcStart],Tasks[[#This Row],[_Row]]+1):INDEX(Tasks[_ShownCalcStart],Tasks[[#This Row],[_Row]]+Tasks[[#This Row],[_Descendants]])),Tasks[[#This Row],[_ShownCalcStart]]))</f>
        <v/>
      </c>
      <c r="FL143" s="91" t="str">
        <f aca="false">IF(Tasks[[#This Row],[Task Name]]="","",IF(Tasks[[#This Row],[_IsSummary]],MAX(INDEX(Tasks[_ShownCalcFinish],Tasks[[#This Row],[_Row]]+1):INDEX(Tasks[_ShownCalcFinish],Tasks[[#This Row],[_Row]]+Tasks[[#This Row],[_Descendants]])),Tasks[[#This Row],[_ShownCalcFinish]]))</f>
        <v/>
      </c>
      <c r="FM14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3" s="43" t="n">
        <f aca="false">IF(AND(Tasks[[#This Row],[_IsLeaf]]=1,Tasks[[#This Row],[_LeafTotalWork]]&gt;0),NETWORKDAYS.INTL(ProjectStart,Tasks[[#This Row],[_ShownFcstStart]],WorkWeek,Holidays),0)</f>
        <v>0</v>
      </c>
      <c r="FZ143" s="43" t="n">
        <f aca="false">IF(AND(Tasks[[#This Row],[_IsLeaf]]=1,Tasks[[#This Row],[_LeafTotalWork]]&gt;0),MAX(Tasks[[#This Row],[_StartWorkday]],NETWORKDAYS.INTL(ProjectStart,Tasks[[#This Row],[_ShownFcstFinish]],WorkWeek,Holidays)),0)</f>
        <v>0</v>
      </c>
      <c r="GA143" s="43" t="n">
        <f aca="false">IF(AND(Tasks[[#This Row],[_IsLeaf]]=1,Tasks[[#This Row],[_LeafTotalWork]]&gt;0),Tasks[[#This Row],[_LeafWork]]/(Tasks[[#This Row],[_FinishWorkday]]-Tasks[[#This Row],[_StartWorkday]]+1),0)</f>
        <v>0</v>
      </c>
      <c r="GB143" s="43" t="n">
        <f aca="false">Tasks[[#This Row],[_WorkPerWorkday]]*(Tasks[[#This Row],[_StartWorkday]]-1)</f>
        <v>-0</v>
      </c>
      <c r="GC143" s="43" t="n">
        <f aca="false">IF(Tasks[[#This Row],[_IsLeaf]]=1,MAX(N(Tasks[[#This Row],[_Days]]),0.1),0)</f>
        <v>0</v>
      </c>
      <c r="GD143" s="43" t="n">
        <f aca="false">Tasks[[#This Row],[_WeightDur]]*Tasks[[#This Row],[_LeafProgress]]</f>
        <v>0</v>
      </c>
      <c r="GE143" s="43" t="n">
        <f aca="false">Tasks[[#This Row],[_WeightDur]]*Tasks[[#This Row],[_PlannedPct]]</f>
        <v>0</v>
      </c>
      <c r="GF14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3" s="43" t="str">
        <f aca="false">IF(AND(Tasks[[#This Row],[_IsLeaf]]=1,N(Tasks[[#This Row],[_Days]])=0,Tasks[[#This Row],[_LeafProgress]]&lt;1),Tasks[[#This Row],[_ShownFcstFinish]]+Tasks[[#This Row],[_Row]]/100000,"")</f>
        <v/>
      </c>
      <c r="GH14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3" s="43" t="str">
        <f aca="false">IF(Tasks[[#This Row],[Task Name]]="","",LEFT(Tasks[[#This Row],[WBS]],FIND(".",Tasks[[#This Row],[WBS]]&amp;".")-1))</f>
        <v/>
      </c>
      <c r="GJ143" s="43" t="str">
        <f aca="false">IF(AND(Tasks[[#This Row],[Task Name]]&lt;&gt;"",Tasks[[#This Row],[_Level]]=1),Tasks[[#This Row],[_Row]],"")</f>
        <v/>
      </c>
      <c r="GK143" s="43" t="str">
        <f aca="false">IF(AND(Tasks[[#This Row],[_IsLeaf]]=1,N(Tasks[[#This Row],[_Days]])=0),Tasks[[#This Row],[Planned Finish]]+Tasks[[#This Row],[_Row]]/100000,"")</f>
        <v/>
      </c>
      <c r="GL143" s="43" t="str">
        <f aca="false">IF(AND(Tasks[[#This Row],[_IsLeaf]]=1,Tasks[[#This Row],[_LeafProgress]]&lt;1,OR(N(Tasks[[#This Row],[Finish Var]])&gt;0,Tasks[[#This Row],[Status]]="Late Start")),MAX(0,Tasks[[#This Row],[Finish Var]])+1-Tasks[[#This Row],[_Row]]/1000000,"")</f>
        <v/>
      </c>
      <c r="GM143" s="43" t="str">
        <f aca="false">IF(AND(Tasks[[#This Row],[_IsLeaf]]=1,N(Tasks[[#This Row],[Actual Start]])=0,Tasks[[#This Row],[_ShownFcstStart]]&gt;=StatusDate,Tasks[[#This Row],[_ShownFcstStart]]&lt;=LookaheadEnd),Tasks[[#This Row],[_ShownFcstStart]]+Tasks[[#This Row],[_Row]]/100000,"")</f>
        <v/>
      </c>
      <c r="GN143" s="43" t="str">
        <f aca="false">IF(AND(Tasks[[#This Row],[_IsLeaf]]=1,Tasks[[#This Row],[_LeafProgress]]&lt;1,Tasks[[#This Row],[_ShownFcstFinish]]&gt;=StatusDate,Tasks[[#This Row],[_ShownFcstFinish]]&lt;=LookaheadEnd),Tasks[[#This Row],[_ShownFcstFinish]]+Tasks[[#This Row],[_Row]]/100000,"")</f>
        <v/>
      </c>
      <c r="GO143" s="43" t="str">
        <f aca="false">IF(Tasks[[#This Row],[_LeafCritical]],Tasks[[#This Row],[_ShownFcstStart]]+Tasks[[#This Row],[_Row]]/100000,"")</f>
        <v/>
      </c>
      <c r="GP143" s="43" t="n">
        <f aca="false">Tasks[[#This Row],[_LeafWork]]*Tasks[[#This Row],[_LeafProgress]]</f>
        <v>0</v>
      </c>
      <c r="GQ143" s="91" t="str">
        <f aca="false">IF(AND(Tasks[[#This Row],[_IsLeaf]]=1,Tasks[[#This Row],[_LeafProgress]]&gt;=1),IF(N(Tasks[[#This Row],[Actual Finish]])&gt;0,Tasks[[#This Row],[Actual Finish]],Tasks[[#This Row],[_ShownFcstFinish]]),"")</f>
        <v/>
      </c>
      <c r="GR143" s="43" t="n">
        <f aca="false">IF(Tasks[[#This Row],[_IsLeaf]]=1,N(Tasks[[#This Row],[Story Points]]),0)</f>
        <v>0</v>
      </c>
      <c r="GS143" s="43" t="str">
        <f aca="false">""</f>
        <v/>
      </c>
      <c r="GT143" s="90" t="b">
        <f aca="false">IF(Tasks[[#This Row],[Task Name]]="",FALSE(),AND(Tasks[[#This Row],[_IsLeaf]]=1,N(Tasks[[#This Row],[_Days]])=0))</f>
        <v>0</v>
      </c>
      <c r="GU143" s="91" t="n">
        <f aca="false">IF(Tasks[[#This Row],[Task Name]]="",0,IF(AND(Tasks[[#This Row],[_IsLeaf]]=1,NOT(Tasks[[#This Row],[_IsMilestone]]),N(Tasks[[#This Row],[Progress]])&gt;0),Tasks[[#This Row],[Start]],0))</f>
        <v>0</v>
      </c>
      <c r="GV143" s="91" t="n">
        <f aca="false">IF(Tasks[[#This Row],[_DoneFrom]]=0,0,IF(Tasks[[#This Row],[Progress]]&gt;=1,Tasks[[#This Row],[Finish]],MAX(Tasks[[#This Row],[_DoneFrom]],Tasks[[#This Row],[Start]]+ROUND((Tasks[[#This Row],[Finish]]-Tasks[[#This Row],[Start]]+1)*Tasks[[#This Row],[Progress]],0)-1)))</f>
        <v>0</v>
      </c>
      <c r="GW143" s="91" t="n">
        <f aca="false">IF(Tasks[[#This Row],[Task Name]]="",0,IF(OR(NOT(Tasks[[#This Row],[_IsLeaf]]=1),Tasks[[#This Row],[_IsMilestone]],N(Tasks[[#This Row],[Progress]])&gt;=1),0,IF(Tasks[[#This Row],[_DoneTo]]&gt;0,Tasks[[#This Row],[_DoneTo]]+1,Tasks[[#This Row],[Start]])))</f>
        <v>0</v>
      </c>
      <c r="GX143" s="91" t="n">
        <f aca="false">IF(Tasks[[#This Row],[_RemFrom]]=0,0,Tasks[[#This Row],[Finish]])</f>
        <v>0</v>
      </c>
      <c r="GY143" s="90" t="b">
        <f aca="false">IF(Tasks[[#This Row],[Task Name]]="",FALSE(),OR(NOT(BaselineSet),N(Tasks[[#This Row],[Baseline Start]])&gt;0))</f>
        <v>0</v>
      </c>
      <c r="GZ14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3" s="92" t="str">
        <f aca="false">IF(Tasks[[#This Row],[_IsLeaf]]=1,Tasks[[#This Row],[_Row]],"")</f>
        <v/>
      </c>
      <c r="HD143" s="92" t="str">
        <f aca="false">IFERROR(INDEX(Tasks[UID],SMALL(Tasks[_PickKey],Tasks[[#This Row],[_Row]]))&amp;" "&amp;INDEX(Tasks[Task Name],SMALL(Tasks[_PickKey],Tasks[[#This Row],[_Row]])),"")</f>
        <v/>
      </c>
      <c r="HE143" s="43" t="str">
        <f aca="false">IF(Tasks[[#This Row],[Task Name]]="","",IF(Tasks[[#This Row],[_IsSummary]],NETWORKDAYS.INTL(Tasks[[#This Row],[Start]],Tasks[[#This Row],[Finish]],WorkWeek,Holidays),N(Tasks[[#This Row],[_Days]])))</f>
        <v/>
      </c>
      <c r="HF143" s="43" t="n">
        <f aca="false">IF(Tasks[[#This Row],[Expected]]="",0,((Tasks[[#This Row],[Pessimistic]]-Tasks[[#This Row],[Optimistic]])/6)^2)</f>
        <v>0</v>
      </c>
      <c r="HG143" s="43" t="n">
        <f aca="false">IF(Tasks[[#This Row],[Expected]]="",0,Tasks[[#This Row],[Expected]]-N(Tasks[[#This Row],[_Days]]))</f>
        <v>0</v>
      </c>
    </row>
    <row r="144" customFormat="false" ht="15" hidden="false" customHeight="false" outlineLevel="0" collapsed="false">
      <c r="A144" s="21" t="str">
        <f aca="false">IF(Tasks[[#This Row],[Task Name]]="","",COUNTA(Tasks[[#Headers],[Task Name]]:Tasks[[#This Row],[Task Name]])-1)</f>
        <v/>
      </c>
      <c r="B144" s="22" t="n">
        <v>152</v>
      </c>
      <c r="C144" s="22"/>
      <c r="D144" s="23"/>
      <c r="E144" s="22"/>
      <c r="F144" s="23"/>
      <c r="G144" s="22"/>
      <c r="H144" s="22"/>
      <c r="I144" s="23"/>
      <c r="J144" s="22"/>
      <c r="K144" s="22"/>
      <c r="L144" s="23"/>
      <c r="M144" s="22"/>
      <c r="N144" s="22"/>
      <c r="O144" s="23"/>
      <c r="P144" s="22"/>
      <c r="Q144" s="22"/>
      <c r="R144" s="23"/>
      <c r="S144" s="23"/>
      <c r="T144" s="84"/>
      <c r="U144" s="23"/>
      <c r="V144" s="84"/>
      <c r="W144" s="23"/>
      <c r="X144" s="84"/>
      <c r="Y144" s="23"/>
      <c r="Z144" s="84"/>
      <c r="AA144" s="23"/>
      <c r="AB144" s="23"/>
      <c r="AC144" s="7"/>
      <c r="AD144" s="7"/>
      <c r="AE144" s="63" t="str">
        <f aca="false">IF(Tasks[[#This Row],[Task Name]]="","",IF(Tasks[[#This Row],[_IsSummary]],MIN(INDEX(Tasks[_ShownFcstStart],Tasks[[#This Row],[_Row]]+1):INDEX(Tasks[_ShownFcstStart],Tasks[[#This Row],[_Row]]+Tasks[[#This Row],[_Descendants]])),Tasks[[#This Row],[_ShownFcstStart]]))</f>
        <v/>
      </c>
      <c r="AF144" s="63" t="str">
        <f aca="false">IF(Tasks[[#This Row],[Task Name]]="","",IF(Tasks[[#This Row],[_IsSummary]],MAX(INDEX(Tasks[_ShownFcstFinish],Tasks[[#This Row],[_Row]]+1):INDEX(Tasks[_ShownFcstFinish],Tasks[[#This Row],[_Row]]+Tasks[[#This Row],[_Descendants]])),Tasks[[#This Row],[_ShownFcstFinish]]))</f>
        <v/>
      </c>
      <c r="AG144" s="21" t="str">
        <f aca="false">""</f>
        <v/>
      </c>
      <c r="AH144" s="23"/>
      <c r="AI1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4" s="7"/>
      <c r="AK144" s="22"/>
      <c r="AL144" s="23"/>
      <c r="AM144" s="7"/>
      <c r="AN144" s="47" t="str">
        <f aca="false">IF(Tasks[[#This Row],[Task Name]]="","",IF(Tasks[[#This Row],[Finish]]&gt;=Tasks[[#This Row],[Planned Finish]],NETWORKDAYS.INTL(Tasks[[#This Row],[Planned Finish]],Tasks[[#This Row],[Finish]],WorkWeek,Holidays)-1,1-NETWORKDAYS.INTL(Tasks[[#This Row],[Finish]],Tasks[[#This Row],[Planned Finish]],WorkWeek,Holidays)))</f>
        <v/>
      </c>
      <c r="AO144" s="21" t="str">
        <f aca="false">IF(Tasks[[#This Row],[Task Name]]="","",IF(Tasks[[#This Row],[Progress]]&gt;=1,"Complete",IF(OR(N(Tasks[[#This Row],[Actual Start]])&gt;0,Tasks[[#This Row],[Progress]]&gt;0),IF(Tasks[[#This Row],[Finish Var]]&gt;0,"Behind","In Progress"),IF(Tasks[[#This Row],[Planned Start]]&lt;StatusDate,"Late Start","Not Started"))))</f>
        <v/>
      </c>
      <c r="AP144" s="21" t="str">
        <f aca="false">IF(Tasks[[#This Row],[Task Name]]="","",IF(IF(Tasks[[#This Row],[_IsSummary]],COUNTIF(INDEX(Tasks[_LeafCritical],Tasks[[#This Row],[_Row]]+1):INDEX(Tasks[_LeafCritical],Tasks[[#This Row],[_Row]]+Tasks[[#This Row],[_Descendants]]),TRUE())&gt;0,Tasks[[#This Row],[_LeafCritical]]),"Yes",""))</f>
        <v/>
      </c>
      <c r="AQ144" s="63" t="str">
        <f aca="false">IF(Tasks[[#This Row],[Task Name]]="","",IF(N(Tasks[[#This Row],[Baseline Start]])&gt;0,Tasks[[#This Row],[Baseline Start]],Tasks[[#This Row],[_CalcStart]]))</f>
        <v/>
      </c>
      <c r="AR144" s="63" t="str">
        <f aca="false">IF(Tasks[[#This Row],[Task Name]]="","",IF(N(Tasks[[#This Row],[Baseline Finish]])&gt;0,Tasks[[#This Row],[Baseline Finish]],Tasks[[#This Row],[_CalcFinish]]))</f>
        <v/>
      </c>
      <c r="AS144" s="47" t="str">
        <f aca="false">IF(Tasks[[#This Row],[Task Name]]="","",IF(Tasks[[#This Row],[Start]]&gt;=Tasks[[#This Row],[Planned Start]],NETWORKDAYS.INTL(Tasks[[#This Row],[Planned Start]],Tasks[[#This Row],[Start]],WorkWeek,Holidays)-1,1-NETWORKDAYS.INTL(Tasks[[#This Row],[Start]],Tasks[[#This Row],[Planned Start]],WorkWeek,Holidays)))</f>
        <v/>
      </c>
      <c r="AT144" s="63" t="str">
        <f aca="false">IF(Tasks[[#This Row],[Task Name]]="","",IF(Tasks[[#This Row],[_IsSummary]],MIN(INDEX(Tasks[_LeafLateStart],Tasks[[#This Row],[_Row]]+1):INDEX(Tasks[_LeafLateStart],Tasks[[#This Row],[_Row]]+Tasks[[#This Row],[_Descendants]])),Tasks[[#This Row],[_LeafLateStart]]))</f>
        <v/>
      </c>
      <c r="AU144" s="63" t="str">
        <f aca="false">IF(Tasks[[#This Row],[Task Name]]="","",IF(Tasks[[#This Row],[_IsSummary]],MAX(INDEX(Tasks[_LeafLateFinish],Tasks[[#This Row],[_Row]]+1):INDEX(Tasks[_LeafLateFinish],Tasks[[#This Row],[_Row]]+Tasks[[#This Row],[_Descendants]])),Tasks[[#This Row],[_LeafLateFinish]]))</f>
        <v/>
      </c>
      <c r="AV144" s="47" t="str">
        <f aca="false">IF(Tasks[[#This Row],[Task Name]]="","",IF(Tasks[[#This Row],[_IsSummary]],MIN(INDEX(Tasks[_LeafTotalSlack],Tasks[[#This Row],[_Row]]+1):INDEX(Tasks[_LeafTotalSlack],Tasks[[#This Row],[_Row]]+Tasks[[#This Row],[_Descendants]])),Tasks[[#This Row],[_LeafTotalSlack]]))</f>
        <v/>
      </c>
      <c r="AW1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5"/>
      <c r="BA14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1" t="str">
        <f aca="false">IF(Tasks[[#This Row],[Task Name]]="","",IF(Tasks[[#This Row],[_Level]]&lt;=OutlineShowLevel,"Yes","No"))</f>
        <v/>
      </c>
      <c r="BE144" s="86" t="str">
        <f aca="false">IF(Tasks[[#This Row],[Task Name]]="","",IF(Tasks[[#This Row],[_IsSummary]],SUM(INDEX(Tasks[_LeafTotalWork],Tasks[[#This Row],[_Row]]+1):INDEX(Tasks[_LeafTotalWork],Tasks[[#This Row],[_Row]]+Tasks[[#This Row],[_Descendants]])),Tasks[[#This Row],[_LeafTotalWork]]))</f>
        <v/>
      </c>
      <c r="BF144" s="23"/>
      <c r="BG1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4" s="21" t="str">
        <f aca="false">""</f>
        <v/>
      </c>
      <c r="BI144" s="87"/>
      <c r="BJ144" s="22"/>
      <c r="BK144" s="47" t="str">
        <f aca="false">IF(OR(Tasks[[#This Row],[Task Name]]="",Tasks[[#This Row],[Baseline Duration]]=""),"",Tasks[[#This Row],[_SpanDays]]-N(Tasks[[#This Row],[Baseline Duration]]))</f>
        <v/>
      </c>
      <c r="BL144" s="86" t="str">
        <f aca="false">IF(OR(Tasks[[#This Row],[Task Name]]="",Tasks[[#This Row],[Baseline Work]]=""),"",Tasks[[#This Row],[Work]]-N(Tasks[[#This Row],[Baseline Work]]))</f>
        <v/>
      </c>
      <c r="BM144" s="63" t="str">
        <f aca="false">IF(Tasks[[#This Row],[Task Name]]="","",IF(OR(TakeBaseline="Yes",N(Tasks[[#This Row],[Baseline Start]])=0),Tasks[[#This Row],[Start]],Tasks[[#This Row],[Baseline Start]]))</f>
        <v/>
      </c>
      <c r="BN144" s="63" t="str">
        <f aca="false">IF(Tasks[[#This Row],[Task Name]]="","",IF(OR(TakeBaseline="Yes",N(Tasks[[#This Row],[Baseline Finish]])=0),Tasks[[#This Row],[Finish]],Tasks[[#This Row],[Baseline Finish]]))</f>
        <v/>
      </c>
      <c r="BO144" s="21" t="str">
        <f aca="false">IF(Tasks[[#This Row],[Task Name]]="","",IF(OR(TakeBaseline="Yes",N(Tasks[[#This Row],[Baseline Duration]])=0),Tasks[[#This Row],[_SpanDays]],Tasks[[#This Row],[Baseline Duration]]))</f>
        <v/>
      </c>
      <c r="BP144" s="86" t="str">
        <f aca="false">IF(Tasks[[#This Row],[Task Name]]="","",IF(OR(TakeBaseline="Yes",N(Tasks[[#This Row],[Baseline Work]])=0),Tasks[[#This Row],[Work]],Tasks[[#This Row],[Baseline Work]]))</f>
        <v/>
      </c>
      <c r="BQ144" s="7"/>
      <c r="BR144" s="7"/>
      <c r="BS144" s="22"/>
      <c r="BT144" s="88"/>
      <c r="BU144" s="23"/>
      <c r="BV144" s="23"/>
      <c r="BW144" s="23"/>
      <c r="BX144" s="89" t="str">
        <f aca="false">IF(AND(Tasks[[#This Row],[_IsLeaf]]=1,ISNUMBER(Tasks[[#This Row],[Optimistic]]),ISNUMBER(Tasks[[#This Row],[Pessimistic]])),ROUND((Tasks[[#This Row],[Optimistic]]+4*N(Tasks[[#This Row],[_Days]])+Tasks[[#This Row],[Pessimistic]])/6,1),"")</f>
        <v/>
      </c>
      <c r="BY144" s="87"/>
      <c r="BZ144" s="87"/>
      <c r="CA144" s="22"/>
      <c r="CB144" s="43" t="str">
        <f aca="false">IF(Tasks[[#This Row],[Task Name]]="","",MAX(1,N(Tasks[[#This Row],[Level]])))</f>
        <v/>
      </c>
      <c r="CC144" s="43" t="n">
        <f aca="false">ROW()-ROW(Tasks[[#Headers],[ID]])</f>
        <v>139</v>
      </c>
      <c r="CD144" s="43" t="n">
        <f aca="false">IF(OR(Tasks[[#This Row],[Task Name]]="",Tasks[[#This Row],[_Level]]&lt;=1),0,IFERROR(LOOKUP(2,1/(Tasks[[#Headers],[_Level]]:Tasks[[#This Row],[_Level]]=Tasks[[#This Row],[_Level]]-1),ROW(Tasks[[#Headers],[_Level]]:Tasks[[#This Row],[_Level]])),0))</f>
        <v>0</v>
      </c>
      <c r="CE144" s="43" t="n">
        <f aca="false">IFERROR(N(INDEX(Tasks[_Level],Tasks[[#This Row],[_Row]]+1)),0)</f>
        <v>0</v>
      </c>
      <c r="CF144" s="90" t="b">
        <f aca="false">AND(Tasks[[#This Row],[Task Name]]&lt;&gt;"",Tasks[[#This Row],[_NextLevel]]&gt;Tasks[[#This Row],[_Level]])</f>
        <v>0</v>
      </c>
      <c r="CG144" s="43" t="n">
        <f aca="false">IF(Tasks[[#This Row],[_IsSummary]],COUNTIF(Tasks[WBS],Tasks[[#This Row],[WBS]]&amp;".*"),0)</f>
        <v>0</v>
      </c>
      <c r="CH144" s="43" t="n">
        <f aca="false">IF(AND(Tasks[[#This Row],[Task Name]]&lt;&gt;"",NOT(Tasks[[#This Row],[_IsSummary]])),1,0)</f>
        <v>0</v>
      </c>
      <c r="CI144" s="43" t="n">
        <f aca="false">IF(N(Tasks[[#This Row],[_Pred1UID]])=0,0,IFERROR(MATCH(Tasks[[#This Row],[_Pred1UID]],Tasks[UID],0),-1))</f>
        <v>0</v>
      </c>
      <c r="CJ144" s="43" t="n">
        <f aca="false">IF(N(Tasks[[#This Row],[_Pred2UID]])=0,0,IFERROR(MATCH(Tasks[[#This Row],[_Pred2UID]],Tasks[UID],0),-1))</f>
        <v>0</v>
      </c>
      <c r="CK144" s="43" t="n">
        <f aca="false">IF(N(Tasks[[#This Row],[_Pred3UID]])=0,0,IFERROR(MATCH(Tasks[[#This Row],[_Pred3UID]],Tasks[UID],0),-1))</f>
        <v>0</v>
      </c>
      <c r="CL144" s="43" t="n">
        <f aca="false">IF(N(Tasks[[#This Row],[_Pred4UID]])=0,0,IFERROR(MATCH(Tasks[[#This Row],[_Pred4UID]],Tasks[UID],0),-1))</f>
        <v>0</v>
      </c>
      <c r="CM14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4" s="91" t="n">
        <f aca="false">IF(OR(Tasks[[#This Row],[_ConstraintCode]]=2,Tasks[[#This Row],[_ConstraintCode]]=3,Tasks[[#This Row],[_ConstraintCode]]=4,Tasks[[#This Row],[_ConstraintCode]]=6),Tasks[[#This Row],[_ConstraintStart]],0)</f>
        <v>0</v>
      </c>
      <c r="CP144" s="91" t="n">
        <f aca="false">IF(OR(Tasks[[#This Row],[_ConstraintCode]]=2,Tasks[[#This Row],[_ConstraintCode]]=3,Tasks[[#This Row],[_ConstraintCode]]=5,Tasks[[#This Row],[_ConstraintCode]]=7),Tasks[[#This Row],[_ConstraintStart]],2958465)</f>
        <v>2958465</v>
      </c>
      <c r="CQ14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4" s="91" t="str">
        <f aca="false">IF(NOT(Tasks[[#This Row],[_IsLeaf]]=1),"",IF(N(Tasks[[#This Row],[_Days]])&lt;=0,Tasks[[#This Row],[_LeafCalcStart]],WORKDAY.INTL(Tasks[[#This Row],[_LeafCalcStart]],Tasks[[#This Row],[_Days]]-1,WorkWeek,Holidays)))</f>
        <v/>
      </c>
      <c r="CS14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4" s="43" t="str">
        <f aca="false">IF(Tasks[[#This Row],[_Predecessors]]="","",TRIM(MID(SUBSTITUTE(SUBSTITUTE(SUBSTITUTE(UPPER(Tasks[[#This Row],[_Predecessors]]),";",",")," ",""),",",REPT(" ",99)),1,99)))</f>
        <v/>
      </c>
      <c r="CV144" s="43" t="str">
        <f aca="false">IF(Tasks[[#This Row],[_Pred1Text]]="","",IFERROR(VALUE(LEFT(Tasks[[#This Row],[_Pred1Text]],MIN(FIND("F",Tasks[[#This Row],[_Pred1Text]]&amp;"F"),FIND("S",Tasks[[#This Row],[_Pred1Text]]&amp;"S"),FIND("+",Tasks[[#This Row],[_Pred1Text]]&amp;"+"),FIND("-",Tasks[[#This Row],[_Pred1Text]]&amp;"-"))-1)),""))</f>
        <v/>
      </c>
      <c r="CW14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4" s="43" t="str">
        <f aca="false">IF(Tasks[[#This Row],[_Pred1Text]]="","",TRIM(MID(SUBSTITUTE(SUBSTITUTE(SUBSTITUTE(UPPER(Tasks[[#This Row],[_Predecessors]]),";",",")," ",""),",",REPT(" ",99)),100,99)))</f>
        <v/>
      </c>
      <c r="CZ144" s="43" t="str">
        <f aca="false">IF(Tasks[[#This Row],[_Pred2Text]]="","",IFERROR(VALUE(LEFT(Tasks[[#This Row],[_Pred2Text]],MIN(FIND("F",Tasks[[#This Row],[_Pred2Text]]&amp;"F"),FIND("S",Tasks[[#This Row],[_Pred2Text]]&amp;"S"),FIND("+",Tasks[[#This Row],[_Pred2Text]]&amp;"+"),FIND("-",Tasks[[#This Row],[_Pred2Text]]&amp;"-"))-1)),""))</f>
        <v/>
      </c>
      <c r="DA14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4" s="43" t="str">
        <f aca="false">IF(Tasks[[#This Row],[_Pred2Text]]="","",TRIM(MID(SUBSTITUTE(SUBSTITUTE(SUBSTITUTE(UPPER(Tasks[[#This Row],[_Predecessors]]),";",",")," ",""),",",REPT(" ",99)),199,99)))</f>
        <v/>
      </c>
      <c r="DD144" s="43" t="str">
        <f aca="false">IF(Tasks[[#This Row],[_Pred3Text]]="","",IFERROR(VALUE(LEFT(Tasks[[#This Row],[_Pred3Text]],MIN(FIND("F",Tasks[[#This Row],[_Pred3Text]]&amp;"F"),FIND("S",Tasks[[#This Row],[_Pred3Text]]&amp;"S"),FIND("+",Tasks[[#This Row],[_Pred3Text]]&amp;"+"),FIND("-",Tasks[[#This Row],[_Pred3Text]]&amp;"-"))-1)),""))</f>
        <v/>
      </c>
      <c r="DE14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4" s="43" t="str">
        <f aca="false">IF(Tasks[[#This Row],[_Pred3Text]]="","",TRIM(MID(SUBSTITUTE(SUBSTITUTE(SUBSTITUTE(UPPER(Tasks[[#This Row],[_Predecessors]]),";",",")," ",""),",",REPT(" ",99)),298,99)))</f>
        <v/>
      </c>
      <c r="DH144" s="43" t="str">
        <f aca="false">IF(Tasks[[#This Row],[_Pred4Text]]="","",IFERROR(VALUE(LEFT(Tasks[[#This Row],[_Pred4Text]],MIN(FIND("F",Tasks[[#This Row],[_Pred4Text]]&amp;"F"),FIND("S",Tasks[[#This Row],[_Pred4Text]]&amp;"S"),FIND("+",Tasks[[#This Row],[_Pred4Text]]&amp;"+"),FIND("-",Tasks[[#This Row],[_Pred4Text]]&amp;"-"))-1)),""))</f>
        <v/>
      </c>
      <c r="DI14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4" s="43" t="str">
        <f aca="false">IF(OR(Tasks[[#This Row],[Task Name]]="",Tasks[[#This Row],[_Resources]]=""),"",TRIM(MID(SUBSTITUTE(Tasks[[#This Row],[_Resources]],",",REPT(" ",99)),1,99)))</f>
        <v/>
      </c>
      <c r="DL144" s="43" t="str">
        <f aca="false">IF(Tasks[[#This Row],[_Res1Text]]="","",TRIM(MID(SUBSTITUTE(Tasks[[#This Row],[_Resources]],",",REPT(" ",99)),100,99)))</f>
        <v/>
      </c>
      <c r="DM144" s="43" t="str">
        <f aca="false">IF(Tasks[[#This Row],[_Res2Text]]="","",TRIM(MID(SUBSTITUTE(Tasks[[#This Row],[_Resources]],",",REPT(" ",99)),199,99)))</f>
        <v/>
      </c>
      <c r="DN144" s="43" t="str">
        <f aca="false">IF(Tasks[[#This Row],[_Res3Text]]="","",TRIM(MID(SUBSTITUTE(Tasks[[#This Row],[_Resources]],",",REPT(" ",99)),298,99)))</f>
        <v/>
      </c>
      <c r="DO144" s="43" t="n">
        <f aca="false">IF(Tasks[[#This Row],[_Res1Text]]="",0,IFERROR(MATCH(TRIM(LEFT(Tasks[[#This Row],[_Res1Text]],FIND("[",Tasks[[#This Row],[_Res1Text]]&amp;"[")-1)),res_Name,0),IFERROR(MATCH(TRIM(LEFT(Tasks[[#This Row],[_Res1Text]],FIND("[",Tasks[[#This Row],[_Res1Text]]&amp;"[")-1)),res_Initials,0),0)))</f>
        <v>0</v>
      </c>
      <c r="DP144" s="43" t="n">
        <f aca="false">IF(Tasks[[#This Row],[_Res2Text]]="",0,IFERROR(MATCH(TRIM(LEFT(Tasks[[#This Row],[_Res2Text]],FIND("[",Tasks[[#This Row],[_Res2Text]]&amp;"[")-1)),res_Name,0),IFERROR(MATCH(TRIM(LEFT(Tasks[[#This Row],[_Res2Text]],FIND("[",Tasks[[#This Row],[_Res2Text]]&amp;"[")-1)),res_Initials,0),0)))</f>
        <v>0</v>
      </c>
      <c r="DQ144" s="43" t="n">
        <f aca="false">IF(Tasks[[#This Row],[_Res3Text]]="",0,IFERROR(MATCH(TRIM(LEFT(Tasks[[#This Row],[_Res3Text]],FIND("[",Tasks[[#This Row],[_Res3Text]]&amp;"[")-1)),res_Name,0),IFERROR(MATCH(TRIM(LEFT(Tasks[[#This Row],[_Res3Text]],FIND("[",Tasks[[#This Row],[_Res3Text]]&amp;"[")-1)),res_Initials,0),0)))</f>
        <v>0</v>
      </c>
      <c r="DR144" s="43" t="n">
        <f aca="false">IF(Tasks[[#This Row],[_Res4Text]]="",0,IFERROR(MATCH(TRIM(LEFT(Tasks[[#This Row],[_Res4Text]],FIND("[",Tasks[[#This Row],[_Res4Text]]&amp;"[")-1)),res_Name,0),IFERROR(MATCH(TRIM(LEFT(Tasks[[#This Row],[_Res4Text]],FIND("[",Tasks[[#This Row],[_Res4Text]]&amp;"[")-1)),res_Initials,0),0)))</f>
        <v>0</v>
      </c>
      <c r="DS144" s="43" t="str">
        <f aca="false">IF(Tasks[[#This Row],[_Res1Text]]="","",IF(Tasks[[#This Row],[_Res1Row]]&gt;0,INDEX(res_Name,Tasks[[#This Row],[_Res1Row]]),TRIM(LEFT(Tasks[[#This Row],[_Res1Text]],FIND("[",Tasks[[#This Row],[_Res1Text]]&amp;"[")-1))))</f>
        <v/>
      </c>
      <c r="DT14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4" s="43" t="n">
        <f aca="false">IF(NOT(Tasks[[#This Row],[_IsLeaf]]=1),0,(Tasks[[#This Row],[_Resource1]]&lt;&gt;"")+(Tasks[[#This Row],[_Res2]]&lt;&gt;"")+(Tasks[[#This Row],[_Res3]]&lt;&gt;"")+(Tasks[[#This Row],[_Res4]]&lt;&gt;""))</f>
        <v>0</v>
      </c>
      <c r="DV144" s="43" t="str">
        <f aca="false">IF(Tasks[[#This Row],[_Res2Text]]="","",IF(Tasks[[#This Row],[_Res2Row]]&gt;0,INDEX(res_Name,Tasks[[#This Row],[_Res2Row]]),TRIM(LEFT(Tasks[[#This Row],[_Res2Text]],FIND("[",Tasks[[#This Row],[_Res2Text]]&amp;"[")-1))))</f>
        <v/>
      </c>
      <c r="DW14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4" s="43" t="n">
        <f aca="false">IF(OR(NOT(Tasks[[#This Row],[_IsLeaf]]=1),Tasks[[#This Row],[_Res2Row]]=0),0,N(Tasks[[#This Row],[_Days]])*HoursPerDay*IF(Tasks[[#This Row],[_Res2Units]]="",DefaultUnits,Tasks[[#This Row],[_Res2Units]]))</f>
        <v>0</v>
      </c>
      <c r="DY144" s="43" t="n">
        <f aca="false">IF(AND(AND(Tasks[[#This Row],[_IsLeaf]]=1,Tasks[[#This Row],[_LeafTotalWork]]&gt;0),Tasks[[#This Row],[_Res2Work]]&gt;0),Tasks[[#This Row],[_Res2Work]]/(Tasks[[#This Row],[_FinishWorkday]]-Tasks[[#This Row],[_StartWorkday]]+1),0)</f>
        <v>0</v>
      </c>
      <c r="DZ144" s="43" t="n">
        <f aca="false">Tasks[[#This Row],[_Res2WorkPerWD]]*MAX(0,Tasks[[#This Row],[_StartWorkday]]-1)</f>
        <v>0</v>
      </c>
      <c r="EA144" s="43" t="n">
        <f aca="false">Tasks[[#This Row],[_Res2Work]]*Tasks[[#This Row],[_LeafProgress]]</f>
        <v>0</v>
      </c>
      <c r="EB144" s="43" t="str">
        <f aca="false">IF(Tasks[[#This Row],[_Res3Text]]="","",IF(Tasks[[#This Row],[_Res3Row]]&gt;0,INDEX(res_Name,Tasks[[#This Row],[_Res3Row]]),TRIM(LEFT(Tasks[[#This Row],[_Res3Text]],FIND("[",Tasks[[#This Row],[_Res3Text]]&amp;"[")-1))))</f>
        <v/>
      </c>
      <c r="EC14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4" s="43" t="n">
        <f aca="false">IF(OR(NOT(Tasks[[#This Row],[_IsLeaf]]=1),Tasks[[#This Row],[_Res3Row]]=0),0,N(Tasks[[#This Row],[_Days]])*HoursPerDay*IF(Tasks[[#This Row],[_Res3Units]]="",DefaultUnits,Tasks[[#This Row],[_Res3Units]]))</f>
        <v>0</v>
      </c>
      <c r="EE144" s="43" t="n">
        <f aca="false">IF(AND(AND(Tasks[[#This Row],[_IsLeaf]]=1,Tasks[[#This Row],[_LeafTotalWork]]&gt;0),Tasks[[#This Row],[_Res3Work]]&gt;0),Tasks[[#This Row],[_Res3Work]]/(Tasks[[#This Row],[_FinishWorkday]]-Tasks[[#This Row],[_StartWorkday]]+1),0)</f>
        <v>0</v>
      </c>
      <c r="EF144" s="43" t="n">
        <f aca="false">Tasks[[#This Row],[_Res3WorkPerWD]]*MAX(0,Tasks[[#This Row],[_StartWorkday]]-1)</f>
        <v>0</v>
      </c>
      <c r="EG144" s="43" t="n">
        <f aca="false">Tasks[[#This Row],[_Res3Work]]*Tasks[[#This Row],[_LeafProgress]]</f>
        <v>0</v>
      </c>
      <c r="EH144" s="43" t="str">
        <f aca="false">IF(Tasks[[#This Row],[_Res4Text]]="","",IF(Tasks[[#This Row],[_Res4Row]]&gt;0,INDEX(res_Name,Tasks[[#This Row],[_Res4Row]]),TRIM(LEFT(Tasks[[#This Row],[_Res4Text]],FIND("[",Tasks[[#This Row],[_Res4Text]]&amp;"[")-1))))</f>
        <v/>
      </c>
      <c r="EI14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4" s="43" t="n">
        <f aca="false">IF(OR(NOT(Tasks[[#This Row],[_IsLeaf]]=1),Tasks[[#This Row],[_Res4Row]]=0),0,N(Tasks[[#This Row],[_Days]])*HoursPerDay*IF(Tasks[[#This Row],[_Res4Units]]="",DefaultUnits,Tasks[[#This Row],[_Res4Units]]))</f>
        <v>0</v>
      </c>
      <c r="EK144" s="43" t="n">
        <f aca="false">IF(AND(AND(Tasks[[#This Row],[_IsLeaf]]=1,Tasks[[#This Row],[_LeafTotalWork]]&gt;0),Tasks[[#This Row],[_Res4Work]]&gt;0),Tasks[[#This Row],[_Res4Work]]/(Tasks[[#This Row],[_FinishWorkday]]-Tasks[[#This Row],[_StartWorkday]]+1),0)</f>
        <v>0</v>
      </c>
      <c r="EL144" s="43" t="n">
        <f aca="false">Tasks[[#This Row],[_Res4WorkPerWD]]*MAX(0,Tasks[[#This Row],[_StartWorkday]]-1)</f>
        <v>0</v>
      </c>
      <c r="EM144" s="43" t="n">
        <f aca="false">Tasks[[#This Row],[_Res4Work]]*Tasks[[#This Row],[_LeafProgress]]</f>
        <v>0</v>
      </c>
      <c r="EN144" s="43" t="n">
        <f aca="false">IF(ISNUMBER(Tasks[[#This Row],[% Complete]]),Tasks[[#This Row],[% Complete]],IF(Tasks[[#This Row],[Stage]]="",0,IFERROR(INDEX(stg_Pct,MATCH(Tasks[[#This Row],[Stage]],stg_Name,0)),0)))</f>
        <v>0</v>
      </c>
      <c r="EO144" s="43" t="n">
        <f aca="false">IF(NOT(Tasks[[#This Row],[_IsLeaf]]=1),0,IF(N(Tasks[[#This Row],[Actual Finish]])&gt;0,1,MIN(1,Tasks[[#This Row],[_Pct]])))</f>
        <v>0</v>
      </c>
      <c r="EP144" s="43" t="n">
        <f aca="false">IF(OR(NOT(Tasks[[#This Row],[_IsLeaf]]=1),Tasks[[#This Row],[_Res1Row]]=0),0,N(Tasks[[#This Row],[_Days]])*HoursPerDay*IF(Tasks[[#This Row],[_Units1]]="",DefaultUnits,Tasks[[#This Row],[_Units1]]))</f>
        <v>0</v>
      </c>
      <c r="EQ144" s="43" t="n">
        <f aca="false">Tasks[[#This Row],[_LeafWork]]+Tasks[[#This Row],[_Res2Work]]+Tasks[[#This Row],[_Res3Work]]+Tasks[[#This Row],[_Res4Work]]</f>
        <v>0</v>
      </c>
      <c r="ER14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4" s="43" t="n">
        <f aca="false">IF(NOT(Tasks[[#This Row],[_IsLeaf]]=1),0,MAX(_xlfn.MAXIFS(Tasks[_Row],Tasks[_Pred1UID],Tasks[[#This Row],[UID]]),_xlfn.MAXIFS(Tasks[_Row],Tasks[_Pred2UID],Tasks[[#This Row],[UID]]),_xlfn.MAXIFS(Tasks[_Row],Tasks[_Pred3UID],Tasks[[#This Row],[UID]]),_xlfn.MAXIFS(Tasks[_Row],Tasks[_Pred4UID],Tasks[[#This Row],[UID]])))</f>
        <v>0</v>
      </c>
      <c r="FA14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4" s="91" t="str">
        <f aca="false">IF(NOT(Tasks[[#This Row],[_IsLeaf]]=1),"",IF(N(Tasks[[#This Row],[_Days]])&lt;=0,Tasks[[#This Row],[_LeafLateFinish]],WORKDAY.INTL(Tasks[[#This Row],[_LeafLateFinish]],-(Tasks[[#This Row],[_Days]]-1),WorkWeek,Holidays)))</f>
        <v/>
      </c>
      <c r="FD14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4" s="90" t="b">
        <f aca="false">AND(Tasks[[#This Row],[_IsLeaf]]=1,Tasks[[#This Row],[_LeafProgress]]&lt;1,N(Tasks[[#This Row],[_LeafTotalSlack]])&lt;=CriticalSlackDays)</f>
        <v>0</v>
      </c>
      <c r="FF144" s="43" t="n">
        <f aca="false">IF(AND(Tasks[[#This Row],[_IsLeaf]]=1,Tasks[[#This Row],[_ConstraintCode]]=1,Tasks[[#This Row],[Mode]]&lt;&gt;"Manual",N(Tasks[[#This Row],[Actual Start]])=0),MAX(0,N(Tasks[[#This Row],[Free Slack]])),0)</f>
        <v>0</v>
      </c>
      <c r="FG144" s="91" t="str">
        <f aca="false">IF(NOT(Tasks[[#This Row],[_IsLeaf]]=1),"",IF(Tasks[[#This Row],[_AlapShift]]=0,Tasks[[#This Row],[_LeafCalcStart]],WORKDAY.INTL(Tasks[[#This Row],[_LeafCalcStart]],Tasks[[#This Row],[_AlapShift]],WorkWeek,Holidays)))</f>
        <v/>
      </c>
      <c r="FH144" s="91" t="str">
        <f aca="false">IF(NOT(Tasks[[#This Row],[_IsLeaf]]=1),"",IF(Tasks[[#This Row],[_AlapShift]]=0,Tasks[[#This Row],[_LeafCalcFinish]],WORKDAY.INTL(Tasks[[#This Row],[_LeafCalcFinish]],Tasks[[#This Row],[_AlapShift]],WorkWeek,Holidays)))</f>
        <v/>
      </c>
      <c r="FI144" s="91" t="str">
        <f aca="false">IF(NOT(Tasks[[#This Row],[_IsLeaf]]=1),"",IF(Tasks[[#This Row],[_AlapShift]]=0,Tasks[[#This Row],[_LeafFcstStart]],WORKDAY.INTL(Tasks[[#This Row],[_LeafFcstStart]],Tasks[[#This Row],[_AlapShift]],WorkWeek,Holidays)))</f>
        <v/>
      </c>
      <c r="FJ144" s="91" t="str">
        <f aca="false">IF(NOT(Tasks[[#This Row],[_IsLeaf]]=1),"",IF(Tasks[[#This Row],[_AlapShift]]=0,Tasks[[#This Row],[_LeafFcstFinish]],WORKDAY.INTL(Tasks[[#This Row],[_LeafFcstFinish]],Tasks[[#This Row],[_AlapShift]],WorkWeek,Holidays)))</f>
        <v/>
      </c>
      <c r="FK144" s="91" t="str">
        <f aca="false">IF(Tasks[[#This Row],[Task Name]]="","",IF(Tasks[[#This Row],[_IsSummary]],MIN(INDEX(Tasks[_ShownCalcStart],Tasks[[#This Row],[_Row]]+1):INDEX(Tasks[_ShownCalcStart],Tasks[[#This Row],[_Row]]+Tasks[[#This Row],[_Descendants]])),Tasks[[#This Row],[_ShownCalcStart]]))</f>
        <v/>
      </c>
      <c r="FL144" s="91" t="str">
        <f aca="false">IF(Tasks[[#This Row],[Task Name]]="","",IF(Tasks[[#This Row],[_IsSummary]],MAX(INDEX(Tasks[_ShownCalcFinish],Tasks[[#This Row],[_Row]]+1):INDEX(Tasks[_ShownCalcFinish],Tasks[[#This Row],[_Row]]+Tasks[[#This Row],[_Descendants]])),Tasks[[#This Row],[_ShownCalcFinish]]))</f>
        <v/>
      </c>
      <c r="FM14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4" s="43" t="n">
        <f aca="false">IF(AND(Tasks[[#This Row],[_IsLeaf]]=1,Tasks[[#This Row],[_LeafTotalWork]]&gt;0),NETWORKDAYS.INTL(ProjectStart,Tasks[[#This Row],[_ShownFcstStart]],WorkWeek,Holidays),0)</f>
        <v>0</v>
      </c>
      <c r="FZ144" s="43" t="n">
        <f aca="false">IF(AND(Tasks[[#This Row],[_IsLeaf]]=1,Tasks[[#This Row],[_LeafTotalWork]]&gt;0),MAX(Tasks[[#This Row],[_StartWorkday]],NETWORKDAYS.INTL(ProjectStart,Tasks[[#This Row],[_ShownFcstFinish]],WorkWeek,Holidays)),0)</f>
        <v>0</v>
      </c>
      <c r="GA144" s="43" t="n">
        <f aca="false">IF(AND(Tasks[[#This Row],[_IsLeaf]]=1,Tasks[[#This Row],[_LeafTotalWork]]&gt;0),Tasks[[#This Row],[_LeafWork]]/(Tasks[[#This Row],[_FinishWorkday]]-Tasks[[#This Row],[_StartWorkday]]+1),0)</f>
        <v>0</v>
      </c>
      <c r="GB144" s="43" t="n">
        <f aca="false">Tasks[[#This Row],[_WorkPerWorkday]]*(Tasks[[#This Row],[_StartWorkday]]-1)</f>
        <v>-0</v>
      </c>
      <c r="GC144" s="43" t="n">
        <f aca="false">IF(Tasks[[#This Row],[_IsLeaf]]=1,MAX(N(Tasks[[#This Row],[_Days]]),0.1),0)</f>
        <v>0</v>
      </c>
      <c r="GD144" s="43" t="n">
        <f aca="false">Tasks[[#This Row],[_WeightDur]]*Tasks[[#This Row],[_LeafProgress]]</f>
        <v>0</v>
      </c>
      <c r="GE144" s="43" t="n">
        <f aca="false">Tasks[[#This Row],[_WeightDur]]*Tasks[[#This Row],[_PlannedPct]]</f>
        <v>0</v>
      </c>
      <c r="GF14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4" s="43" t="str">
        <f aca="false">IF(AND(Tasks[[#This Row],[_IsLeaf]]=1,N(Tasks[[#This Row],[_Days]])=0,Tasks[[#This Row],[_LeafProgress]]&lt;1),Tasks[[#This Row],[_ShownFcstFinish]]+Tasks[[#This Row],[_Row]]/100000,"")</f>
        <v/>
      </c>
      <c r="GH14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4" s="43" t="str">
        <f aca="false">IF(Tasks[[#This Row],[Task Name]]="","",LEFT(Tasks[[#This Row],[WBS]],FIND(".",Tasks[[#This Row],[WBS]]&amp;".")-1))</f>
        <v/>
      </c>
      <c r="GJ144" s="43" t="str">
        <f aca="false">IF(AND(Tasks[[#This Row],[Task Name]]&lt;&gt;"",Tasks[[#This Row],[_Level]]=1),Tasks[[#This Row],[_Row]],"")</f>
        <v/>
      </c>
      <c r="GK144" s="43" t="str">
        <f aca="false">IF(AND(Tasks[[#This Row],[_IsLeaf]]=1,N(Tasks[[#This Row],[_Days]])=0),Tasks[[#This Row],[Planned Finish]]+Tasks[[#This Row],[_Row]]/100000,"")</f>
        <v/>
      </c>
      <c r="GL144" s="43" t="str">
        <f aca="false">IF(AND(Tasks[[#This Row],[_IsLeaf]]=1,Tasks[[#This Row],[_LeafProgress]]&lt;1,OR(N(Tasks[[#This Row],[Finish Var]])&gt;0,Tasks[[#This Row],[Status]]="Late Start")),MAX(0,Tasks[[#This Row],[Finish Var]])+1-Tasks[[#This Row],[_Row]]/1000000,"")</f>
        <v/>
      </c>
      <c r="GM144" s="43" t="str">
        <f aca="false">IF(AND(Tasks[[#This Row],[_IsLeaf]]=1,N(Tasks[[#This Row],[Actual Start]])=0,Tasks[[#This Row],[_ShownFcstStart]]&gt;=StatusDate,Tasks[[#This Row],[_ShownFcstStart]]&lt;=LookaheadEnd),Tasks[[#This Row],[_ShownFcstStart]]+Tasks[[#This Row],[_Row]]/100000,"")</f>
        <v/>
      </c>
      <c r="GN144" s="43" t="str">
        <f aca="false">IF(AND(Tasks[[#This Row],[_IsLeaf]]=1,Tasks[[#This Row],[_LeafProgress]]&lt;1,Tasks[[#This Row],[_ShownFcstFinish]]&gt;=StatusDate,Tasks[[#This Row],[_ShownFcstFinish]]&lt;=LookaheadEnd),Tasks[[#This Row],[_ShownFcstFinish]]+Tasks[[#This Row],[_Row]]/100000,"")</f>
        <v/>
      </c>
      <c r="GO144" s="43" t="str">
        <f aca="false">IF(Tasks[[#This Row],[_LeafCritical]],Tasks[[#This Row],[_ShownFcstStart]]+Tasks[[#This Row],[_Row]]/100000,"")</f>
        <v/>
      </c>
      <c r="GP144" s="43" t="n">
        <f aca="false">Tasks[[#This Row],[_LeafWork]]*Tasks[[#This Row],[_LeafProgress]]</f>
        <v>0</v>
      </c>
      <c r="GQ144" s="91" t="str">
        <f aca="false">IF(AND(Tasks[[#This Row],[_IsLeaf]]=1,Tasks[[#This Row],[_LeafProgress]]&gt;=1),IF(N(Tasks[[#This Row],[Actual Finish]])&gt;0,Tasks[[#This Row],[Actual Finish]],Tasks[[#This Row],[_ShownFcstFinish]]),"")</f>
        <v/>
      </c>
      <c r="GR144" s="43" t="n">
        <f aca="false">IF(Tasks[[#This Row],[_IsLeaf]]=1,N(Tasks[[#This Row],[Story Points]]),0)</f>
        <v>0</v>
      </c>
      <c r="GS144" s="43" t="str">
        <f aca="false">""</f>
        <v/>
      </c>
      <c r="GT144" s="90" t="b">
        <f aca="false">IF(Tasks[[#This Row],[Task Name]]="",FALSE(),AND(Tasks[[#This Row],[_IsLeaf]]=1,N(Tasks[[#This Row],[_Days]])=0))</f>
        <v>0</v>
      </c>
      <c r="GU144" s="91" t="n">
        <f aca="false">IF(Tasks[[#This Row],[Task Name]]="",0,IF(AND(Tasks[[#This Row],[_IsLeaf]]=1,NOT(Tasks[[#This Row],[_IsMilestone]]),N(Tasks[[#This Row],[Progress]])&gt;0),Tasks[[#This Row],[Start]],0))</f>
        <v>0</v>
      </c>
      <c r="GV144" s="91" t="n">
        <f aca="false">IF(Tasks[[#This Row],[_DoneFrom]]=0,0,IF(Tasks[[#This Row],[Progress]]&gt;=1,Tasks[[#This Row],[Finish]],MAX(Tasks[[#This Row],[_DoneFrom]],Tasks[[#This Row],[Start]]+ROUND((Tasks[[#This Row],[Finish]]-Tasks[[#This Row],[Start]]+1)*Tasks[[#This Row],[Progress]],0)-1)))</f>
        <v>0</v>
      </c>
      <c r="GW144" s="91" t="n">
        <f aca="false">IF(Tasks[[#This Row],[Task Name]]="",0,IF(OR(NOT(Tasks[[#This Row],[_IsLeaf]]=1),Tasks[[#This Row],[_IsMilestone]],N(Tasks[[#This Row],[Progress]])&gt;=1),0,IF(Tasks[[#This Row],[_DoneTo]]&gt;0,Tasks[[#This Row],[_DoneTo]]+1,Tasks[[#This Row],[Start]])))</f>
        <v>0</v>
      </c>
      <c r="GX144" s="91" t="n">
        <f aca="false">IF(Tasks[[#This Row],[_RemFrom]]=0,0,Tasks[[#This Row],[Finish]])</f>
        <v>0</v>
      </c>
      <c r="GY144" s="90" t="b">
        <f aca="false">IF(Tasks[[#This Row],[Task Name]]="",FALSE(),OR(NOT(BaselineSet),N(Tasks[[#This Row],[Baseline Start]])&gt;0))</f>
        <v>0</v>
      </c>
      <c r="GZ14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4" s="92" t="str">
        <f aca="false">IF(Tasks[[#This Row],[_IsLeaf]]=1,Tasks[[#This Row],[_Row]],"")</f>
        <v/>
      </c>
      <c r="HD144" s="92" t="str">
        <f aca="false">IFERROR(INDEX(Tasks[UID],SMALL(Tasks[_PickKey],Tasks[[#This Row],[_Row]]))&amp;" "&amp;INDEX(Tasks[Task Name],SMALL(Tasks[_PickKey],Tasks[[#This Row],[_Row]])),"")</f>
        <v/>
      </c>
      <c r="HE144" s="43" t="str">
        <f aca="false">IF(Tasks[[#This Row],[Task Name]]="","",IF(Tasks[[#This Row],[_IsSummary]],NETWORKDAYS.INTL(Tasks[[#This Row],[Start]],Tasks[[#This Row],[Finish]],WorkWeek,Holidays),N(Tasks[[#This Row],[_Days]])))</f>
        <v/>
      </c>
      <c r="HF144" s="43" t="n">
        <f aca="false">IF(Tasks[[#This Row],[Expected]]="",0,((Tasks[[#This Row],[Pessimistic]]-Tasks[[#This Row],[Optimistic]])/6)^2)</f>
        <v>0</v>
      </c>
      <c r="HG144" s="43" t="n">
        <f aca="false">IF(Tasks[[#This Row],[Expected]]="",0,Tasks[[#This Row],[Expected]]-N(Tasks[[#This Row],[_Days]]))</f>
        <v>0</v>
      </c>
    </row>
    <row r="145" customFormat="false" ht="15" hidden="false" customHeight="false" outlineLevel="0" collapsed="false">
      <c r="A145" s="21" t="str">
        <f aca="false">IF(Tasks[[#This Row],[Task Name]]="","",COUNTA(Tasks[[#Headers],[Task Name]]:Tasks[[#This Row],[Task Name]])-1)</f>
        <v/>
      </c>
      <c r="B145" s="22" t="n">
        <v>153</v>
      </c>
      <c r="C145" s="22"/>
      <c r="D145" s="23"/>
      <c r="E145" s="22"/>
      <c r="F145" s="23"/>
      <c r="G145" s="22"/>
      <c r="H145" s="22"/>
      <c r="I145" s="23"/>
      <c r="J145" s="22"/>
      <c r="K145" s="22"/>
      <c r="L145" s="23"/>
      <c r="M145" s="22"/>
      <c r="N145" s="22"/>
      <c r="O145" s="23"/>
      <c r="P145" s="22"/>
      <c r="Q145" s="22"/>
      <c r="R145" s="23"/>
      <c r="S145" s="23"/>
      <c r="T145" s="84"/>
      <c r="U145" s="23"/>
      <c r="V145" s="84"/>
      <c r="W145" s="23"/>
      <c r="X145" s="84"/>
      <c r="Y145" s="23"/>
      <c r="Z145" s="84"/>
      <c r="AA145" s="23"/>
      <c r="AB145" s="23"/>
      <c r="AC145" s="7"/>
      <c r="AD145" s="7"/>
      <c r="AE145" s="63" t="str">
        <f aca="false">IF(Tasks[[#This Row],[Task Name]]="","",IF(Tasks[[#This Row],[_IsSummary]],MIN(INDEX(Tasks[_ShownFcstStart],Tasks[[#This Row],[_Row]]+1):INDEX(Tasks[_ShownFcstStart],Tasks[[#This Row],[_Row]]+Tasks[[#This Row],[_Descendants]])),Tasks[[#This Row],[_ShownFcstStart]]))</f>
        <v/>
      </c>
      <c r="AF145" s="63" t="str">
        <f aca="false">IF(Tasks[[#This Row],[Task Name]]="","",IF(Tasks[[#This Row],[_IsSummary]],MAX(INDEX(Tasks[_ShownFcstFinish],Tasks[[#This Row],[_Row]]+1):INDEX(Tasks[_ShownFcstFinish],Tasks[[#This Row],[_Row]]+Tasks[[#This Row],[_Descendants]])),Tasks[[#This Row],[_ShownFcstFinish]]))</f>
        <v/>
      </c>
      <c r="AG145" s="21" t="str">
        <f aca="false">""</f>
        <v/>
      </c>
      <c r="AH145" s="23"/>
      <c r="AI1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5" s="7"/>
      <c r="AK145" s="22"/>
      <c r="AL145" s="23"/>
      <c r="AM145" s="7"/>
      <c r="AN145" s="47" t="str">
        <f aca="false">IF(Tasks[[#This Row],[Task Name]]="","",IF(Tasks[[#This Row],[Finish]]&gt;=Tasks[[#This Row],[Planned Finish]],NETWORKDAYS.INTL(Tasks[[#This Row],[Planned Finish]],Tasks[[#This Row],[Finish]],WorkWeek,Holidays)-1,1-NETWORKDAYS.INTL(Tasks[[#This Row],[Finish]],Tasks[[#This Row],[Planned Finish]],WorkWeek,Holidays)))</f>
        <v/>
      </c>
      <c r="AO145" s="21" t="str">
        <f aca="false">IF(Tasks[[#This Row],[Task Name]]="","",IF(Tasks[[#This Row],[Progress]]&gt;=1,"Complete",IF(OR(N(Tasks[[#This Row],[Actual Start]])&gt;0,Tasks[[#This Row],[Progress]]&gt;0),IF(Tasks[[#This Row],[Finish Var]]&gt;0,"Behind","In Progress"),IF(Tasks[[#This Row],[Planned Start]]&lt;StatusDate,"Late Start","Not Started"))))</f>
        <v/>
      </c>
      <c r="AP145" s="21" t="str">
        <f aca="false">IF(Tasks[[#This Row],[Task Name]]="","",IF(IF(Tasks[[#This Row],[_IsSummary]],COUNTIF(INDEX(Tasks[_LeafCritical],Tasks[[#This Row],[_Row]]+1):INDEX(Tasks[_LeafCritical],Tasks[[#This Row],[_Row]]+Tasks[[#This Row],[_Descendants]]),TRUE())&gt;0,Tasks[[#This Row],[_LeafCritical]]),"Yes",""))</f>
        <v/>
      </c>
      <c r="AQ145" s="63" t="str">
        <f aca="false">IF(Tasks[[#This Row],[Task Name]]="","",IF(N(Tasks[[#This Row],[Baseline Start]])&gt;0,Tasks[[#This Row],[Baseline Start]],Tasks[[#This Row],[_CalcStart]]))</f>
        <v/>
      </c>
      <c r="AR145" s="63" t="str">
        <f aca="false">IF(Tasks[[#This Row],[Task Name]]="","",IF(N(Tasks[[#This Row],[Baseline Finish]])&gt;0,Tasks[[#This Row],[Baseline Finish]],Tasks[[#This Row],[_CalcFinish]]))</f>
        <v/>
      </c>
      <c r="AS145" s="47" t="str">
        <f aca="false">IF(Tasks[[#This Row],[Task Name]]="","",IF(Tasks[[#This Row],[Start]]&gt;=Tasks[[#This Row],[Planned Start]],NETWORKDAYS.INTL(Tasks[[#This Row],[Planned Start]],Tasks[[#This Row],[Start]],WorkWeek,Holidays)-1,1-NETWORKDAYS.INTL(Tasks[[#This Row],[Start]],Tasks[[#This Row],[Planned Start]],WorkWeek,Holidays)))</f>
        <v/>
      </c>
      <c r="AT145" s="63" t="str">
        <f aca="false">IF(Tasks[[#This Row],[Task Name]]="","",IF(Tasks[[#This Row],[_IsSummary]],MIN(INDEX(Tasks[_LeafLateStart],Tasks[[#This Row],[_Row]]+1):INDEX(Tasks[_LeafLateStart],Tasks[[#This Row],[_Row]]+Tasks[[#This Row],[_Descendants]])),Tasks[[#This Row],[_LeafLateStart]]))</f>
        <v/>
      </c>
      <c r="AU145" s="63" t="str">
        <f aca="false">IF(Tasks[[#This Row],[Task Name]]="","",IF(Tasks[[#This Row],[_IsSummary]],MAX(INDEX(Tasks[_LeafLateFinish],Tasks[[#This Row],[_Row]]+1):INDEX(Tasks[_LeafLateFinish],Tasks[[#This Row],[_Row]]+Tasks[[#This Row],[_Descendants]])),Tasks[[#This Row],[_LeafLateFinish]]))</f>
        <v/>
      </c>
      <c r="AV145" s="47" t="str">
        <f aca="false">IF(Tasks[[#This Row],[Task Name]]="","",IF(Tasks[[#This Row],[_IsSummary]],MIN(INDEX(Tasks[_LeafTotalSlack],Tasks[[#This Row],[_Row]]+1):INDEX(Tasks[_LeafTotalSlack],Tasks[[#This Row],[_Row]]+Tasks[[#This Row],[_Descendants]])),Tasks[[#This Row],[_LeafTotalSlack]]))</f>
        <v/>
      </c>
      <c r="AW1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5"/>
      <c r="BA14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1" t="str">
        <f aca="false">IF(Tasks[[#This Row],[Task Name]]="","",IF(Tasks[[#This Row],[_Level]]&lt;=OutlineShowLevel,"Yes","No"))</f>
        <v/>
      </c>
      <c r="BE145" s="86" t="str">
        <f aca="false">IF(Tasks[[#This Row],[Task Name]]="","",IF(Tasks[[#This Row],[_IsSummary]],SUM(INDEX(Tasks[_LeafTotalWork],Tasks[[#This Row],[_Row]]+1):INDEX(Tasks[_LeafTotalWork],Tasks[[#This Row],[_Row]]+Tasks[[#This Row],[_Descendants]])),Tasks[[#This Row],[_LeafTotalWork]]))</f>
        <v/>
      </c>
      <c r="BF145" s="23"/>
      <c r="BG1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5" s="21" t="str">
        <f aca="false">""</f>
        <v/>
      </c>
      <c r="BI145" s="87"/>
      <c r="BJ145" s="22"/>
      <c r="BK145" s="47" t="str">
        <f aca="false">IF(OR(Tasks[[#This Row],[Task Name]]="",Tasks[[#This Row],[Baseline Duration]]=""),"",Tasks[[#This Row],[_SpanDays]]-N(Tasks[[#This Row],[Baseline Duration]]))</f>
        <v/>
      </c>
      <c r="BL145" s="86" t="str">
        <f aca="false">IF(OR(Tasks[[#This Row],[Task Name]]="",Tasks[[#This Row],[Baseline Work]]=""),"",Tasks[[#This Row],[Work]]-N(Tasks[[#This Row],[Baseline Work]]))</f>
        <v/>
      </c>
      <c r="BM145" s="63" t="str">
        <f aca="false">IF(Tasks[[#This Row],[Task Name]]="","",IF(OR(TakeBaseline="Yes",N(Tasks[[#This Row],[Baseline Start]])=0),Tasks[[#This Row],[Start]],Tasks[[#This Row],[Baseline Start]]))</f>
        <v/>
      </c>
      <c r="BN145" s="63" t="str">
        <f aca="false">IF(Tasks[[#This Row],[Task Name]]="","",IF(OR(TakeBaseline="Yes",N(Tasks[[#This Row],[Baseline Finish]])=0),Tasks[[#This Row],[Finish]],Tasks[[#This Row],[Baseline Finish]]))</f>
        <v/>
      </c>
      <c r="BO145" s="21" t="str">
        <f aca="false">IF(Tasks[[#This Row],[Task Name]]="","",IF(OR(TakeBaseline="Yes",N(Tasks[[#This Row],[Baseline Duration]])=0),Tasks[[#This Row],[_SpanDays]],Tasks[[#This Row],[Baseline Duration]]))</f>
        <v/>
      </c>
      <c r="BP145" s="86" t="str">
        <f aca="false">IF(Tasks[[#This Row],[Task Name]]="","",IF(OR(TakeBaseline="Yes",N(Tasks[[#This Row],[Baseline Work]])=0),Tasks[[#This Row],[Work]],Tasks[[#This Row],[Baseline Work]]))</f>
        <v/>
      </c>
      <c r="BQ145" s="7"/>
      <c r="BR145" s="7"/>
      <c r="BS145" s="22"/>
      <c r="BT145" s="88"/>
      <c r="BU145" s="23"/>
      <c r="BV145" s="23"/>
      <c r="BW145" s="23"/>
      <c r="BX145" s="89" t="str">
        <f aca="false">IF(AND(Tasks[[#This Row],[_IsLeaf]]=1,ISNUMBER(Tasks[[#This Row],[Optimistic]]),ISNUMBER(Tasks[[#This Row],[Pessimistic]])),ROUND((Tasks[[#This Row],[Optimistic]]+4*N(Tasks[[#This Row],[_Days]])+Tasks[[#This Row],[Pessimistic]])/6,1),"")</f>
        <v/>
      </c>
      <c r="BY145" s="87"/>
      <c r="BZ145" s="87"/>
      <c r="CA145" s="22"/>
      <c r="CB145" s="43" t="str">
        <f aca="false">IF(Tasks[[#This Row],[Task Name]]="","",MAX(1,N(Tasks[[#This Row],[Level]])))</f>
        <v/>
      </c>
      <c r="CC145" s="43" t="n">
        <f aca="false">ROW()-ROW(Tasks[[#Headers],[ID]])</f>
        <v>140</v>
      </c>
      <c r="CD145" s="43" t="n">
        <f aca="false">IF(OR(Tasks[[#This Row],[Task Name]]="",Tasks[[#This Row],[_Level]]&lt;=1),0,IFERROR(LOOKUP(2,1/(Tasks[[#Headers],[_Level]]:Tasks[[#This Row],[_Level]]=Tasks[[#This Row],[_Level]]-1),ROW(Tasks[[#Headers],[_Level]]:Tasks[[#This Row],[_Level]])),0))</f>
        <v>0</v>
      </c>
      <c r="CE145" s="43" t="n">
        <f aca="false">IFERROR(N(INDEX(Tasks[_Level],Tasks[[#This Row],[_Row]]+1)),0)</f>
        <v>0</v>
      </c>
      <c r="CF145" s="90" t="b">
        <f aca="false">AND(Tasks[[#This Row],[Task Name]]&lt;&gt;"",Tasks[[#This Row],[_NextLevel]]&gt;Tasks[[#This Row],[_Level]])</f>
        <v>0</v>
      </c>
      <c r="CG145" s="43" t="n">
        <f aca="false">IF(Tasks[[#This Row],[_IsSummary]],COUNTIF(Tasks[WBS],Tasks[[#This Row],[WBS]]&amp;".*"),0)</f>
        <v>0</v>
      </c>
      <c r="CH145" s="43" t="n">
        <f aca="false">IF(AND(Tasks[[#This Row],[Task Name]]&lt;&gt;"",NOT(Tasks[[#This Row],[_IsSummary]])),1,0)</f>
        <v>0</v>
      </c>
      <c r="CI145" s="43" t="n">
        <f aca="false">IF(N(Tasks[[#This Row],[_Pred1UID]])=0,0,IFERROR(MATCH(Tasks[[#This Row],[_Pred1UID]],Tasks[UID],0),-1))</f>
        <v>0</v>
      </c>
      <c r="CJ145" s="43" t="n">
        <f aca="false">IF(N(Tasks[[#This Row],[_Pred2UID]])=0,0,IFERROR(MATCH(Tasks[[#This Row],[_Pred2UID]],Tasks[UID],0),-1))</f>
        <v>0</v>
      </c>
      <c r="CK145" s="43" t="n">
        <f aca="false">IF(N(Tasks[[#This Row],[_Pred3UID]])=0,0,IFERROR(MATCH(Tasks[[#This Row],[_Pred3UID]],Tasks[UID],0),-1))</f>
        <v>0</v>
      </c>
      <c r="CL145" s="43" t="n">
        <f aca="false">IF(N(Tasks[[#This Row],[_Pred4UID]])=0,0,IFERROR(MATCH(Tasks[[#This Row],[_Pred4UID]],Tasks[UID],0),-1))</f>
        <v>0</v>
      </c>
      <c r="CM14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5" s="91" t="n">
        <f aca="false">IF(OR(Tasks[[#This Row],[_ConstraintCode]]=2,Tasks[[#This Row],[_ConstraintCode]]=3,Tasks[[#This Row],[_ConstraintCode]]=4,Tasks[[#This Row],[_ConstraintCode]]=6),Tasks[[#This Row],[_ConstraintStart]],0)</f>
        <v>0</v>
      </c>
      <c r="CP145" s="91" t="n">
        <f aca="false">IF(OR(Tasks[[#This Row],[_ConstraintCode]]=2,Tasks[[#This Row],[_ConstraintCode]]=3,Tasks[[#This Row],[_ConstraintCode]]=5,Tasks[[#This Row],[_ConstraintCode]]=7),Tasks[[#This Row],[_ConstraintStart]],2958465)</f>
        <v>2958465</v>
      </c>
      <c r="CQ14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5" s="91" t="str">
        <f aca="false">IF(NOT(Tasks[[#This Row],[_IsLeaf]]=1),"",IF(N(Tasks[[#This Row],[_Days]])&lt;=0,Tasks[[#This Row],[_LeafCalcStart]],WORKDAY.INTL(Tasks[[#This Row],[_LeafCalcStart]],Tasks[[#This Row],[_Days]]-1,WorkWeek,Holidays)))</f>
        <v/>
      </c>
      <c r="CS14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5" s="43" t="str">
        <f aca="false">IF(Tasks[[#This Row],[_Predecessors]]="","",TRIM(MID(SUBSTITUTE(SUBSTITUTE(SUBSTITUTE(UPPER(Tasks[[#This Row],[_Predecessors]]),";",",")," ",""),",",REPT(" ",99)),1,99)))</f>
        <v/>
      </c>
      <c r="CV145" s="43" t="str">
        <f aca="false">IF(Tasks[[#This Row],[_Pred1Text]]="","",IFERROR(VALUE(LEFT(Tasks[[#This Row],[_Pred1Text]],MIN(FIND("F",Tasks[[#This Row],[_Pred1Text]]&amp;"F"),FIND("S",Tasks[[#This Row],[_Pred1Text]]&amp;"S"),FIND("+",Tasks[[#This Row],[_Pred1Text]]&amp;"+"),FIND("-",Tasks[[#This Row],[_Pred1Text]]&amp;"-"))-1)),""))</f>
        <v/>
      </c>
      <c r="CW14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5" s="43" t="str">
        <f aca="false">IF(Tasks[[#This Row],[_Pred1Text]]="","",TRIM(MID(SUBSTITUTE(SUBSTITUTE(SUBSTITUTE(UPPER(Tasks[[#This Row],[_Predecessors]]),";",",")," ",""),",",REPT(" ",99)),100,99)))</f>
        <v/>
      </c>
      <c r="CZ145" s="43" t="str">
        <f aca="false">IF(Tasks[[#This Row],[_Pred2Text]]="","",IFERROR(VALUE(LEFT(Tasks[[#This Row],[_Pred2Text]],MIN(FIND("F",Tasks[[#This Row],[_Pred2Text]]&amp;"F"),FIND("S",Tasks[[#This Row],[_Pred2Text]]&amp;"S"),FIND("+",Tasks[[#This Row],[_Pred2Text]]&amp;"+"),FIND("-",Tasks[[#This Row],[_Pred2Text]]&amp;"-"))-1)),""))</f>
        <v/>
      </c>
      <c r="DA14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5" s="43" t="str">
        <f aca="false">IF(Tasks[[#This Row],[_Pred2Text]]="","",TRIM(MID(SUBSTITUTE(SUBSTITUTE(SUBSTITUTE(UPPER(Tasks[[#This Row],[_Predecessors]]),";",",")," ",""),",",REPT(" ",99)),199,99)))</f>
        <v/>
      </c>
      <c r="DD145" s="43" t="str">
        <f aca="false">IF(Tasks[[#This Row],[_Pred3Text]]="","",IFERROR(VALUE(LEFT(Tasks[[#This Row],[_Pred3Text]],MIN(FIND("F",Tasks[[#This Row],[_Pred3Text]]&amp;"F"),FIND("S",Tasks[[#This Row],[_Pred3Text]]&amp;"S"),FIND("+",Tasks[[#This Row],[_Pred3Text]]&amp;"+"),FIND("-",Tasks[[#This Row],[_Pred3Text]]&amp;"-"))-1)),""))</f>
        <v/>
      </c>
      <c r="DE14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5" s="43" t="str">
        <f aca="false">IF(Tasks[[#This Row],[_Pred3Text]]="","",TRIM(MID(SUBSTITUTE(SUBSTITUTE(SUBSTITUTE(UPPER(Tasks[[#This Row],[_Predecessors]]),";",",")," ",""),",",REPT(" ",99)),298,99)))</f>
        <v/>
      </c>
      <c r="DH145" s="43" t="str">
        <f aca="false">IF(Tasks[[#This Row],[_Pred4Text]]="","",IFERROR(VALUE(LEFT(Tasks[[#This Row],[_Pred4Text]],MIN(FIND("F",Tasks[[#This Row],[_Pred4Text]]&amp;"F"),FIND("S",Tasks[[#This Row],[_Pred4Text]]&amp;"S"),FIND("+",Tasks[[#This Row],[_Pred4Text]]&amp;"+"),FIND("-",Tasks[[#This Row],[_Pred4Text]]&amp;"-"))-1)),""))</f>
        <v/>
      </c>
      <c r="DI14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5" s="43" t="str">
        <f aca="false">IF(OR(Tasks[[#This Row],[Task Name]]="",Tasks[[#This Row],[_Resources]]=""),"",TRIM(MID(SUBSTITUTE(Tasks[[#This Row],[_Resources]],",",REPT(" ",99)),1,99)))</f>
        <v/>
      </c>
      <c r="DL145" s="43" t="str">
        <f aca="false">IF(Tasks[[#This Row],[_Res1Text]]="","",TRIM(MID(SUBSTITUTE(Tasks[[#This Row],[_Resources]],",",REPT(" ",99)),100,99)))</f>
        <v/>
      </c>
      <c r="DM145" s="43" t="str">
        <f aca="false">IF(Tasks[[#This Row],[_Res2Text]]="","",TRIM(MID(SUBSTITUTE(Tasks[[#This Row],[_Resources]],",",REPT(" ",99)),199,99)))</f>
        <v/>
      </c>
      <c r="DN145" s="43" t="str">
        <f aca="false">IF(Tasks[[#This Row],[_Res3Text]]="","",TRIM(MID(SUBSTITUTE(Tasks[[#This Row],[_Resources]],",",REPT(" ",99)),298,99)))</f>
        <v/>
      </c>
      <c r="DO145" s="43" t="n">
        <f aca="false">IF(Tasks[[#This Row],[_Res1Text]]="",0,IFERROR(MATCH(TRIM(LEFT(Tasks[[#This Row],[_Res1Text]],FIND("[",Tasks[[#This Row],[_Res1Text]]&amp;"[")-1)),res_Name,0),IFERROR(MATCH(TRIM(LEFT(Tasks[[#This Row],[_Res1Text]],FIND("[",Tasks[[#This Row],[_Res1Text]]&amp;"[")-1)),res_Initials,0),0)))</f>
        <v>0</v>
      </c>
      <c r="DP145" s="43" t="n">
        <f aca="false">IF(Tasks[[#This Row],[_Res2Text]]="",0,IFERROR(MATCH(TRIM(LEFT(Tasks[[#This Row],[_Res2Text]],FIND("[",Tasks[[#This Row],[_Res2Text]]&amp;"[")-1)),res_Name,0),IFERROR(MATCH(TRIM(LEFT(Tasks[[#This Row],[_Res2Text]],FIND("[",Tasks[[#This Row],[_Res2Text]]&amp;"[")-1)),res_Initials,0),0)))</f>
        <v>0</v>
      </c>
      <c r="DQ145" s="43" t="n">
        <f aca="false">IF(Tasks[[#This Row],[_Res3Text]]="",0,IFERROR(MATCH(TRIM(LEFT(Tasks[[#This Row],[_Res3Text]],FIND("[",Tasks[[#This Row],[_Res3Text]]&amp;"[")-1)),res_Name,0),IFERROR(MATCH(TRIM(LEFT(Tasks[[#This Row],[_Res3Text]],FIND("[",Tasks[[#This Row],[_Res3Text]]&amp;"[")-1)),res_Initials,0),0)))</f>
        <v>0</v>
      </c>
      <c r="DR145" s="43" t="n">
        <f aca="false">IF(Tasks[[#This Row],[_Res4Text]]="",0,IFERROR(MATCH(TRIM(LEFT(Tasks[[#This Row],[_Res4Text]],FIND("[",Tasks[[#This Row],[_Res4Text]]&amp;"[")-1)),res_Name,0),IFERROR(MATCH(TRIM(LEFT(Tasks[[#This Row],[_Res4Text]],FIND("[",Tasks[[#This Row],[_Res4Text]]&amp;"[")-1)),res_Initials,0),0)))</f>
        <v>0</v>
      </c>
      <c r="DS145" s="43" t="str">
        <f aca="false">IF(Tasks[[#This Row],[_Res1Text]]="","",IF(Tasks[[#This Row],[_Res1Row]]&gt;0,INDEX(res_Name,Tasks[[#This Row],[_Res1Row]]),TRIM(LEFT(Tasks[[#This Row],[_Res1Text]],FIND("[",Tasks[[#This Row],[_Res1Text]]&amp;"[")-1))))</f>
        <v/>
      </c>
      <c r="DT14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5" s="43" t="n">
        <f aca="false">IF(NOT(Tasks[[#This Row],[_IsLeaf]]=1),0,(Tasks[[#This Row],[_Resource1]]&lt;&gt;"")+(Tasks[[#This Row],[_Res2]]&lt;&gt;"")+(Tasks[[#This Row],[_Res3]]&lt;&gt;"")+(Tasks[[#This Row],[_Res4]]&lt;&gt;""))</f>
        <v>0</v>
      </c>
      <c r="DV145" s="43" t="str">
        <f aca="false">IF(Tasks[[#This Row],[_Res2Text]]="","",IF(Tasks[[#This Row],[_Res2Row]]&gt;0,INDEX(res_Name,Tasks[[#This Row],[_Res2Row]]),TRIM(LEFT(Tasks[[#This Row],[_Res2Text]],FIND("[",Tasks[[#This Row],[_Res2Text]]&amp;"[")-1))))</f>
        <v/>
      </c>
      <c r="DW14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5" s="43" t="n">
        <f aca="false">IF(OR(NOT(Tasks[[#This Row],[_IsLeaf]]=1),Tasks[[#This Row],[_Res2Row]]=0),0,N(Tasks[[#This Row],[_Days]])*HoursPerDay*IF(Tasks[[#This Row],[_Res2Units]]="",DefaultUnits,Tasks[[#This Row],[_Res2Units]]))</f>
        <v>0</v>
      </c>
      <c r="DY145" s="43" t="n">
        <f aca="false">IF(AND(AND(Tasks[[#This Row],[_IsLeaf]]=1,Tasks[[#This Row],[_LeafTotalWork]]&gt;0),Tasks[[#This Row],[_Res2Work]]&gt;0),Tasks[[#This Row],[_Res2Work]]/(Tasks[[#This Row],[_FinishWorkday]]-Tasks[[#This Row],[_StartWorkday]]+1),0)</f>
        <v>0</v>
      </c>
      <c r="DZ145" s="43" t="n">
        <f aca="false">Tasks[[#This Row],[_Res2WorkPerWD]]*MAX(0,Tasks[[#This Row],[_StartWorkday]]-1)</f>
        <v>0</v>
      </c>
      <c r="EA145" s="43" t="n">
        <f aca="false">Tasks[[#This Row],[_Res2Work]]*Tasks[[#This Row],[_LeafProgress]]</f>
        <v>0</v>
      </c>
      <c r="EB145" s="43" t="str">
        <f aca="false">IF(Tasks[[#This Row],[_Res3Text]]="","",IF(Tasks[[#This Row],[_Res3Row]]&gt;0,INDEX(res_Name,Tasks[[#This Row],[_Res3Row]]),TRIM(LEFT(Tasks[[#This Row],[_Res3Text]],FIND("[",Tasks[[#This Row],[_Res3Text]]&amp;"[")-1))))</f>
        <v/>
      </c>
      <c r="EC14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5" s="43" t="n">
        <f aca="false">IF(OR(NOT(Tasks[[#This Row],[_IsLeaf]]=1),Tasks[[#This Row],[_Res3Row]]=0),0,N(Tasks[[#This Row],[_Days]])*HoursPerDay*IF(Tasks[[#This Row],[_Res3Units]]="",DefaultUnits,Tasks[[#This Row],[_Res3Units]]))</f>
        <v>0</v>
      </c>
      <c r="EE145" s="43" t="n">
        <f aca="false">IF(AND(AND(Tasks[[#This Row],[_IsLeaf]]=1,Tasks[[#This Row],[_LeafTotalWork]]&gt;0),Tasks[[#This Row],[_Res3Work]]&gt;0),Tasks[[#This Row],[_Res3Work]]/(Tasks[[#This Row],[_FinishWorkday]]-Tasks[[#This Row],[_StartWorkday]]+1),0)</f>
        <v>0</v>
      </c>
      <c r="EF145" s="43" t="n">
        <f aca="false">Tasks[[#This Row],[_Res3WorkPerWD]]*MAX(0,Tasks[[#This Row],[_StartWorkday]]-1)</f>
        <v>0</v>
      </c>
      <c r="EG145" s="43" t="n">
        <f aca="false">Tasks[[#This Row],[_Res3Work]]*Tasks[[#This Row],[_LeafProgress]]</f>
        <v>0</v>
      </c>
      <c r="EH145" s="43" t="str">
        <f aca="false">IF(Tasks[[#This Row],[_Res4Text]]="","",IF(Tasks[[#This Row],[_Res4Row]]&gt;0,INDEX(res_Name,Tasks[[#This Row],[_Res4Row]]),TRIM(LEFT(Tasks[[#This Row],[_Res4Text]],FIND("[",Tasks[[#This Row],[_Res4Text]]&amp;"[")-1))))</f>
        <v/>
      </c>
      <c r="EI14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5" s="43" t="n">
        <f aca="false">IF(OR(NOT(Tasks[[#This Row],[_IsLeaf]]=1),Tasks[[#This Row],[_Res4Row]]=0),0,N(Tasks[[#This Row],[_Days]])*HoursPerDay*IF(Tasks[[#This Row],[_Res4Units]]="",DefaultUnits,Tasks[[#This Row],[_Res4Units]]))</f>
        <v>0</v>
      </c>
      <c r="EK145" s="43" t="n">
        <f aca="false">IF(AND(AND(Tasks[[#This Row],[_IsLeaf]]=1,Tasks[[#This Row],[_LeafTotalWork]]&gt;0),Tasks[[#This Row],[_Res4Work]]&gt;0),Tasks[[#This Row],[_Res4Work]]/(Tasks[[#This Row],[_FinishWorkday]]-Tasks[[#This Row],[_StartWorkday]]+1),0)</f>
        <v>0</v>
      </c>
      <c r="EL145" s="43" t="n">
        <f aca="false">Tasks[[#This Row],[_Res4WorkPerWD]]*MAX(0,Tasks[[#This Row],[_StartWorkday]]-1)</f>
        <v>0</v>
      </c>
      <c r="EM145" s="43" t="n">
        <f aca="false">Tasks[[#This Row],[_Res4Work]]*Tasks[[#This Row],[_LeafProgress]]</f>
        <v>0</v>
      </c>
      <c r="EN145" s="43" t="n">
        <f aca="false">IF(ISNUMBER(Tasks[[#This Row],[% Complete]]),Tasks[[#This Row],[% Complete]],IF(Tasks[[#This Row],[Stage]]="",0,IFERROR(INDEX(stg_Pct,MATCH(Tasks[[#This Row],[Stage]],stg_Name,0)),0)))</f>
        <v>0</v>
      </c>
      <c r="EO145" s="43" t="n">
        <f aca="false">IF(NOT(Tasks[[#This Row],[_IsLeaf]]=1),0,IF(N(Tasks[[#This Row],[Actual Finish]])&gt;0,1,MIN(1,Tasks[[#This Row],[_Pct]])))</f>
        <v>0</v>
      </c>
      <c r="EP145" s="43" t="n">
        <f aca="false">IF(OR(NOT(Tasks[[#This Row],[_IsLeaf]]=1),Tasks[[#This Row],[_Res1Row]]=0),0,N(Tasks[[#This Row],[_Days]])*HoursPerDay*IF(Tasks[[#This Row],[_Units1]]="",DefaultUnits,Tasks[[#This Row],[_Units1]]))</f>
        <v>0</v>
      </c>
      <c r="EQ145" s="43" t="n">
        <f aca="false">Tasks[[#This Row],[_LeafWork]]+Tasks[[#This Row],[_Res2Work]]+Tasks[[#This Row],[_Res3Work]]+Tasks[[#This Row],[_Res4Work]]</f>
        <v>0</v>
      </c>
      <c r="ER14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5" s="43" t="n">
        <f aca="false">IF(NOT(Tasks[[#This Row],[_IsLeaf]]=1),0,MAX(_xlfn.MAXIFS(Tasks[_Row],Tasks[_Pred1UID],Tasks[[#This Row],[UID]]),_xlfn.MAXIFS(Tasks[_Row],Tasks[_Pred2UID],Tasks[[#This Row],[UID]]),_xlfn.MAXIFS(Tasks[_Row],Tasks[_Pred3UID],Tasks[[#This Row],[UID]]),_xlfn.MAXIFS(Tasks[_Row],Tasks[_Pred4UID],Tasks[[#This Row],[UID]])))</f>
        <v>0</v>
      </c>
      <c r="FA14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5" s="91" t="str">
        <f aca="false">IF(NOT(Tasks[[#This Row],[_IsLeaf]]=1),"",IF(N(Tasks[[#This Row],[_Days]])&lt;=0,Tasks[[#This Row],[_LeafLateFinish]],WORKDAY.INTL(Tasks[[#This Row],[_LeafLateFinish]],-(Tasks[[#This Row],[_Days]]-1),WorkWeek,Holidays)))</f>
        <v/>
      </c>
      <c r="FD14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5" s="90" t="b">
        <f aca="false">AND(Tasks[[#This Row],[_IsLeaf]]=1,Tasks[[#This Row],[_LeafProgress]]&lt;1,N(Tasks[[#This Row],[_LeafTotalSlack]])&lt;=CriticalSlackDays)</f>
        <v>0</v>
      </c>
      <c r="FF145" s="43" t="n">
        <f aca="false">IF(AND(Tasks[[#This Row],[_IsLeaf]]=1,Tasks[[#This Row],[_ConstraintCode]]=1,Tasks[[#This Row],[Mode]]&lt;&gt;"Manual",N(Tasks[[#This Row],[Actual Start]])=0),MAX(0,N(Tasks[[#This Row],[Free Slack]])),0)</f>
        <v>0</v>
      </c>
      <c r="FG145" s="91" t="str">
        <f aca="false">IF(NOT(Tasks[[#This Row],[_IsLeaf]]=1),"",IF(Tasks[[#This Row],[_AlapShift]]=0,Tasks[[#This Row],[_LeafCalcStart]],WORKDAY.INTL(Tasks[[#This Row],[_LeafCalcStart]],Tasks[[#This Row],[_AlapShift]],WorkWeek,Holidays)))</f>
        <v/>
      </c>
      <c r="FH145" s="91" t="str">
        <f aca="false">IF(NOT(Tasks[[#This Row],[_IsLeaf]]=1),"",IF(Tasks[[#This Row],[_AlapShift]]=0,Tasks[[#This Row],[_LeafCalcFinish]],WORKDAY.INTL(Tasks[[#This Row],[_LeafCalcFinish]],Tasks[[#This Row],[_AlapShift]],WorkWeek,Holidays)))</f>
        <v/>
      </c>
      <c r="FI145" s="91" t="str">
        <f aca="false">IF(NOT(Tasks[[#This Row],[_IsLeaf]]=1),"",IF(Tasks[[#This Row],[_AlapShift]]=0,Tasks[[#This Row],[_LeafFcstStart]],WORKDAY.INTL(Tasks[[#This Row],[_LeafFcstStart]],Tasks[[#This Row],[_AlapShift]],WorkWeek,Holidays)))</f>
        <v/>
      </c>
      <c r="FJ145" s="91" t="str">
        <f aca="false">IF(NOT(Tasks[[#This Row],[_IsLeaf]]=1),"",IF(Tasks[[#This Row],[_AlapShift]]=0,Tasks[[#This Row],[_LeafFcstFinish]],WORKDAY.INTL(Tasks[[#This Row],[_LeafFcstFinish]],Tasks[[#This Row],[_AlapShift]],WorkWeek,Holidays)))</f>
        <v/>
      </c>
      <c r="FK145" s="91" t="str">
        <f aca="false">IF(Tasks[[#This Row],[Task Name]]="","",IF(Tasks[[#This Row],[_IsSummary]],MIN(INDEX(Tasks[_ShownCalcStart],Tasks[[#This Row],[_Row]]+1):INDEX(Tasks[_ShownCalcStart],Tasks[[#This Row],[_Row]]+Tasks[[#This Row],[_Descendants]])),Tasks[[#This Row],[_ShownCalcStart]]))</f>
        <v/>
      </c>
      <c r="FL145" s="91" t="str">
        <f aca="false">IF(Tasks[[#This Row],[Task Name]]="","",IF(Tasks[[#This Row],[_IsSummary]],MAX(INDEX(Tasks[_ShownCalcFinish],Tasks[[#This Row],[_Row]]+1):INDEX(Tasks[_ShownCalcFinish],Tasks[[#This Row],[_Row]]+Tasks[[#This Row],[_Descendants]])),Tasks[[#This Row],[_ShownCalcFinish]]))</f>
        <v/>
      </c>
      <c r="FM14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5" s="43" t="n">
        <f aca="false">IF(AND(Tasks[[#This Row],[_IsLeaf]]=1,Tasks[[#This Row],[_LeafTotalWork]]&gt;0),NETWORKDAYS.INTL(ProjectStart,Tasks[[#This Row],[_ShownFcstStart]],WorkWeek,Holidays),0)</f>
        <v>0</v>
      </c>
      <c r="FZ145" s="43" t="n">
        <f aca="false">IF(AND(Tasks[[#This Row],[_IsLeaf]]=1,Tasks[[#This Row],[_LeafTotalWork]]&gt;0),MAX(Tasks[[#This Row],[_StartWorkday]],NETWORKDAYS.INTL(ProjectStart,Tasks[[#This Row],[_ShownFcstFinish]],WorkWeek,Holidays)),0)</f>
        <v>0</v>
      </c>
      <c r="GA145" s="43" t="n">
        <f aca="false">IF(AND(Tasks[[#This Row],[_IsLeaf]]=1,Tasks[[#This Row],[_LeafTotalWork]]&gt;0),Tasks[[#This Row],[_LeafWork]]/(Tasks[[#This Row],[_FinishWorkday]]-Tasks[[#This Row],[_StartWorkday]]+1),0)</f>
        <v>0</v>
      </c>
      <c r="GB145" s="43" t="n">
        <f aca="false">Tasks[[#This Row],[_WorkPerWorkday]]*(Tasks[[#This Row],[_StartWorkday]]-1)</f>
        <v>-0</v>
      </c>
      <c r="GC145" s="43" t="n">
        <f aca="false">IF(Tasks[[#This Row],[_IsLeaf]]=1,MAX(N(Tasks[[#This Row],[_Days]]),0.1),0)</f>
        <v>0</v>
      </c>
      <c r="GD145" s="43" t="n">
        <f aca="false">Tasks[[#This Row],[_WeightDur]]*Tasks[[#This Row],[_LeafProgress]]</f>
        <v>0</v>
      </c>
      <c r="GE145" s="43" t="n">
        <f aca="false">Tasks[[#This Row],[_WeightDur]]*Tasks[[#This Row],[_PlannedPct]]</f>
        <v>0</v>
      </c>
      <c r="GF14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5" s="43" t="str">
        <f aca="false">IF(AND(Tasks[[#This Row],[_IsLeaf]]=1,N(Tasks[[#This Row],[_Days]])=0,Tasks[[#This Row],[_LeafProgress]]&lt;1),Tasks[[#This Row],[_ShownFcstFinish]]+Tasks[[#This Row],[_Row]]/100000,"")</f>
        <v/>
      </c>
      <c r="GH14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5" s="43" t="str">
        <f aca="false">IF(Tasks[[#This Row],[Task Name]]="","",LEFT(Tasks[[#This Row],[WBS]],FIND(".",Tasks[[#This Row],[WBS]]&amp;".")-1))</f>
        <v/>
      </c>
      <c r="GJ145" s="43" t="str">
        <f aca="false">IF(AND(Tasks[[#This Row],[Task Name]]&lt;&gt;"",Tasks[[#This Row],[_Level]]=1),Tasks[[#This Row],[_Row]],"")</f>
        <v/>
      </c>
      <c r="GK145" s="43" t="str">
        <f aca="false">IF(AND(Tasks[[#This Row],[_IsLeaf]]=1,N(Tasks[[#This Row],[_Days]])=0),Tasks[[#This Row],[Planned Finish]]+Tasks[[#This Row],[_Row]]/100000,"")</f>
        <v/>
      </c>
      <c r="GL145" s="43" t="str">
        <f aca="false">IF(AND(Tasks[[#This Row],[_IsLeaf]]=1,Tasks[[#This Row],[_LeafProgress]]&lt;1,OR(N(Tasks[[#This Row],[Finish Var]])&gt;0,Tasks[[#This Row],[Status]]="Late Start")),MAX(0,Tasks[[#This Row],[Finish Var]])+1-Tasks[[#This Row],[_Row]]/1000000,"")</f>
        <v/>
      </c>
      <c r="GM145" s="43" t="str">
        <f aca="false">IF(AND(Tasks[[#This Row],[_IsLeaf]]=1,N(Tasks[[#This Row],[Actual Start]])=0,Tasks[[#This Row],[_ShownFcstStart]]&gt;=StatusDate,Tasks[[#This Row],[_ShownFcstStart]]&lt;=LookaheadEnd),Tasks[[#This Row],[_ShownFcstStart]]+Tasks[[#This Row],[_Row]]/100000,"")</f>
        <v/>
      </c>
      <c r="GN145" s="43" t="str">
        <f aca="false">IF(AND(Tasks[[#This Row],[_IsLeaf]]=1,Tasks[[#This Row],[_LeafProgress]]&lt;1,Tasks[[#This Row],[_ShownFcstFinish]]&gt;=StatusDate,Tasks[[#This Row],[_ShownFcstFinish]]&lt;=LookaheadEnd),Tasks[[#This Row],[_ShownFcstFinish]]+Tasks[[#This Row],[_Row]]/100000,"")</f>
        <v/>
      </c>
      <c r="GO145" s="43" t="str">
        <f aca="false">IF(Tasks[[#This Row],[_LeafCritical]],Tasks[[#This Row],[_ShownFcstStart]]+Tasks[[#This Row],[_Row]]/100000,"")</f>
        <v/>
      </c>
      <c r="GP145" s="43" t="n">
        <f aca="false">Tasks[[#This Row],[_LeafWork]]*Tasks[[#This Row],[_LeafProgress]]</f>
        <v>0</v>
      </c>
      <c r="GQ145" s="91" t="str">
        <f aca="false">IF(AND(Tasks[[#This Row],[_IsLeaf]]=1,Tasks[[#This Row],[_LeafProgress]]&gt;=1),IF(N(Tasks[[#This Row],[Actual Finish]])&gt;0,Tasks[[#This Row],[Actual Finish]],Tasks[[#This Row],[_ShownFcstFinish]]),"")</f>
        <v/>
      </c>
      <c r="GR145" s="43" t="n">
        <f aca="false">IF(Tasks[[#This Row],[_IsLeaf]]=1,N(Tasks[[#This Row],[Story Points]]),0)</f>
        <v>0</v>
      </c>
      <c r="GS145" s="43" t="str">
        <f aca="false">""</f>
        <v/>
      </c>
      <c r="GT145" s="90" t="b">
        <f aca="false">IF(Tasks[[#This Row],[Task Name]]="",FALSE(),AND(Tasks[[#This Row],[_IsLeaf]]=1,N(Tasks[[#This Row],[_Days]])=0))</f>
        <v>0</v>
      </c>
      <c r="GU145" s="91" t="n">
        <f aca="false">IF(Tasks[[#This Row],[Task Name]]="",0,IF(AND(Tasks[[#This Row],[_IsLeaf]]=1,NOT(Tasks[[#This Row],[_IsMilestone]]),N(Tasks[[#This Row],[Progress]])&gt;0),Tasks[[#This Row],[Start]],0))</f>
        <v>0</v>
      </c>
      <c r="GV145" s="91" t="n">
        <f aca="false">IF(Tasks[[#This Row],[_DoneFrom]]=0,0,IF(Tasks[[#This Row],[Progress]]&gt;=1,Tasks[[#This Row],[Finish]],MAX(Tasks[[#This Row],[_DoneFrom]],Tasks[[#This Row],[Start]]+ROUND((Tasks[[#This Row],[Finish]]-Tasks[[#This Row],[Start]]+1)*Tasks[[#This Row],[Progress]],0)-1)))</f>
        <v>0</v>
      </c>
      <c r="GW145" s="91" t="n">
        <f aca="false">IF(Tasks[[#This Row],[Task Name]]="",0,IF(OR(NOT(Tasks[[#This Row],[_IsLeaf]]=1),Tasks[[#This Row],[_IsMilestone]],N(Tasks[[#This Row],[Progress]])&gt;=1),0,IF(Tasks[[#This Row],[_DoneTo]]&gt;0,Tasks[[#This Row],[_DoneTo]]+1,Tasks[[#This Row],[Start]])))</f>
        <v>0</v>
      </c>
      <c r="GX145" s="91" t="n">
        <f aca="false">IF(Tasks[[#This Row],[_RemFrom]]=0,0,Tasks[[#This Row],[Finish]])</f>
        <v>0</v>
      </c>
      <c r="GY145" s="90" t="b">
        <f aca="false">IF(Tasks[[#This Row],[Task Name]]="",FALSE(),OR(NOT(BaselineSet),N(Tasks[[#This Row],[Baseline Start]])&gt;0))</f>
        <v>0</v>
      </c>
      <c r="GZ14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5" s="92" t="str">
        <f aca="false">IF(Tasks[[#This Row],[_IsLeaf]]=1,Tasks[[#This Row],[_Row]],"")</f>
        <v/>
      </c>
      <c r="HD145" s="92" t="str">
        <f aca="false">IFERROR(INDEX(Tasks[UID],SMALL(Tasks[_PickKey],Tasks[[#This Row],[_Row]]))&amp;" "&amp;INDEX(Tasks[Task Name],SMALL(Tasks[_PickKey],Tasks[[#This Row],[_Row]])),"")</f>
        <v/>
      </c>
      <c r="HE145" s="43" t="str">
        <f aca="false">IF(Tasks[[#This Row],[Task Name]]="","",IF(Tasks[[#This Row],[_IsSummary]],NETWORKDAYS.INTL(Tasks[[#This Row],[Start]],Tasks[[#This Row],[Finish]],WorkWeek,Holidays),N(Tasks[[#This Row],[_Days]])))</f>
        <v/>
      </c>
      <c r="HF145" s="43" t="n">
        <f aca="false">IF(Tasks[[#This Row],[Expected]]="",0,((Tasks[[#This Row],[Pessimistic]]-Tasks[[#This Row],[Optimistic]])/6)^2)</f>
        <v>0</v>
      </c>
      <c r="HG145" s="43" t="n">
        <f aca="false">IF(Tasks[[#This Row],[Expected]]="",0,Tasks[[#This Row],[Expected]]-N(Tasks[[#This Row],[_Days]]))</f>
        <v>0</v>
      </c>
    </row>
    <row r="146" customFormat="false" ht="15" hidden="false" customHeight="false" outlineLevel="0" collapsed="false">
      <c r="A146" s="21" t="str">
        <f aca="false">IF(Tasks[[#This Row],[Task Name]]="","",COUNTA(Tasks[[#Headers],[Task Name]]:Tasks[[#This Row],[Task Name]])-1)</f>
        <v/>
      </c>
      <c r="B146" s="22" t="n">
        <v>154</v>
      </c>
      <c r="C146" s="22"/>
      <c r="D146" s="23"/>
      <c r="E146" s="22"/>
      <c r="F146" s="23"/>
      <c r="G146" s="22"/>
      <c r="H146" s="22"/>
      <c r="I146" s="23"/>
      <c r="J146" s="22"/>
      <c r="K146" s="22"/>
      <c r="L146" s="23"/>
      <c r="M146" s="22"/>
      <c r="N146" s="22"/>
      <c r="O146" s="23"/>
      <c r="P146" s="22"/>
      <c r="Q146" s="22"/>
      <c r="R146" s="23"/>
      <c r="S146" s="23"/>
      <c r="T146" s="84"/>
      <c r="U146" s="23"/>
      <c r="V146" s="84"/>
      <c r="W146" s="23"/>
      <c r="X146" s="84"/>
      <c r="Y146" s="23"/>
      <c r="Z146" s="84"/>
      <c r="AA146" s="23"/>
      <c r="AB146" s="23"/>
      <c r="AC146" s="7"/>
      <c r="AD146" s="7"/>
      <c r="AE146" s="63" t="str">
        <f aca="false">IF(Tasks[[#This Row],[Task Name]]="","",IF(Tasks[[#This Row],[_IsSummary]],MIN(INDEX(Tasks[_ShownFcstStart],Tasks[[#This Row],[_Row]]+1):INDEX(Tasks[_ShownFcstStart],Tasks[[#This Row],[_Row]]+Tasks[[#This Row],[_Descendants]])),Tasks[[#This Row],[_ShownFcstStart]]))</f>
        <v/>
      </c>
      <c r="AF146" s="63" t="str">
        <f aca="false">IF(Tasks[[#This Row],[Task Name]]="","",IF(Tasks[[#This Row],[_IsSummary]],MAX(INDEX(Tasks[_ShownFcstFinish],Tasks[[#This Row],[_Row]]+1):INDEX(Tasks[_ShownFcstFinish],Tasks[[#This Row],[_Row]]+Tasks[[#This Row],[_Descendants]])),Tasks[[#This Row],[_ShownFcstFinish]]))</f>
        <v/>
      </c>
      <c r="AG146" s="21" t="str">
        <f aca="false">""</f>
        <v/>
      </c>
      <c r="AH146" s="23"/>
      <c r="AI1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6" s="7"/>
      <c r="AK146" s="22"/>
      <c r="AL146" s="23"/>
      <c r="AM146" s="7"/>
      <c r="AN146" s="47" t="str">
        <f aca="false">IF(Tasks[[#This Row],[Task Name]]="","",IF(Tasks[[#This Row],[Finish]]&gt;=Tasks[[#This Row],[Planned Finish]],NETWORKDAYS.INTL(Tasks[[#This Row],[Planned Finish]],Tasks[[#This Row],[Finish]],WorkWeek,Holidays)-1,1-NETWORKDAYS.INTL(Tasks[[#This Row],[Finish]],Tasks[[#This Row],[Planned Finish]],WorkWeek,Holidays)))</f>
        <v/>
      </c>
      <c r="AO146" s="21" t="str">
        <f aca="false">IF(Tasks[[#This Row],[Task Name]]="","",IF(Tasks[[#This Row],[Progress]]&gt;=1,"Complete",IF(OR(N(Tasks[[#This Row],[Actual Start]])&gt;0,Tasks[[#This Row],[Progress]]&gt;0),IF(Tasks[[#This Row],[Finish Var]]&gt;0,"Behind","In Progress"),IF(Tasks[[#This Row],[Planned Start]]&lt;StatusDate,"Late Start","Not Started"))))</f>
        <v/>
      </c>
      <c r="AP146" s="21" t="str">
        <f aca="false">IF(Tasks[[#This Row],[Task Name]]="","",IF(IF(Tasks[[#This Row],[_IsSummary]],COUNTIF(INDEX(Tasks[_LeafCritical],Tasks[[#This Row],[_Row]]+1):INDEX(Tasks[_LeafCritical],Tasks[[#This Row],[_Row]]+Tasks[[#This Row],[_Descendants]]),TRUE())&gt;0,Tasks[[#This Row],[_LeafCritical]]),"Yes",""))</f>
        <v/>
      </c>
      <c r="AQ146" s="63" t="str">
        <f aca="false">IF(Tasks[[#This Row],[Task Name]]="","",IF(N(Tasks[[#This Row],[Baseline Start]])&gt;0,Tasks[[#This Row],[Baseline Start]],Tasks[[#This Row],[_CalcStart]]))</f>
        <v/>
      </c>
      <c r="AR146" s="63" t="str">
        <f aca="false">IF(Tasks[[#This Row],[Task Name]]="","",IF(N(Tasks[[#This Row],[Baseline Finish]])&gt;0,Tasks[[#This Row],[Baseline Finish]],Tasks[[#This Row],[_CalcFinish]]))</f>
        <v/>
      </c>
      <c r="AS146" s="47" t="str">
        <f aca="false">IF(Tasks[[#This Row],[Task Name]]="","",IF(Tasks[[#This Row],[Start]]&gt;=Tasks[[#This Row],[Planned Start]],NETWORKDAYS.INTL(Tasks[[#This Row],[Planned Start]],Tasks[[#This Row],[Start]],WorkWeek,Holidays)-1,1-NETWORKDAYS.INTL(Tasks[[#This Row],[Start]],Tasks[[#This Row],[Planned Start]],WorkWeek,Holidays)))</f>
        <v/>
      </c>
      <c r="AT146" s="63" t="str">
        <f aca="false">IF(Tasks[[#This Row],[Task Name]]="","",IF(Tasks[[#This Row],[_IsSummary]],MIN(INDEX(Tasks[_LeafLateStart],Tasks[[#This Row],[_Row]]+1):INDEX(Tasks[_LeafLateStart],Tasks[[#This Row],[_Row]]+Tasks[[#This Row],[_Descendants]])),Tasks[[#This Row],[_LeafLateStart]]))</f>
        <v/>
      </c>
      <c r="AU146" s="63" t="str">
        <f aca="false">IF(Tasks[[#This Row],[Task Name]]="","",IF(Tasks[[#This Row],[_IsSummary]],MAX(INDEX(Tasks[_LeafLateFinish],Tasks[[#This Row],[_Row]]+1):INDEX(Tasks[_LeafLateFinish],Tasks[[#This Row],[_Row]]+Tasks[[#This Row],[_Descendants]])),Tasks[[#This Row],[_LeafLateFinish]]))</f>
        <v/>
      </c>
      <c r="AV146" s="47" t="str">
        <f aca="false">IF(Tasks[[#This Row],[Task Name]]="","",IF(Tasks[[#This Row],[_IsSummary]],MIN(INDEX(Tasks[_LeafTotalSlack],Tasks[[#This Row],[_Row]]+1):INDEX(Tasks[_LeafTotalSlack],Tasks[[#This Row],[_Row]]+Tasks[[#This Row],[_Descendants]])),Tasks[[#This Row],[_LeafTotalSlack]]))</f>
        <v/>
      </c>
      <c r="AW1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5"/>
      <c r="BA14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1" t="str">
        <f aca="false">IF(Tasks[[#This Row],[Task Name]]="","",IF(Tasks[[#This Row],[_Level]]&lt;=OutlineShowLevel,"Yes","No"))</f>
        <v/>
      </c>
      <c r="BE146" s="86" t="str">
        <f aca="false">IF(Tasks[[#This Row],[Task Name]]="","",IF(Tasks[[#This Row],[_IsSummary]],SUM(INDEX(Tasks[_LeafTotalWork],Tasks[[#This Row],[_Row]]+1):INDEX(Tasks[_LeafTotalWork],Tasks[[#This Row],[_Row]]+Tasks[[#This Row],[_Descendants]])),Tasks[[#This Row],[_LeafTotalWork]]))</f>
        <v/>
      </c>
      <c r="BF146" s="23"/>
      <c r="BG1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6" s="21" t="str">
        <f aca="false">""</f>
        <v/>
      </c>
      <c r="BI146" s="87"/>
      <c r="BJ146" s="22"/>
      <c r="BK146" s="47" t="str">
        <f aca="false">IF(OR(Tasks[[#This Row],[Task Name]]="",Tasks[[#This Row],[Baseline Duration]]=""),"",Tasks[[#This Row],[_SpanDays]]-N(Tasks[[#This Row],[Baseline Duration]]))</f>
        <v/>
      </c>
      <c r="BL146" s="86" t="str">
        <f aca="false">IF(OR(Tasks[[#This Row],[Task Name]]="",Tasks[[#This Row],[Baseline Work]]=""),"",Tasks[[#This Row],[Work]]-N(Tasks[[#This Row],[Baseline Work]]))</f>
        <v/>
      </c>
      <c r="BM146" s="63" t="str">
        <f aca="false">IF(Tasks[[#This Row],[Task Name]]="","",IF(OR(TakeBaseline="Yes",N(Tasks[[#This Row],[Baseline Start]])=0),Tasks[[#This Row],[Start]],Tasks[[#This Row],[Baseline Start]]))</f>
        <v/>
      </c>
      <c r="BN146" s="63" t="str">
        <f aca="false">IF(Tasks[[#This Row],[Task Name]]="","",IF(OR(TakeBaseline="Yes",N(Tasks[[#This Row],[Baseline Finish]])=0),Tasks[[#This Row],[Finish]],Tasks[[#This Row],[Baseline Finish]]))</f>
        <v/>
      </c>
      <c r="BO146" s="21" t="str">
        <f aca="false">IF(Tasks[[#This Row],[Task Name]]="","",IF(OR(TakeBaseline="Yes",N(Tasks[[#This Row],[Baseline Duration]])=0),Tasks[[#This Row],[_SpanDays]],Tasks[[#This Row],[Baseline Duration]]))</f>
        <v/>
      </c>
      <c r="BP146" s="86" t="str">
        <f aca="false">IF(Tasks[[#This Row],[Task Name]]="","",IF(OR(TakeBaseline="Yes",N(Tasks[[#This Row],[Baseline Work]])=0),Tasks[[#This Row],[Work]],Tasks[[#This Row],[Baseline Work]]))</f>
        <v/>
      </c>
      <c r="BQ146" s="7"/>
      <c r="BR146" s="7"/>
      <c r="BS146" s="22"/>
      <c r="BT146" s="88"/>
      <c r="BU146" s="23"/>
      <c r="BV146" s="23"/>
      <c r="BW146" s="23"/>
      <c r="BX146" s="89" t="str">
        <f aca="false">IF(AND(Tasks[[#This Row],[_IsLeaf]]=1,ISNUMBER(Tasks[[#This Row],[Optimistic]]),ISNUMBER(Tasks[[#This Row],[Pessimistic]])),ROUND((Tasks[[#This Row],[Optimistic]]+4*N(Tasks[[#This Row],[_Days]])+Tasks[[#This Row],[Pessimistic]])/6,1),"")</f>
        <v/>
      </c>
      <c r="BY146" s="87"/>
      <c r="BZ146" s="87"/>
      <c r="CA146" s="22"/>
      <c r="CB146" s="43" t="str">
        <f aca="false">IF(Tasks[[#This Row],[Task Name]]="","",MAX(1,N(Tasks[[#This Row],[Level]])))</f>
        <v/>
      </c>
      <c r="CC146" s="43" t="n">
        <f aca="false">ROW()-ROW(Tasks[[#Headers],[ID]])</f>
        <v>141</v>
      </c>
      <c r="CD146" s="43" t="n">
        <f aca="false">IF(OR(Tasks[[#This Row],[Task Name]]="",Tasks[[#This Row],[_Level]]&lt;=1),0,IFERROR(LOOKUP(2,1/(Tasks[[#Headers],[_Level]]:Tasks[[#This Row],[_Level]]=Tasks[[#This Row],[_Level]]-1),ROW(Tasks[[#Headers],[_Level]]:Tasks[[#This Row],[_Level]])),0))</f>
        <v>0</v>
      </c>
      <c r="CE146" s="43" t="n">
        <f aca="false">IFERROR(N(INDEX(Tasks[_Level],Tasks[[#This Row],[_Row]]+1)),0)</f>
        <v>0</v>
      </c>
      <c r="CF146" s="90" t="b">
        <f aca="false">AND(Tasks[[#This Row],[Task Name]]&lt;&gt;"",Tasks[[#This Row],[_NextLevel]]&gt;Tasks[[#This Row],[_Level]])</f>
        <v>0</v>
      </c>
      <c r="CG146" s="43" t="n">
        <f aca="false">IF(Tasks[[#This Row],[_IsSummary]],COUNTIF(Tasks[WBS],Tasks[[#This Row],[WBS]]&amp;".*"),0)</f>
        <v>0</v>
      </c>
      <c r="CH146" s="43" t="n">
        <f aca="false">IF(AND(Tasks[[#This Row],[Task Name]]&lt;&gt;"",NOT(Tasks[[#This Row],[_IsSummary]])),1,0)</f>
        <v>0</v>
      </c>
      <c r="CI146" s="43" t="n">
        <f aca="false">IF(N(Tasks[[#This Row],[_Pred1UID]])=0,0,IFERROR(MATCH(Tasks[[#This Row],[_Pred1UID]],Tasks[UID],0),-1))</f>
        <v>0</v>
      </c>
      <c r="CJ146" s="43" t="n">
        <f aca="false">IF(N(Tasks[[#This Row],[_Pred2UID]])=0,0,IFERROR(MATCH(Tasks[[#This Row],[_Pred2UID]],Tasks[UID],0),-1))</f>
        <v>0</v>
      </c>
      <c r="CK146" s="43" t="n">
        <f aca="false">IF(N(Tasks[[#This Row],[_Pred3UID]])=0,0,IFERROR(MATCH(Tasks[[#This Row],[_Pred3UID]],Tasks[UID],0),-1))</f>
        <v>0</v>
      </c>
      <c r="CL146" s="43" t="n">
        <f aca="false">IF(N(Tasks[[#This Row],[_Pred4UID]])=0,0,IFERROR(MATCH(Tasks[[#This Row],[_Pred4UID]],Tasks[UID],0),-1))</f>
        <v>0</v>
      </c>
      <c r="CM14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6" s="91" t="n">
        <f aca="false">IF(OR(Tasks[[#This Row],[_ConstraintCode]]=2,Tasks[[#This Row],[_ConstraintCode]]=3,Tasks[[#This Row],[_ConstraintCode]]=4,Tasks[[#This Row],[_ConstraintCode]]=6),Tasks[[#This Row],[_ConstraintStart]],0)</f>
        <v>0</v>
      </c>
      <c r="CP146" s="91" t="n">
        <f aca="false">IF(OR(Tasks[[#This Row],[_ConstraintCode]]=2,Tasks[[#This Row],[_ConstraintCode]]=3,Tasks[[#This Row],[_ConstraintCode]]=5,Tasks[[#This Row],[_ConstraintCode]]=7),Tasks[[#This Row],[_ConstraintStart]],2958465)</f>
        <v>2958465</v>
      </c>
      <c r="CQ14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6" s="91" t="str">
        <f aca="false">IF(NOT(Tasks[[#This Row],[_IsLeaf]]=1),"",IF(N(Tasks[[#This Row],[_Days]])&lt;=0,Tasks[[#This Row],[_LeafCalcStart]],WORKDAY.INTL(Tasks[[#This Row],[_LeafCalcStart]],Tasks[[#This Row],[_Days]]-1,WorkWeek,Holidays)))</f>
        <v/>
      </c>
      <c r="CS14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6" s="43" t="str">
        <f aca="false">IF(Tasks[[#This Row],[_Predecessors]]="","",TRIM(MID(SUBSTITUTE(SUBSTITUTE(SUBSTITUTE(UPPER(Tasks[[#This Row],[_Predecessors]]),";",",")," ",""),",",REPT(" ",99)),1,99)))</f>
        <v/>
      </c>
      <c r="CV146" s="43" t="str">
        <f aca="false">IF(Tasks[[#This Row],[_Pred1Text]]="","",IFERROR(VALUE(LEFT(Tasks[[#This Row],[_Pred1Text]],MIN(FIND("F",Tasks[[#This Row],[_Pred1Text]]&amp;"F"),FIND("S",Tasks[[#This Row],[_Pred1Text]]&amp;"S"),FIND("+",Tasks[[#This Row],[_Pred1Text]]&amp;"+"),FIND("-",Tasks[[#This Row],[_Pred1Text]]&amp;"-"))-1)),""))</f>
        <v/>
      </c>
      <c r="CW14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6" s="43" t="str">
        <f aca="false">IF(Tasks[[#This Row],[_Pred1Text]]="","",TRIM(MID(SUBSTITUTE(SUBSTITUTE(SUBSTITUTE(UPPER(Tasks[[#This Row],[_Predecessors]]),";",",")," ",""),",",REPT(" ",99)),100,99)))</f>
        <v/>
      </c>
      <c r="CZ146" s="43" t="str">
        <f aca="false">IF(Tasks[[#This Row],[_Pred2Text]]="","",IFERROR(VALUE(LEFT(Tasks[[#This Row],[_Pred2Text]],MIN(FIND("F",Tasks[[#This Row],[_Pred2Text]]&amp;"F"),FIND("S",Tasks[[#This Row],[_Pred2Text]]&amp;"S"),FIND("+",Tasks[[#This Row],[_Pred2Text]]&amp;"+"),FIND("-",Tasks[[#This Row],[_Pred2Text]]&amp;"-"))-1)),""))</f>
        <v/>
      </c>
      <c r="DA14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6" s="43" t="str">
        <f aca="false">IF(Tasks[[#This Row],[_Pred2Text]]="","",TRIM(MID(SUBSTITUTE(SUBSTITUTE(SUBSTITUTE(UPPER(Tasks[[#This Row],[_Predecessors]]),";",",")," ",""),",",REPT(" ",99)),199,99)))</f>
        <v/>
      </c>
      <c r="DD146" s="43" t="str">
        <f aca="false">IF(Tasks[[#This Row],[_Pred3Text]]="","",IFERROR(VALUE(LEFT(Tasks[[#This Row],[_Pred3Text]],MIN(FIND("F",Tasks[[#This Row],[_Pred3Text]]&amp;"F"),FIND("S",Tasks[[#This Row],[_Pred3Text]]&amp;"S"),FIND("+",Tasks[[#This Row],[_Pred3Text]]&amp;"+"),FIND("-",Tasks[[#This Row],[_Pred3Text]]&amp;"-"))-1)),""))</f>
        <v/>
      </c>
      <c r="DE14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6" s="43" t="str">
        <f aca="false">IF(Tasks[[#This Row],[_Pred3Text]]="","",TRIM(MID(SUBSTITUTE(SUBSTITUTE(SUBSTITUTE(UPPER(Tasks[[#This Row],[_Predecessors]]),";",",")," ",""),",",REPT(" ",99)),298,99)))</f>
        <v/>
      </c>
      <c r="DH146" s="43" t="str">
        <f aca="false">IF(Tasks[[#This Row],[_Pred4Text]]="","",IFERROR(VALUE(LEFT(Tasks[[#This Row],[_Pred4Text]],MIN(FIND("F",Tasks[[#This Row],[_Pred4Text]]&amp;"F"),FIND("S",Tasks[[#This Row],[_Pred4Text]]&amp;"S"),FIND("+",Tasks[[#This Row],[_Pred4Text]]&amp;"+"),FIND("-",Tasks[[#This Row],[_Pred4Text]]&amp;"-"))-1)),""))</f>
        <v/>
      </c>
      <c r="DI14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6" s="43" t="str">
        <f aca="false">IF(OR(Tasks[[#This Row],[Task Name]]="",Tasks[[#This Row],[_Resources]]=""),"",TRIM(MID(SUBSTITUTE(Tasks[[#This Row],[_Resources]],",",REPT(" ",99)),1,99)))</f>
        <v/>
      </c>
      <c r="DL146" s="43" t="str">
        <f aca="false">IF(Tasks[[#This Row],[_Res1Text]]="","",TRIM(MID(SUBSTITUTE(Tasks[[#This Row],[_Resources]],",",REPT(" ",99)),100,99)))</f>
        <v/>
      </c>
      <c r="DM146" s="43" t="str">
        <f aca="false">IF(Tasks[[#This Row],[_Res2Text]]="","",TRIM(MID(SUBSTITUTE(Tasks[[#This Row],[_Resources]],",",REPT(" ",99)),199,99)))</f>
        <v/>
      </c>
      <c r="DN146" s="43" t="str">
        <f aca="false">IF(Tasks[[#This Row],[_Res3Text]]="","",TRIM(MID(SUBSTITUTE(Tasks[[#This Row],[_Resources]],",",REPT(" ",99)),298,99)))</f>
        <v/>
      </c>
      <c r="DO146" s="43" t="n">
        <f aca="false">IF(Tasks[[#This Row],[_Res1Text]]="",0,IFERROR(MATCH(TRIM(LEFT(Tasks[[#This Row],[_Res1Text]],FIND("[",Tasks[[#This Row],[_Res1Text]]&amp;"[")-1)),res_Name,0),IFERROR(MATCH(TRIM(LEFT(Tasks[[#This Row],[_Res1Text]],FIND("[",Tasks[[#This Row],[_Res1Text]]&amp;"[")-1)),res_Initials,0),0)))</f>
        <v>0</v>
      </c>
      <c r="DP146" s="43" t="n">
        <f aca="false">IF(Tasks[[#This Row],[_Res2Text]]="",0,IFERROR(MATCH(TRIM(LEFT(Tasks[[#This Row],[_Res2Text]],FIND("[",Tasks[[#This Row],[_Res2Text]]&amp;"[")-1)),res_Name,0),IFERROR(MATCH(TRIM(LEFT(Tasks[[#This Row],[_Res2Text]],FIND("[",Tasks[[#This Row],[_Res2Text]]&amp;"[")-1)),res_Initials,0),0)))</f>
        <v>0</v>
      </c>
      <c r="DQ146" s="43" t="n">
        <f aca="false">IF(Tasks[[#This Row],[_Res3Text]]="",0,IFERROR(MATCH(TRIM(LEFT(Tasks[[#This Row],[_Res3Text]],FIND("[",Tasks[[#This Row],[_Res3Text]]&amp;"[")-1)),res_Name,0),IFERROR(MATCH(TRIM(LEFT(Tasks[[#This Row],[_Res3Text]],FIND("[",Tasks[[#This Row],[_Res3Text]]&amp;"[")-1)),res_Initials,0),0)))</f>
        <v>0</v>
      </c>
      <c r="DR146" s="43" t="n">
        <f aca="false">IF(Tasks[[#This Row],[_Res4Text]]="",0,IFERROR(MATCH(TRIM(LEFT(Tasks[[#This Row],[_Res4Text]],FIND("[",Tasks[[#This Row],[_Res4Text]]&amp;"[")-1)),res_Name,0),IFERROR(MATCH(TRIM(LEFT(Tasks[[#This Row],[_Res4Text]],FIND("[",Tasks[[#This Row],[_Res4Text]]&amp;"[")-1)),res_Initials,0),0)))</f>
        <v>0</v>
      </c>
      <c r="DS146" s="43" t="str">
        <f aca="false">IF(Tasks[[#This Row],[_Res1Text]]="","",IF(Tasks[[#This Row],[_Res1Row]]&gt;0,INDEX(res_Name,Tasks[[#This Row],[_Res1Row]]),TRIM(LEFT(Tasks[[#This Row],[_Res1Text]],FIND("[",Tasks[[#This Row],[_Res1Text]]&amp;"[")-1))))</f>
        <v/>
      </c>
      <c r="DT14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6" s="43" t="n">
        <f aca="false">IF(NOT(Tasks[[#This Row],[_IsLeaf]]=1),0,(Tasks[[#This Row],[_Resource1]]&lt;&gt;"")+(Tasks[[#This Row],[_Res2]]&lt;&gt;"")+(Tasks[[#This Row],[_Res3]]&lt;&gt;"")+(Tasks[[#This Row],[_Res4]]&lt;&gt;""))</f>
        <v>0</v>
      </c>
      <c r="DV146" s="43" t="str">
        <f aca="false">IF(Tasks[[#This Row],[_Res2Text]]="","",IF(Tasks[[#This Row],[_Res2Row]]&gt;0,INDEX(res_Name,Tasks[[#This Row],[_Res2Row]]),TRIM(LEFT(Tasks[[#This Row],[_Res2Text]],FIND("[",Tasks[[#This Row],[_Res2Text]]&amp;"[")-1))))</f>
        <v/>
      </c>
      <c r="DW14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6" s="43" t="n">
        <f aca="false">IF(OR(NOT(Tasks[[#This Row],[_IsLeaf]]=1),Tasks[[#This Row],[_Res2Row]]=0),0,N(Tasks[[#This Row],[_Days]])*HoursPerDay*IF(Tasks[[#This Row],[_Res2Units]]="",DefaultUnits,Tasks[[#This Row],[_Res2Units]]))</f>
        <v>0</v>
      </c>
      <c r="DY146" s="43" t="n">
        <f aca="false">IF(AND(AND(Tasks[[#This Row],[_IsLeaf]]=1,Tasks[[#This Row],[_LeafTotalWork]]&gt;0),Tasks[[#This Row],[_Res2Work]]&gt;0),Tasks[[#This Row],[_Res2Work]]/(Tasks[[#This Row],[_FinishWorkday]]-Tasks[[#This Row],[_StartWorkday]]+1),0)</f>
        <v>0</v>
      </c>
      <c r="DZ146" s="43" t="n">
        <f aca="false">Tasks[[#This Row],[_Res2WorkPerWD]]*MAX(0,Tasks[[#This Row],[_StartWorkday]]-1)</f>
        <v>0</v>
      </c>
      <c r="EA146" s="43" t="n">
        <f aca="false">Tasks[[#This Row],[_Res2Work]]*Tasks[[#This Row],[_LeafProgress]]</f>
        <v>0</v>
      </c>
      <c r="EB146" s="43" t="str">
        <f aca="false">IF(Tasks[[#This Row],[_Res3Text]]="","",IF(Tasks[[#This Row],[_Res3Row]]&gt;0,INDEX(res_Name,Tasks[[#This Row],[_Res3Row]]),TRIM(LEFT(Tasks[[#This Row],[_Res3Text]],FIND("[",Tasks[[#This Row],[_Res3Text]]&amp;"[")-1))))</f>
        <v/>
      </c>
      <c r="EC14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6" s="43" t="n">
        <f aca="false">IF(OR(NOT(Tasks[[#This Row],[_IsLeaf]]=1),Tasks[[#This Row],[_Res3Row]]=0),0,N(Tasks[[#This Row],[_Days]])*HoursPerDay*IF(Tasks[[#This Row],[_Res3Units]]="",DefaultUnits,Tasks[[#This Row],[_Res3Units]]))</f>
        <v>0</v>
      </c>
      <c r="EE146" s="43" t="n">
        <f aca="false">IF(AND(AND(Tasks[[#This Row],[_IsLeaf]]=1,Tasks[[#This Row],[_LeafTotalWork]]&gt;0),Tasks[[#This Row],[_Res3Work]]&gt;0),Tasks[[#This Row],[_Res3Work]]/(Tasks[[#This Row],[_FinishWorkday]]-Tasks[[#This Row],[_StartWorkday]]+1),0)</f>
        <v>0</v>
      </c>
      <c r="EF146" s="43" t="n">
        <f aca="false">Tasks[[#This Row],[_Res3WorkPerWD]]*MAX(0,Tasks[[#This Row],[_StartWorkday]]-1)</f>
        <v>0</v>
      </c>
      <c r="EG146" s="43" t="n">
        <f aca="false">Tasks[[#This Row],[_Res3Work]]*Tasks[[#This Row],[_LeafProgress]]</f>
        <v>0</v>
      </c>
      <c r="EH146" s="43" t="str">
        <f aca="false">IF(Tasks[[#This Row],[_Res4Text]]="","",IF(Tasks[[#This Row],[_Res4Row]]&gt;0,INDEX(res_Name,Tasks[[#This Row],[_Res4Row]]),TRIM(LEFT(Tasks[[#This Row],[_Res4Text]],FIND("[",Tasks[[#This Row],[_Res4Text]]&amp;"[")-1))))</f>
        <v/>
      </c>
      <c r="EI14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6" s="43" t="n">
        <f aca="false">IF(OR(NOT(Tasks[[#This Row],[_IsLeaf]]=1),Tasks[[#This Row],[_Res4Row]]=0),0,N(Tasks[[#This Row],[_Days]])*HoursPerDay*IF(Tasks[[#This Row],[_Res4Units]]="",DefaultUnits,Tasks[[#This Row],[_Res4Units]]))</f>
        <v>0</v>
      </c>
      <c r="EK146" s="43" t="n">
        <f aca="false">IF(AND(AND(Tasks[[#This Row],[_IsLeaf]]=1,Tasks[[#This Row],[_LeafTotalWork]]&gt;0),Tasks[[#This Row],[_Res4Work]]&gt;0),Tasks[[#This Row],[_Res4Work]]/(Tasks[[#This Row],[_FinishWorkday]]-Tasks[[#This Row],[_StartWorkday]]+1),0)</f>
        <v>0</v>
      </c>
      <c r="EL146" s="43" t="n">
        <f aca="false">Tasks[[#This Row],[_Res4WorkPerWD]]*MAX(0,Tasks[[#This Row],[_StartWorkday]]-1)</f>
        <v>0</v>
      </c>
      <c r="EM146" s="43" t="n">
        <f aca="false">Tasks[[#This Row],[_Res4Work]]*Tasks[[#This Row],[_LeafProgress]]</f>
        <v>0</v>
      </c>
      <c r="EN146" s="43" t="n">
        <f aca="false">IF(ISNUMBER(Tasks[[#This Row],[% Complete]]),Tasks[[#This Row],[% Complete]],IF(Tasks[[#This Row],[Stage]]="",0,IFERROR(INDEX(stg_Pct,MATCH(Tasks[[#This Row],[Stage]],stg_Name,0)),0)))</f>
        <v>0</v>
      </c>
      <c r="EO146" s="43" t="n">
        <f aca="false">IF(NOT(Tasks[[#This Row],[_IsLeaf]]=1),0,IF(N(Tasks[[#This Row],[Actual Finish]])&gt;0,1,MIN(1,Tasks[[#This Row],[_Pct]])))</f>
        <v>0</v>
      </c>
      <c r="EP146" s="43" t="n">
        <f aca="false">IF(OR(NOT(Tasks[[#This Row],[_IsLeaf]]=1),Tasks[[#This Row],[_Res1Row]]=0),0,N(Tasks[[#This Row],[_Days]])*HoursPerDay*IF(Tasks[[#This Row],[_Units1]]="",DefaultUnits,Tasks[[#This Row],[_Units1]]))</f>
        <v>0</v>
      </c>
      <c r="EQ146" s="43" t="n">
        <f aca="false">Tasks[[#This Row],[_LeafWork]]+Tasks[[#This Row],[_Res2Work]]+Tasks[[#This Row],[_Res3Work]]+Tasks[[#This Row],[_Res4Work]]</f>
        <v>0</v>
      </c>
      <c r="ER14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6" s="43" t="n">
        <f aca="false">IF(NOT(Tasks[[#This Row],[_IsLeaf]]=1),0,MAX(_xlfn.MAXIFS(Tasks[_Row],Tasks[_Pred1UID],Tasks[[#This Row],[UID]]),_xlfn.MAXIFS(Tasks[_Row],Tasks[_Pred2UID],Tasks[[#This Row],[UID]]),_xlfn.MAXIFS(Tasks[_Row],Tasks[_Pred3UID],Tasks[[#This Row],[UID]]),_xlfn.MAXIFS(Tasks[_Row],Tasks[_Pred4UID],Tasks[[#This Row],[UID]])))</f>
        <v>0</v>
      </c>
      <c r="FA14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6" s="91" t="str">
        <f aca="false">IF(NOT(Tasks[[#This Row],[_IsLeaf]]=1),"",IF(N(Tasks[[#This Row],[_Days]])&lt;=0,Tasks[[#This Row],[_LeafLateFinish]],WORKDAY.INTL(Tasks[[#This Row],[_LeafLateFinish]],-(Tasks[[#This Row],[_Days]]-1),WorkWeek,Holidays)))</f>
        <v/>
      </c>
      <c r="FD14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6" s="90" t="b">
        <f aca="false">AND(Tasks[[#This Row],[_IsLeaf]]=1,Tasks[[#This Row],[_LeafProgress]]&lt;1,N(Tasks[[#This Row],[_LeafTotalSlack]])&lt;=CriticalSlackDays)</f>
        <v>0</v>
      </c>
      <c r="FF146" s="43" t="n">
        <f aca="false">IF(AND(Tasks[[#This Row],[_IsLeaf]]=1,Tasks[[#This Row],[_ConstraintCode]]=1,Tasks[[#This Row],[Mode]]&lt;&gt;"Manual",N(Tasks[[#This Row],[Actual Start]])=0),MAX(0,N(Tasks[[#This Row],[Free Slack]])),0)</f>
        <v>0</v>
      </c>
      <c r="FG146" s="91" t="str">
        <f aca="false">IF(NOT(Tasks[[#This Row],[_IsLeaf]]=1),"",IF(Tasks[[#This Row],[_AlapShift]]=0,Tasks[[#This Row],[_LeafCalcStart]],WORKDAY.INTL(Tasks[[#This Row],[_LeafCalcStart]],Tasks[[#This Row],[_AlapShift]],WorkWeek,Holidays)))</f>
        <v/>
      </c>
      <c r="FH146" s="91" t="str">
        <f aca="false">IF(NOT(Tasks[[#This Row],[_IsLeaf]]=1),"",IF(Tasks[[#This Row],[_AlapShift]]=0,Tasks[[#This Row],[_LeafCalcFinish]],WORKDAY.INTL(Tasks[[#This Row],[_LeafCalcFinish]],Tasks[[#This Row],[_AlapShift]],WorkWeek,Holidays)))</f>
        <v/>
      </c>
      <c r="FI146" s="91" t="str">
        <f aca="false">IF(NOT(Tasks[[#This Row],[_IsLeaf]]=1),"",IF(Tasks[[#This Row],[_AlapShift]]=0,Tasks[[#This Row],[_LeafFcstStart]],WORKDAY.INTL(Tasks[[#This Row],[_LeafFcstStart]],Tasks[[#This Row],[_AlapShift]],WorkWeek,Holidays)))</f>
        <v/>
      </c>
      <c r="FJ146" s="91" t="str">
        <f aca="false">IF(NOT(Tasks[[#This Row],[_IsLeaf]]=1),"",IF(Tasks[[#This Row],[_AlapShift]]=0,Tasks[[#This Row],[_LeafFcstFinish]],WORKDAY.INTL(Tasks[[#This Row],[_LeafFcstFinish]],Tasks[[#This Row],[_AlapShift]],WorkWeek,Holidays)))</f>
        <v/>
      </c>
      <c r="FK146" s="91" t="str">
        <f aca="false">IF(Tasks[[#This Row],[Task Name]]="","",IF(Tasks[[#This Row],[_IsSummary]],MIN(INDEX(Tasks[_ShownCalcStart],Tasks[[#This Row],[_Row]]+1):INDEX(Tasks[_ShownCalcStart],Tasks[[#This Row],[_Row]]+Tasks[[#This Row],[_Descendants]])),Tasks[[#This Row],[_ShownCalcStart]]))</f>
        <v/>
      </c>
      <c r="FL146" s="91" t="str">
        <f aca="false">IF(Tasks[[#This Row],[Task Name]]="","",IF(Tasks[[#This Row],[_IsSummary]],MAX(INDEX(Tasks[_ShownCalcFinish],Tasks[[#This Row],[_Row]]+1):INDEX(Tasks[_ShownCalcFinish],Tasks[[#This Row],[_Row]]+Tasks[[#This Row],[_Descendants]])),Tasks[[#This Row],[_ShownCalcFinish]]))</f>
        <v/>
      </c>
      <c r="FM14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6" s="43" t="n">
        <f aca="false">IF(AND(Tasks[[#This Row],[_IsLeaf]]=1,Tasks[[#This Row],[_LeafTotalWork]]&gt;0),NETWORKDAYS.INTL(ProjectStart,Tasks[[#This Row],[_ShownFcstStart]],WorkWeek,Holidays),0)</f>
        <v>0</v>
      </c>
      <c r="FZ146" s="43" t="n">
        <f aca="false">IF(AND(Tasks[[#This Row],[_IsLeaf]]=1,Tasks[[#This Row],[_LeafTotalWork]]&gt;0),MAX(Tasks[[#This Row],[_StartWorkday]],NETWORKDAYS.INTL(ProjectStart,Tasks[[#This Row],[_ShownFcstFinish]],WorkWeek,Holidays)),0)</f>
        <v>0</v>
      </c>
      <c r="GA146" s="43" t="n">
        <f aca="false">IF(AND(Tasks[[#This Row],[_IsLeaf]]=1,Tasks[[#This Row],[_LeafTotalWork]]&gt;0),Tasks[[#This Row],[_LeafWork]]/(Tasks[[#This Row],[_FinishWorkday]]-Tasks[[#This Row],[_StartWorkday]]+1),0)</f>
        <v>0</v>
      </c>
      <c r="GB146" s="43" t="n">
        <f aca="false">Tasks[[#This Row],[_WorkPerWorkday]]*(Tasks[[#This Row],[_StartWorkday]]-1)</f>
        <v>-0</v>
      </c>
      <c r="GC146" s="43" t="n">
        <f aca="false">IF(Tasks[[#This Row],[_IsLeaf]]=1,MAX(N(Tasks[[#This Row],[_Days]]),0.1),0)</f>
        <v>0</v>
      </c>
      <c r="GD146" s="43" t="n">
        <f aca="false">Tasks[[#This Row],[_WeightDur]]*Tasks[[#This Row],[_LeafProgress]]</f>
        <v>0</v>
      </c>
      <c r="GE146" s="43" t="n">
        <f aca="false">Tasks[[#This Row],[_WeightDur]]*Tasks[[#This Row],[_PlannedPct]]</f>
        <v>0</v>
      </c>
      <c r="GF14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6" s="43" t="str">
        <f aca="false">IF(AND(Tasks[[#This Row],[_IsLeaf]]=1,N(Tasks[[#This Row],[_Days]])=0,Tasks[[#This Row],[_LeafProgress]]&lt;1),Tasks[[#This Row],[_ShownFcstFinish]]+Tasks[[#This Row],[_Row]]/100000,"")</f>
        <v/>
      </c>
      <c r="GH14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6" s="43" t="str">
        <f aca="false">IF(Tasks[[#This Row],[Task Name]]="","",LEFT(Tasks[[#This Row],[WBS]],FIND(".",Tasks[[#This Row],[WBS]]&amp;".")-1))</f>
        <v/>
      </c>
      <c r="GJ146" s="43" t="str">
        <f aca="false">IF(AND(Tasks[[#This Row],[Task Name]]&lt;&gt;"",Tasks[[#This Row],[_Level]]=1),Tasks[[#This Row],[_Row]],"")</f>
        <v/>
      </c>
      <c r="GK146" s="43" t="str">
        <f aca="false">IF(AND(Tasks[[#This Row],[_IsLeaf]]=1,N(Tasks[[#This Row],[_Days]])=0),Tasks[[#This Row],[Planned Finish]]+Tasks[[#This Row],[_Row]]/100000,"")</f>
        <v/>
      </c>
      <c r="GL146" s="43" t="str">
        <f aca="false">IF(AND(Tasks[[#This Row],[_IsLeaf]]=1,Tasks[[#This Row],[_LeafProgress]]&lt;1,OR(N(Tasks[[#This Row],[Finish Var]])&gt;0,Tasks[[#This Row],[Status]]="Late Start")),MAX(0,Tasks[[#This Row],[Finish Var]])+1-Tasks[[#This Row],[_Row]]/1000000,"")</f>
        <v/>
      </c>
      <c r="GM146" s="43" t="str">
        <f aca="false">IF(AND(Tasks[[#This Row],[_IsLeaf]]=1,N(Tasks[[#This Row],[Actual Start]])=0,Tasks[[#This Row],[_ShownFcstStart]]&gt;=StatusDate,Tasks[[#This Row],[_ShownFcstStart]]&lt;=LookaheadEnd),Tasks[[#This Row],[_ShownFcstStart]]+Tasks[[#This Row],[_Row]]/100000,"")</f>
        <v/>
      </c>
      <c r="GN146" s="43" t="str">
        <f aca="false">IF(AND(Tasks[[#This Row],[_IsLeaf]]=1,Tasks[[#This Row],[_LeafProgress]]&lt;1,Tasks[[#This Row],[_ShownFcstFinish]]&gt;=StatusDate,Tasks[[#This Row],[_ShownFcstFinish]]&lt;=LookaheadEnd),Tasks[[#This Row],[_ShownFcstFinish]]+Tasks[[#This Row],[_Row]]/100000,"")</f>
        <v/>
      </c>
      <c r="GO146" s="43" t="str">
        <f aca="false">IF(Tasks[[#This Row],[_LeafCritical]],Tasks[[#This Row],[_ShownFcstStart]]+Tasks[[#This Row],[_Row]]/100000,"")</f>
        <v/>
      </c>
      <c r="GP146" s="43" t="n">
        <f aca="false">Tasks[[#This Row],[_LeafWork]]*Tasks[[#This Row],[_LeafProgress]]</f>
        <v>0</v>
      </c>
      <c r="GQ146" s="91" t="str">
        <f aca="false">IF(AND(Tasks[[#This Row],[_IsLeaf]]=1,Tasks[[#This Row],[_LeafProgress]]&gt;=1),IF(N(Tasks[[#This Row],[Actual Finish]])&gt;0,Tasks[[#This Row],[Actual Finish]],Tasks[[#This Row],[_ShownFcstFinish]]),"")</f>
        <v/>
      </c>
      <c r="GR146" s="43" t="n">
        <f aca="false">IF(Tasks[[#This Row],[_IsLeaf]]=1,N(Tasks[[#This Row],[Story Points]]),0)</f>
        <v>0</v>
      </c>
      <c r="GS146" s="43" t="str">
        <f aca="false">""</f>
        <v/>
      </c>
      <c r="GT146" s="90" t="b">
        <f aca="false">IF(Tasks[[#This Row],[Task Name]]="",FALSE(),AND(Tasks[[#This Row],[_IsLeaf]]=1,N(Tasks[[#This Row],[_Days]])=0))</f>
        <v>0</v>
      </c>
      <c r="GU146" s="91" t="n">
        <f aca="false">IF(Tasks[[#This Row],[Task Name]]="",0,IF(AND(Tasks[[#This Row],[_IsLeaf]]=1,NOT(Tasks[[#This Row],[_IsMilestone]]),N(Tasks[[#This Row],[Progress]])&gt;0),Tasks[[#This Row],[Start]],0))</f>
        <v>0</v>
      </c>
      <c r="GV146" s="91" t="n">
        <f aca="false">IF(Tasks[[#This Row],[_DoneFrom]]=0,0,IF(Tasks[[#This Row],[Progress]]&gt;=1,Tasks[[#This Row],[Finish]],MAX(Tasks[[#This Row],[_DoneFrom]],Tasks[[#This Row],[Start]]+ROUND((Tasks[[#This Row],[Finish]]-Tasks[[#This Row],[Start]]+1)*Tasks[[#This Row],[Progress]],0)-1)))</f>
        <v>0</v>
      </c>
      <c r="GW146" s="91" t="n">
        <f aca="false">IF(Tasks[[#This Row],[Task Name]]="",0,IF(OR(NOT(Tasks[[#This Row],[_IsLeaf]]=1),Tasks[[#This Row],[_IsMilestone]],N(Tasks[[#This Row],[Progress]])&gt;=1),0,IF(Tasks[[#This Row],[_DoneTo]]&gt;0,Tasks[[#This Row],[_DoneTo]]+1,Tasks[[#This Row],[Start]])))</f>
        <v>0</v>
      </c>
      <c r="GX146" s="91" t="n">
        <f aca="false">IF(Tasks[[#This Row],[_RemFrom]]=0,0,Tasks[[#This Row],[Finish]])</f>
        <v>0</v>
      </c>
      <c r="GY146" s="90" t="b">
        <f aca="false">IF(Tasks[[#This Row],[Task Name]]="",FALSE(),OR(NOT(BaselineSet),N(Tasks[[#This Row],[Baseline Start]])&gt;0))</f>
        <v>0</v>
      </c>
      <c r="GZ14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6" s="92" t="str">
        <f aca="false">IF(Tasks[[#This Row],[_IsLeaf]]=1,Tasks[[#This Row],[_Row]],"")</f>
        <v/>
      </c>
      <c r="HD146" s="92" t="str">
        <f aca="false">IFERROR(INDEX(Tasks[UID],SMALL(Tasks[_PickKey],Tasks[[#This Row],[_Row]]))&amp;" "&amp;INDEX(Tasks[Task Name],SMALL(Tasks[_PickKey],Tasks[[#This Row],[_Row]])),"")</f>
        <v/>
      </c>
      <c r="HE146" s="43" t="str">
        <f aca="false">IF(Tasks[[#This Row],[Task Name]]="","",IF(Tasks[[#This Row],[_IsSummary]],NETWORKDAYS.INTL(Tasks[[#This Row],[Start]],Tasks[[#This Row],[Finish]],WorkWeek,Holidays),N(Tasks[[#This Row],[_Days]])))</f>
        <v/>
      </c>
      <c r="HF146" s="43" t="n">
        <f aca="false">IF(Tasks[[#This Row],[Expected]]="",0,((Tasks[[#This Row],[Pessimistic]]-Tasks[[#This Row],[Optimistic]])/6)^2)</f>
        <v>0</v>
      </c>
      <c r="HG146" s="43" t="n">
        <f aca="false">IF(Tasks[[#This Row],[Expected]]="",0,Tasks[[#This Row],[Expected]]-N(Tasks[[#This Row],[_Days]]))</f>
        <v>0</v>
      </c>
    </row>
    <row r="147" customFormat="false" ht="15" hidden="false" customHeight="false" outlineLevel="0" collapsed="false">
      <c r="A147" s="21" t="str">
        <f aca="false">IF(Tasks[[#This Row],[Task Name]]="","",COUNTA(Tasks[[#Headers],[Task Name]]:Tasks[[#This Row],[Task Name]])-1)</f>
        <v/>
      </c>
      <c r="B147" s="22" t="n">
        <v>155</v>
      </c>
      <c r="C147" s="22"/>
      <c r="D147" s="23"/>
      <c r="E147" s="22"/>
      <c r="F147" s="23"/>
      <c r="G147" s="22"/>
      <c r="H147" s="22"/>
      <c r="I147" s="23"/>
      <c r="J147" s="22"/>
      <c r="K147" s="22"/>
      <c r="L147" s="23"/>
      <c r="M147" s="22"/>
      <c r="N147" s="22"/>
      <c r="O147" s="23"/>
      <c r="P147" s="22"/>
      <c r="Q147" s="22"/>
      <c r="R147" s="23"/>
      <c r="S147" s="23"/>
      <c r="T147" s="84"/>
      <c r="U147" s="23"/>
      <c r="V147" s="84"/>
      <c r="W147" s="23"/>
      <c r="X147" s="84"/>
      <c r="Y147" s="23"/>
      <c r="Z147" s="84"/>
      <c r="AA147" s="23"/>
      <c r="AB147" s="23"/>
      <c r="AC147" s="7"/>
      <c r="AD147" s="7"/>
      <c r="AE147" s="63" t="str">
        <f aca="false">IF(Tasks[[#This Row],[Task Name]]="","",IF(Tasks[[#This Row],[_IsSummary]],MIN(INDEX(Tasks[_ShownFcstStart],Tasks[[#This Row],[_Row]]+1):INDEX(Tasks[_ShownFcstStart],Tasks[[#This Row],[_Row]]+Tasks[[#This Row],[_Descendants]])),Tasks[[#This Row],[_ShownFcstStart]]))</f>
        <v/>
      </c>
      <c r="AF147" s="63" t="str">
        <f aca="false">IF(Tasks[[#This Row],[Task Name]]="","",IF(Tasks[[#This Row],[_IsSummary]],MAX(INDEX(Tasks[_ShownFcstFinish],Tasks[[#This Row],[_Row]]+1):INDEX(Tasks[_ShownFcstFinish],Tasks[[#This Row],[_Row]]+Tasks[[#This Row],[_Descendants]])),Tasks[[#This Row],[_ShownFcstFinish]]))</f>
        <v/>
      </c>
      <c r="AG147" s="21" t="str">
        <f aca="false">""</f>
        <v/>
      </c>
      <c r="AH147" s="23"/>
      <c r="AI1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7" s="7"/>
      <c r="AK147" s="22"/>
      <c r="AL147" s="23"/>
      <c r="AM147" s="7"/>
      <c r="AN147" s="47" t="str">
        <f aca="false">IF(Tasks[[#This Row],[Task Name]]="","",IF(Tasks[[#This Row],[Finish]]&gt;=Tasks[[#This Row],[Planned Finish]],NETWORKDAYS.INTL(Tasks[[#This Row],[Planned Finish]],Tasks[[#This Row],[Finish]],WorkWeek,Holidays)-1,1-NETWORKDAYS.INTL(Tasks[[#This Row],[Finish]],Tasks[[#This Row],[Planned Finish]],WorkWeek,Holidays)))</f>
        <v/>
      </c>
      <c r="AO147" s="21" t="str">
        <f aca="false">IF(Tasks[[#This Row],[Task Name]]="","",IF(Tasks[[#This Row],[Progress]]&gt;=1,"Complete",IF(OR(N(Tasks[[#This Row],[Actual Start]])&gt;0,Tasks[[#This Row],[Progress]]&gt;0),IF(Tasks[[#This Row],[Finish Var]]&gt;0,"Behind","In Progress"),IF(Tasks[[#This Row],[Planned Start]]&lt;StatusDate,"Late Start","Not Started"))))</f>
        <v/>
      </c>
      <c r="AP147" s="21" t="str">
        <f aca="false">IF(Tasks[[#This Row],[Task Name]]="","",IF(IF(Tasks[[#This Row],[_IsSummary]],COUNTIF(INDEX(Tasks[_LeafCritical],Tasks[[#This Row],[_Row]]+1):INDEX(Tasks[_LeafCritical],Tasks[[#This Row],[_Row]]+Tasks[[#This Row],[_Descendants]]),TRUE())&gt;0,Tasks[[#This Row],[_LeafCritical]]),"Yes",""))</f>
        <v/>
      </c>
      <c r="AQ147" s="63" t="str">
        <f aca="false">IF(Tasks[[#This Row],[Task Name]]="","",IF(N(Tasks[[#This Row],[Baseline Start]])&gt;0,Tasks[[#This Row],[Baseline Start]],Tasks[[#This Row],[_CalcStart]]))</f>
        <v/>
      </c>
      <c r="AR147" s="63" t="str">
        <f aca="false">IF(Tasks[[#This Row],[Task Name]]="","",IF(N(Tasks[[#This Row],[Baseline Finish]])&gt;0,Tasks[[#This Row],[Baseline Finish]],Tasks[[#This Row],[_CalcFinish]]))</f>
        <v/>
      </c>
      <c r="AS147" s="47" t="str">
        <f aca="false">IF(Tasks[[#This Row],[Task Name]]="","",IF(Tasks[[#This Row],[Start]]&gt;=Tasks[[#This Row],[Planned Start]],NETWORKDAYS.INTL(Tasks[[#This Row],[Planned Start]],Tasks[[#This Row],[Start]],WorkWeek,Holidays)-1,1-NETWORKDAYS.INTL(Tasks[[#This Row],[Start]],Tasks[[#This Row],[Planned Start]],WorkWeek,Holidays)))</f>
        <v/>
      </c>
      <c r="AT147" s="63" t="str">
        <f aca="false">IF(Tasks[[#This Row],[Task Name]]="","",IF(Tasks[[#This Row],[_IsSummary]],MIN(INDEX(Tasks[_LeafLateStart],Tasks[[#This Row],[_Row]]+1):INDEX(Tasks[_LeafLateStart],Tasks[[#This Row],[_Row]]+Tasks[[#This Row],[_Descendants]])),Tasks[[#This Row],[_LeafLateStart]]))</f>
        <v/>
      </c>
      <c r="AU147" s="63" t="str">
        <f aca="false">IF(Tasks[[#This Row],[Task Name]]="","",IF(Tasks[[#This Row],[_IsSummary]],MAX(INDEX(Tasks[_LeafLateFinish],Tasks[[#This Row],[_Row]]+1):INDEX(Tasks[_LeafLateFinish],Tasks[[#This Row],[_Row]]+Tasks[[#This Row],[_Descendants]])),Tasks[[#This Row],[_LeafLateFinish]]))</f>
        <v/>
      </c>
      <c r="AV147" s="47" t="str">
        <f aca="false">IF(Tasks[[#This Row],[Task Name]]="","",IF(Tasks[[#This Row],[_IsSummary]],MIN(INDEX(Tasks[_LeafTotalSlack],Tasks[[#This Row],[_Row]]+1):INDEX(Tasks[_LeafTotalSlack],Tasks[[#This Row],[_Row]]+Tasks[[#This Row],[_Descendants]])),Tasks[[#This Row],[_LeafTotalSlack]]))</f>
        <v/>
      </c>
      <c r="AW1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5"/>
      <c r="BA14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1" t="str">
        <f aca="false">IF(Tasks[[#This Row],[Task Name]]="","",IF(Tasks[[#This Row],[_Level]]&lt;=OutlineShowLevel,"Yes","No"))</f>
        <v/>
      </c>
      <c r="BE147" s="86" t="str">
        <f aca="false">IF(Tasks[[#This Row],[Task Name]]="","",IF(Tasks[[#This Row],[_IsSummary]],SUM(INDEX(Tasks[_LeafTotalWork],Tasks[[#This Row],[_Row]]+1):INDEX(Tasks[_LeafTotalWork],Tasks[[#This Row],[_Row]]+Tasks[[#This Row],[_Descendants]])),Tasks[[#This Row],[_LeafTotalWork]]))</f>
        <v/>
      </c>
      <c r="BF147" s="23"/>
      <c r="BG1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7" s="21" t="str">
        <f aca="false">""</f>
        <v/>
      </c>
      <c r="BI147" s="87"/>
      <c r="BJ147" s="22"/>
      <c r="BK147" s="47" t="str">
        <f aca="false">IF(OR(Tasks[[#This Row],[Task Name]]="",Tasks[[#This Row],[Baseline Duration]]=""),"",Tasks[[#This Row],[_SpanDays]]-N(Tasks[[#This Row],[Baseline Duration]]))</f>
        <v/>
      </c>
      <c r="BL147" s="86" t="str">
        <f aca="false">IF(OR(Tasks[[#This Row],[Task Name]]="",Tasks[[#This Row],[Baseline Work]]=""),"",Tasks[[#This Row],[Work]]-N(Tasks[[#This Row],[Baseline Work]]))</f>
        <v/>
      </c>
      <c r="BM147" s="63" t="str">
        <f aca="false">IF(Tasks[[#This Row],[Task Name]]="","",IF(OR(TakeBaseline="Yes",N(Tasks[[#This Row],[Baseline Start]])=0),Tasks[[#This Row],[Start]],Tasks[[#This Row],[Baseline Start]]))</f>
        <v/>
      </c>
      <c r="BN147" s="63" t="str">
        <f aca="false">IF(Tasks[[#This Row],[Task Name]]="","",IF(OR(TakeBaseline="Yes",N(Tasks[[#This Row],[Baseline Finish]])=0),Tasks[[#This Row],[Finish]],Tasks[[#This Row],[Baseline Finish]]))</f>
        <v/>
      </c>
      <c r="BO147" s="21" t="str">
        <f aca="false">IF(Tasks[[#This Row],[Task Name]]="","",IF(OR(TakeBaseline="Yes",N(Tasks[[#This Row],[Baseline Duration]])=0),Tasks[[#This Row],[_SpanDays]],Tasks[[#This Row],[Baseline Duration]]))</f>
        <v/>
      </c>
      <c r="BP147" s="86" t="str">
        <f aca="false">IF(Tasks[[#This Row],[Task Name]]="","",IF(OR(TakeBaseline="Yes",N(Tasks[[#This Row],[Baseline Work]])=0),Tasks[[#This Row],[Work]],Tasks[[#This Row],[Baseline Work]]))</f>
        <v/>
      </c>
      <c r="BQ147" s="7"/>
      <c r="BR147" s="7"/>
      <c r="BS147" s="22"/>
      <c r="BT147" s="88"/>
      <c r="BU147" s="23"/>
      <c r="BV147" s="23"/>
      <c r="BW147" s="23"/>
      <c r="BX147" s="89" t="str">
        <f aca="false">IF(AND(Tasks[[#This Row],[_IsLeaf]]=1,ISNUMBER(Tasks[[#This Row],[Optimistic]]),ISNUMBER(Tasks[[#This Row],[Pessimistic]])),ROUND((Tasks[[#This Row],[Optimistic]]+4*N(Tasks[[#This Row],[_Days]])+Tasks[[#This Row],[Pessimistic]])/6,1),"")</f>
        <v/>
      </c>
      <c r="BY147" s="87"/>
      <c r="BZ147" s="87"/>
      <c r="CA147" s="22"/>
      <c r="CB147" s="43" t="str">
        <f aca="false">IF(Tasks[[#This Row],[Task Name]]="","",MAX(1,N(Tasks[[#This Row],[Level]])))</f>
        <v/>
      </c>
      <c r="CC147" s="43" t="n">
        <f aca="false">ROW()-ROW(Tasks[[#Headers],[ID]])</f>
        <v>142</v>
      </c>
      <c r="CD147" s="43" t="n">
        <f aca="false">IF(OR(Tasks[[#This Row],[Task Name]]="",Tasks[[#This Row],[_Level]]&lt;=1),0,IFERROR(LOOKUP(2,1/(Tasks[[#Headers],[_Level]]:Tasks[[#This Row],[_Level]]=Tasks[[#This Row],[_Level]]-1),ROW(Tasks[[#Headers],[_Level]]:Tasks[[#This Row],[_Level]])),0))</f>
        <v>0</v>
      </c>
      <c r="CE147" s="43" t="n">
        <f aca="false">IFERROR(N(INDEX(Tasks[_Level],Tasks[[#This Row],[_Row]]+1)),0)</f>
        <v>0</v>
      </c>
      <c r="CF147" s="90" t="b">
        <f aca="false">AND(Tasks[[#This Row],[Task Name]]&lt;&gt;"",Tasks[[#This Row],[_NextLevel]]&gt;Tasks[[#This Row],[_Level]])</f>
        <v>0</v>
      </c>
      <c r="CG147" s="43" t="n">
        <f aca="false">IF(Tasks[[#This Row],[_IsSummary]],COUNTIF(Tasks[WBS],Tasks[[#This Row],[WBS]]&amp;".*"),0)</f>
        <v>0</v>
      </c>
      <c r="CH147" s="43" t="n">
        <f aca="false">IF(AND(Tasks[[#This Row],[Task Name]]&lt;&gt;"",NOT(Tasks[[#This Row],[_IsSummary]])),1,0)</f>
        <v>0</v>
      </c>
      <c r="CI147" s="43" t="n">
        <f aca="false">IF(N(Tasks[[#This Row],[_Pred1UID]])=0,0,IFERROR(MATCH(Tasks[[#This Row],[_Pred1UID]],Tasks[UID],0),-1))</f>
        <v>0</v>
      </c>
      <c r="CJ147" s="43" t="n">
        <f aca="false">IF(N(Tasks[[#This Row],[_Pred2UID]])=0,0,IFERROR(MATCH(Tasks[[#This Row],[_Pred2UID]],Tasks[UID],0),-1))</f>
        <v>0</v>
      </c>
      <c r="CK147" s="43" t="n">
        <f aca="false">IF(N(Tasks[[#This Row],[_Pred3UID]])=0,0,IFERROR(MATCH(Tasks[[#This Row],[_Pred3UID]],Tasks[UID],0),-1))</f>
        <v>0</v>
      </c>
      <c r="CL147" s="43" t="n">
        <f aca="false">IF(N(Tasks[[#This Row],[_Pred4UID]])=0,0,IFERROR(MATCH(Tasks[[#This Row],[_Pred4UID]],Tasks[UID],0),-1))</f>
        <v>0</v>
      </c>
      <c r="CM14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7" s="91" t="n">
        <f aca="false">IF(OR(Tasks[[#This Row],[_ConstraintCode]]=2,Tasks[[#This Row],[_ConstraintCode]]=3,Tasks[[#This Row],[_ConstraintCode]]=4,Tasks[[#This Row],[_ConstraintCode]]=6),Tasks[[#This Row],[_ConstraintStart]],0)</f>
        <v>0</v>
      </c>
      <c r="CP147" s="91" t="n">
        <f aca="false">IF(OR(Tasks[[#This Row],[_ConstraintCode]]=2,Tasks[[#This Row],[_ConstraintCode]]=3,Tasks[[#This Row],[_ConstraintCode]]=5,Tasks[[#This Row],[_ConstraintCode]]=7),Tasks[[#This Row],[_ConstraintStart]],2958465)</f>
        <v>2958465</v>
      </c>
      <c r="CQ14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7" s="91" t="str">
        <f aca="false">IF(NOT(Tasks[[#This Row],[_IsLeaf]]=1),"",IF(N(Tasks[[#This Row],[_Days]])&lt;=0,Tasks[[#This Row],[_LeafCalcStart]],WORKDAY.INTL(Tasks[[#This Row],[_LeafCalcStart]],Tasks[[#This Row],[_Days]]-1,WorkWeek,Holidays)))</f>
        <v/>
      </c>
      <c r="CS14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7" s="43" t="str">
        <f aca="false">IF(Tasks[[#This Row],[_Predecessors]]="","",TRIM(MID(SUBSTITUTE(SUBSTITUTE(SUBSTITUTE(UPPER(Tasks[[#This Row],[_Predecessors]]),";",",")," ",""),",",REPT(" ",99)),1,99)))</f>
        <v/>
      </c>
      <c r="CV147" s="43" t="str">
        <f aca="false">IF(Tasks[[#This Row],[_Pred1Text]]="","",IFERROR(VALUE(LEFT(Tasks[[#This Row],[_Pred1Text]],MIN(FIND("F",Tasks[[#This Row],[_Pred1Text]]&amp;"F"),FIND("S",Tasks[[#This Row],[_Pred1Text]]&amp;"S"),FIND("+",Tasks[[#This Row],[_Pred1Text]]&amp;"+"),FIND("-",Tasks[[#This Row],[_Pred1Text]]&amp;"-"))-1)),""))</f>
        <v/>
      </c>
      <c r="CW14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7" s="43" t="str">
        <f aca="false">IF(Tasks[[#This Row],[_Pred1Text]]="","",TRIM(MID(SUBSTITUTE(SUBSTITUTE(SUBSTITUTE(UPPER(Tasks[[#This Row],[_Predecessors]]),";",",")," ",""),",",REPT(" ",99)),100,99)))</f>
        <v/>
      </c>
      <c r="CZ147" s="43" t="str">
        <f aca="false">IF(Tasks[[#This Row],[_Pred2Text]]="","",IFERROR(VALUE(LEFT(Tasks[[#This Row],[_Pred2Text]],MIN(FIND("F",Tasks[[#This Row],[_Pred2Text]]&amp;"F"),FIND("S",Tasks[[#This Row],[_Pred2Text]]&amp;"S"),FIND("+",Tasks[[#This Row],[_Pred2Text]]&amp;"+"),FIND("-",Tasks[[#This Row],[_Pred2Text]]&amp;"-"))-1)),""))</f>
        <v/>
      </c>
      <c r="DA14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7" s="43" t="str">
        <f aca="false">IF(Tasks[[#This Row],[_Pred2Text]]="","",TRIM(MID(SUBSTITUTE(SUBSTITUTE(SUBSTITUTE(UPPER(Tasks[[#This Row],[_Predecessors]]),";",",")," ",""),",",REPT(" ",99)),199,99)))</f>
        <v/>
      </c>
      <c r="DD147" s="43" t="str">
        <f aca="false">IF(Tasks[[#This Row],[_Pred3Text]]="","",IFERROR(VALUE(LEFT(Tasks[[#This Row],[_Pred3Text]],MIN(FIND("F",Tasks[[#This Row],[_Pred3Text]]&amp;"F"),FIND("S",Tasks[[#This Row],[_Pred3Text]]&amp;"S"),FIND("+",Tasks[[#This Row],[_Pred3Text]]&amp;"+"),FIND("-",Tasks[[#This Row],[_Pred3Text]]&amp;"-"))-1)),""))</f>
        <v/>
      </c>
      <c r="DE14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7" s="43" t="str">
        <f aca="false">IF(Tasks[[#This Row],[_Pred3Text]]="","",TRIM(MID(SUBSTITUTE(SUBSTITUTE(SUBSTITUTE(UPPER(Tasks[[#This Row],[_Predecessors]]),";",",")," ",""),",",REPT(" ",99)),298,99)))</f>
        <v/>
      </c>
      <c r="DH147" s="43" t="str">
        <f aca="false">IF(Tasks[[#This Row],[_Pred4Text]]="","",IFERROR(VALUE(LEFT(Tasks[[#This Row],[_Pred4Text]],MIN(FIND("F",Tasks[[#This Row],[_Pred4Text]]&amp;"F"),FIND("S",Tasks[[#This Row],[_Pred4Text]]&amp;"S"),FIND("+",Tasks[[#This Row],[_Pred4Text]]&amp;"+"),FIND("-",Tasks[[#This Row],[_Pred4Text]]&amp;"-"))-1)),""))</f>
        <v/>
      </c>
      <c r="DI14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7" s="43" t="str">
        <f aca="false">IF(OR(Tasks[[#This Row],[Task Name]]="",Tasks[[#This Row],[_Resources]]=""),"",TRIM(MID(SUBSTITUTE(Tasks[[#This Row],[_Resources]],",",REPT(" ",99)),1,99)))</f>
        <v/>
      </c>
      <c r="DL147" s="43" t="str">
        <f aca="false">IF(Tasks[[#This Row],[_Res1Text]]="","",TRIM(MID(SUBSTITUTE(Tasks[[#This Row],[_Resources]],",",REPT(" ",99)),100,99)))</f>
        <v/>
      </c>
      <c r="DM147" s="43" t="str">
        <f aca="false">IF(Tasks[[#This Row],[_Res2Text]]="","",TRIM(MID(SUBSTITUTE(Tasks[[#This Row],[_Resources]],",",REPT(" ",99)),199,99)))</f>
        <v/>
      </c>
      <c r="DN147" s="43" t="str">
        <f aca="false">IF(Tasks[[#This Row],[_Res3Text]]="","",TRIM(MID(SUBSTITUTE(Tasks[[#This Row],[_Resources]],",",REPT(" ",99)),298,99)))</f>
        <v/>
      </c>
      <c r="DO147" s="43" t="n">
        <f aca="false">IF(Tasks[[#This Row],[_Res1Text]]="",0,IFERROR(MATCH(TRIM(LEFT(Tasks[[#This Row],[_Res1Text]],FIND("[",Tasks[[#This Row],[_Res1Text]]&amp;"[")-1)),res_Name,0),IFERROR(MATCH(TRIM(LEFT(Tasks[[#This Row],[_Res1Text]],FIND("[",Tasks[[#This Row],[_Res1Text]]&amp;"[")-1)),res_Initials,0),0)))</f>
        <v>0</v>
      </c>
      <c r="DP147" s="43" t="n">
        <f aca="false">IF(Tasks[[#This Row],[_Res2Text]]="",0,IFERROR(MATCH(TRIM(LEFT(Tasks[[#This Row],[_Res2Text]],FIND("[",Tasks[[#This Row],[_Res2Text]]&amp;"[")-1)),res_Name,0),IFERROR(MATCH(TRIM(LEFT(Tasks[[#This Row],[_Res2Text]],FIND("[",Tasks[[#This Row],[_Res2Text]]&amp;"[")-1)),res_Initials,0),0)))</f>
        <v>0</v>
      </c>
      <c r="DQ147" s="43" t="n">
        <f aca="false">IF(Tasks[[#This Row],[_Res3Text]]="",0,IFERROR(MATCH(TRIM(LEFT(Tasks[[#This Row],[_Res3Text]],FIND("[",Tasks[[#This Row],[_Res3Text]]&amp;"[")-1)),res_Name,0),IFERROR(MATCH(TRIM(LEFT(Tasks[[#This Row],[_Res3Text]],FIND("[",Tasks[[#This Row],[_Res3Text]]&amp;"[")-1)),res_Initials,0),0)))</f>
        <v>0</v>
      </c>
      <c r="DR147" s="43" t="n">
        <f aca="false">IF(Tasks[[#This Row],[_Res4Text]]="",0,IFERROR(MATCH(TRIM(LEFT(Tasks[[#This Row],[_Res4Text]],FIND("[",Tasks[[#This Row],[_Res4Text]]&amp;"[")-1)),res_Name,0),IFERROR(MATCH(TRIM(LEFT(Tasks[[#This Row],[_Res4Text]],FIND("[",Tasks[[#This Row],[_Res4Text]]&amp;"[")-1)),res_Initials,0),0)))</f>
        <v>0</v>
      </c>
      <c r="DS147" s="43" t="str">
        <f aca="false">IF(Tasks[[#This Row],[_Res1Text]]="","",IF(Tasks[[#This Row],[_Res1Row]]&gt;0,INDEX(res_Name,Tasks[[#This Row],[_Res1Row]]),TRIM(LEFT(Tasks[[#This Row],[_Res1Text]],FIND("[",Tasks[[#This Row],[_Res1Text]]&amp;"[")-1))))</f>
        <v/>
      </c>
      <c r="DT14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7" s="43" t="n">
        <f aca="false">IF(NOT(Tasks[[#This Row],[_IsLeaf]]=1),0,(Tasks[[#This Row],[_Resource1]]&lt;&gt;"")+(Tasks[[#This Row],[_Res2]]&lt;&gt;"")+(Tasks[[#This Row],[_Res3]]&lt;&gt;"")+(Tasks[[#This Row],[_Res4]]&lt;&gt;""))</f>
        <v>0</v>
      </c>
      <c r="DV147" s="43" t="str">
        <f aca="false">IF(Tasks[[#This Row],[_Res2Text]]="","",IF(Tasks[[#This Row],[_Res2Row]]&gt;0,INDEX(res_Name,Tasks[[#This Row],[_Res2Row]]),TRIM(LEFT(Tasks[[#This Row],[_Res2Text]],FIND("[",Tasks[[#This Row],[_Res2Text]]&amp;"[")-1))))</f>
        <v/>
      </c>
      <c r="DW14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7" s="43" t="n">
        <f aca="false">IF(OR(NOT(Tasks[[#This Row],[_IsLeaf]]=1),Tasks[[#This Row],[_Res2Row]]=0),0,N(Tasks[[#This Row],[_Days]])*HoursPerDay*IF(Tasks[[#This Row],[_Res2Units]]="",DefaultUnits,Tasks[[#This Row],[_Res2Units]]))</f>
        <v>0</v>
      </c>
      <c r="DY147" s="43" t="n">
        <f aca="false">IF(AND(AND(Tasks[[#This Row],[_IsLeaf]]=1,Tasks[[#This Row],[_LeafTotalWork]]&gt;0),Tasks[[#This Row],[_Res2Work]]&gt;0),Tasks[[#This Row],[_Res2Work]]/(Tasks[[#This Row],[_FinishWorkday]]-Tasks[[#This Row],[_StartWorkday]]+1),0)</f>
        <v>0</v>
      </c>
      <c r="DZ147" s="43" t="n">
        <f aca="false">Tasks[[#This Row],[_Res2WorkPerWD]]*MAX(0,Tasks[[#This Row],[_StartWorkday]]-1)</f>
        <v>0</v>
      </c>
      <c r="EA147" s="43" t="n">
        <f aca="false">Tasks[[#This Row],[_Res2Work]]*Tasks[[#This Row],[_LeafProgress]]</f>
        <v>0</v>
      </c>
      <c r="EB147" s="43" t="str">
        <f aca="false">IF(Tasks[[#This Row],[_Res3Text]]="","",IF(Tasks[[#This Row],[_Res3Row]]&gt;0,INDEX(res_Name,Tasks[[#This Row],[_Res3Row]]),TRIM(LEFT(Tasks[[#This Row],[_Res3Text]],FIND("[",Tasks[[#This Row],[_Res3Text]]&amp;"[")-1))))</f>
        <v/>
      </c>
      <c r="EC14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7" s="43" t="n">
        <f aca="false">IF(OR(NOT(Tasks[[#This Row],[_IsLeaf]]=1),Tasks[[#This Row],[_Res3Row]]=0),0,N(Tasks[[#This Row],[_Days]])*HoursPerDay*IF(Tasks[[#This Row],[_Res3Units]]="",DefaultUnits,Tasks[[#This Row],[_Res3Units]]))</f>
        <v>0</v>
      </c>
      <c r="EE147" s="43" t="n">
        <f aca="false">IF(AND(AND(Tasks[[#This Row],[_IsLeaf]]=1,Tasks[[#This Row],[_LeafTotalWork]]&gt;0),Tasks[[#This Row],[_Res3Work]]&gt;0),Tasks[[#This Row],[_Res3Work]]/(Tasks[[#This Row],[_FinishWorkday]]-Tasks[[#This Row],[_StartWorkday]]+1),0)</f>
        <v>0</v>
      </c>
      <c r="EF147" s="43" t="n">
        <f aca="false">Tasks[[#This Row],[_Res3WorkPerWD]]*MAX(0,Tasks[[#This Row],[_StartWorkday]]-1)</f>
        <v>0</v>
      </c>
      <c r="EG147" s="43" t="n">
        <f aca="false">Tasks[[#This Row],[_Res3Work]]*Tasks[[#This Row],[_LeafProgress]]</f>
        <v>0</v>
      </c>
      <c r="EH147" s="43" t="str">
        <f aca="false">IF(Tasks[[#This Row],[_Res4Text]]="","",IF(Tasks[[#This Row],[_Res4Row]]&gt;0,INDEX(res_Name,Tasks[[#This Row],[_Res4Row]]),TRIM(LEFT(Tasks[[#This Row],[_Res4Text]],FIND("[",Tasks[[#This Row],[_Res4Text]]&amp;"[")-1))))</f>
        <v/>
      </c>
      <c r="EI14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7" s="43" t="n">
        <f aca="false">IF(OR(NOT(Tasks[[#This Row],[_IsLeaf]]=1),Tasks[[#This Row],[_Res4Row]]=0),0,N(Tasks[[#This Row],[_Days]])*HoursPerDay*IF(Tasks[[#This Row],[_Res4Units]]="",DefaultUnits,Tasks[[#This Row],[_Res4Units]]))</f>
        <v>0</v>
      </c>
      <c r="EK147" s="43" t="n">
        <f aca="false">IF(AND(AND(Tasks[[#This Row],[_IsLeaf]]=1,Tasks[[#This Row],[_LeafTotalWork]]&gt;0),Tasks[[#This Row],[_Res4Work]]&gt;0),Tasks[[#This Row],[_Res4Work]]/(Tasks[[#This Row],[_FinishWorkday]]-Tasks[[#This Row],[_StartWorkday]]+1),0)</f>
        <v>0</v>
      </c>
      <c r="EL147" s="43" t="n">
        <f aca="false">Tasks[[#This Row],[_Res4WorkPerWD]]*MAX(0,Tasks[[#This Row],[_StartWorkday]]-1)</f>
        <v>0</v>
      </c>
      <c r="EM147" s="43" t="n">
        <f aca="false">Tasks[[#This Row],[_Res4Work]]*Tasks[[#This Row],[_LeafProgress]]</f>
        <v>0</v>
      </c>
      <c r="EN147" s="43" t="n">
        <f aca="false">IF(ISNUMBER(Tasks[[#This Row],[% Complete]]),Tasks[[#This Row],[% Complete]],IF(Tasks[[#This Row],[Stage]]="",0,IFERROR(INDEX(stg_Pct,MATCH(Tasks[[#This Row],[Stage]],stg_Name,0)),0)))</f>
        <v>0</v>
      </c>
      <c r="EO147" s="43" t="n">
        <f aca="false">IF(NOT(Tasks[[#This Row],[_IsLeaf]]=1),0,IF(N(Tasks[[#This Row],[Actual Finish]])&gt;0,1,MIN(1,Tasks[[#This Row],[_Pct]])))</f>
        <v>0</v>
      </c>
      <c r="EP147" s="43" t="n">
        <f aca="false">IF(OR(NOT(Tasks[[#This Row],[_IsLeaf]]=1),Tasks[[#This Row],[_Res1Row]]=0),0,N(Tasks[[#This Row],[_Days]])*HoursPerDay*IF(Tasks[[#This Row],[_Units1]]="",DefaultUnits,Tasks[[#This Row],[_Units1]]))</f>
        <v>0</v>
      </c>
      <c r="EQ147" s="43" t="n">
        <f aca="false">Tasks[[#This Row],[_LeafWork]]+Tasks[[#This Row],[_Res2Work]]+Tasks[[#This Row],[_Res3Work]]+Tasks[[#This Row],[_Res4Work]]</f>
        <v>0</v>
      </c>
      <c r="ER14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7" s="43" t="n">
        <f aca="false">IF(NOT(Tasks[[#This Row],[_IsLeaf]]=1),0,MAX(_xlfn.MAXIFS(Tasks[_Row],Tasks[_Pred1UID],Tasks[[#This Row],[UID]]),_xlfn.MAXIFS(Tasks[_Row],Tasks[_Pred2UID],Tasks[[#This Row],[UID]]),_xlfn.MAXIFS(Tasks[_Row],Tasks[_Pred3UID],Tasks[[#This Row],[UID]]),_xlfn.MAXIFS(Tasks[_Row],Tasks[_Pred4UID],Tasks[[#This Row],[UID]])))</f>
        <v>0</v>
      </c>
      <c r="FA14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7" s="91" t="str">
        <f aca="false">IF(NOT(Tasks[[#This Row],[_IsLeaf]]=1),"",IF(N(Tasks[[#This Row],[_Days]])&lt;=0,Tasks[[#This Row],[_LeafLateFinish]],WORKDAY.INTL(Tasks[[#This Row],[_LeafLateFinish]],-(Tasks[[#This Row],[_Days]]-1),WorkWeek,Holidays)))</f>
        <v/>
      </c>
      <c r="FD14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7" s="90" t="b">
        <f aca="false">AND(Tasks[[#This Row],[_IsLeaf]]=1,Tasks[[#This Row],[_LeafProgress]]&lt;1,N(Tasks[[#This Row],[_LeafTotalSlack]])&lt;=CriticalSlackDays)</f>
        <v>0</v>
      </c>
      <c r="FF147" s="43" t="n">
        <f aca="false">IF(AND(Tasks[[#This Row],[_IsLeaf]]=1,Tasks[[#This Row],[_ConstraintCode]]=1,Tasks[[#This Row],[Mode]]&lt;&gt;"Manual",N(Tasks[[#This Row],[Actual Start]])=0),MAX(0,N(Tasks[[#This Row],[Free Slack]])),0)</f>
        <v>0</v>
      </c>
      <c r="FG147" s="91" t="str">
        <f aca="false">IF(NOT(Tasks[[#This Row],[_IsLeaf]]=1),"",IF(Tasks[[#This Row],[_AlapShift]]=0,Tasks[[#This Row],[_LeafCalcStart]],WORKDAY.INTL(Tasks[[#This Row],[_LeafCalcStart]],Tasks[[#This Row],[_AlapShift]],WorkWeek,Holidays)))</f>
        <v/>
      </c>
      <c r="FH147" s="91" t="str">
        <f aca="false">IF(NOT(Tasks[[#This Row],[_IsLeaf]]=1),"",IF(Tasks[[#This Row],[_AlapShift]]=0,Tasks[[#This Row],[_LeafCalcFinish]],WORKDAY.INTL(Tasks[[#This Row],[_LeafCalcFinish]],Tasks[[#This Row],[_AlapShift]],WorkWeek,Holidays)))</f>
        <v/>
      </c>
      <c r="FI147" s="91" t="str">
        <f aca="false">IF(NOT(Tasks[[#This Row],[_IsLeaf]]=1),"",IF(Tasks[[#This Row],[_AlapShift]]=0,Tasks[[#This Row],[_LeafFcstStart]],WORKDAY.INTL(Tasks[[#This Row],[_LeafFcstStart]],Tasks[[#This Row],[_AlapShift]],WorkWeek,Holidays)))</f>
        <v/>
      </c>
      <c r="FJ147" s="91" t="str">
        <f aca="false">IF(NOT(Tasks[[#This Row],[_IsLeaf]]=1),"",IF(Tasks[[#This Row],[_AlapShift]]=0,Tasks[[#This Row],[_LeafFcstFinish]],WORKDAY.INTL(Tasks[[#This Row],[_LeafFcstFinish]],Tasks[[#This Row],[_AlapShift]],WorkWeek,Holidays)))</f>
        <v/>
      </c>
      <c r="FK147" s="91" t="str">
        <f aca="false">IF(Tasks[[#This Row],[Task Name]]="","",IF(Tasks[[#This Row],[_IsSummary]],MIN(INDEX(Tasks[_ShownCalcStart],Tasks[[#This Row],[_Row]]+1):INDEX(Tasks[_ShownCalcStart],Tasks[[#This Row],[_Row]]+Tasks[[#This Row],[_Descendants]])),Tasks[[#This Row],[_ShownCalcStart]]))</f>
        <v/>
      </c>
      <c r="FL147" s="91" t="str">
        <f aca="false">IF(Tasks[[#This Row],[Task Name]]="","",IF(Tasks[[#This Row],[_IsSummary]],MAX(INDEX(Tasks[_ShownCalcFinish],Tasks[[#This Row],[_Row]]+1):INDEX(Tasks[_ShownCalcFinish],Tasks[[#This Row],[_Row]]+Tasks[[#This Row],[_Descendants]])),Tasks[[#This Row],[_ShownCalcFinish]]))</f>
        <v/>
      </c>
      <c r="FM14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7" s="43" t="n">
        <f aca="false">IF(AND(Tasks[[#This Row],[_IsLeaf]]=1,Tasks[[#This Row],[_LeafTotalWork]]&gt;0),NETWORKDAYS.INTL(ProjectStart,Tasks[[#This Row],[_ShownFcstStart]],WorkWeek,Holidays),0)</f>
        <v>0</v>
      </c>
      <c r="FZ147" s="43" t="n">
        <f aca="false">IF(AND(Tasks[[#This Row],[_IsLeaf]]=1,Tasks[[#This Row],[_LeafTotalWork]]&gt;0),MAX(Tasks[[#This Row],[_StartWorkday]],NETWORKDAYS.INTL(ProjectStart,Tasks[[#This Row],[_ShownFcstFinish]],WorkWeek,Holidays)),0)</f>
        <v>0</v>
      </c>
      <c r="GA147" s="43" t="n">
        <f aca="false">IF(AND(Tasks[[#This Row],[_IsLeaf]]=1,Tasks[[#This Row],[_LeafTotalWork]]&gt;0),Tasks[[#This Row],[_LeafWork]]/(Tasks[[#This Row],[_FinishWorkday]]-Tasks[[#This Row],[_StartWorkday]]+1),0)</f>
        <v>0</v>
      </c>
      <c r="GB147" s="43" t="n">
        <f aca="false">Tasks[[#This Row],[_WorkPerWorkday]]*(Tasks[[#This Row],[_StartWorkday]]-1)</f>
        <v>-0</v>
      </c>
      <c r="GC147" s="43" t="n">
        <f aca="false">IF(Tasks[[#This Row],[_IsLeaf]]=1,MAX(N(Tasks[[#This Row],[_Days]]),0.1),0)</f>
        <v>0</v>
      </c>
      <c r="GD147" s="43" t="n">
        <f aca="false">Tasks[[#This Row],[_WeightDur]]*Tasks[[#This Row],[_LeafProgress]]</f>
        <v>0</v>
      </c>
      <c r="GE147" s="43" t="n">
        <f aca="false">Tasks[[#This Row],[_WeightDur]]*Tasks[[#This Row],[_PlannedPct]]</f>
        <v>0</v>
      </c>
      <c r="GF14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7" s="43" t="str">
        <f aca="false">IF(AND(Tasks[[#This Row],[_IsLeaf]]=1,N(Tasks[[#This Row],[_Days]])=0,Tasks[[#This Row],[_LeafProgress]]&lt;1),Tasks[[#This Row],[_ShownFcstFinish]]+Tasks[[#This Row],[_Row]]/100000,"")</f>
        <v/>
      </c>
      <c r="GH14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7" s="43" t="str">
        <f aca="false">IF(Tasks[[#This Row],[Task Name]]="","",LEFT(Tasks[[#This Row],[WBS]],FIND(".",Tasks[[#This Row],[WBS]]&amp;".")-1))</f>
        <v/>
      </c>
      <c r="GJ147" s="43" t="str">
        <f aca="false">IF(AND(Tasks[[#This Row],[Task Name]]&lt;&gt;"",Tasks[[#This Row],[_Level]]=1),Tasks[[#This Row],[_Row]],"")</f>
        <v/>
      </c>
      <c r="GK147" s="43" t="str">
        <f aca="false">IF(AND(Tasks[[#This Row],[_IsLeaf]]=1,N(Tasks[[#This Row],[_Days]])=0),Tasks[[#This Row],[Planned Finish]]+Tasks[[#This Row],[_Row]]/100000,"")</f>
        <v/>
      </c>
      <c r="GL147" s="43" t="str">
        <f aca="false">IF(AND(Tasks[[#This Row],[_IsLeaf]]=1,Tasks[[#This Row],[_LeafProgress]]&lt;1,OR(N(Tasks[[#This Row],[Finish Var]])&gt;0,Tasks[[#This Row],[Status]]="Late Start")),MAX(0,Tasks[[#This Row],[Finish Var]])+1-Tasks[[#This Row],[_Row]]/1000000,"")</f>
        <v/>
      </c>
      <c r="GM147" s="43" t="str">
        <f aca="false">IF(AND(Tasks[[#This Row],[_IsLeaf]]=1,N(Tasks[[#This Row],[Actual Start]])=0,Tasks[[#This Row],[_ShownFcstStart]]&gt;=StatusDate,Tasks[[#This Row],[_ShownFcstStart]]&lt;=LookaheadEnd),Tasks[[#This Row],[_ShownFcstStart]]+Tasks[[#This Row],[_Row]]/100000,"")</f>
        <v/>
      </c>
      <c r="GN147" s="43" t="str">
        <f aca="false">IF(AND(Tasks[[#This Row],[_IsLeaf]]=1,Tasks[[#This Row],[_LeafProgress]]&lt;1,Tasks[[#This Row],[_ShownFcstFinish]]&gt;=StatusDate,Tasks[[#This Row],[_ShownFcstFinish]]&lt;=LookaheadEnd),Tasks[[#This Row],[_ShownFcstFinish]]+Tasks[[#This Row],[_Row]]/100000,"")</f>
        <v/>
      </c>
      <c r="GO147" s="43" t="str">
        <f aca="false">IF(Tasks[[#This Row],[_LeafCritical]],Tasks[[#This Row],[_ShownFcstStart]]+Tasks[[#This Row],[_Row]]/100000,"")</f>
        <v/>
      </c>
      <c r="GP147" s="43" t="n">
        <f aca="false">Tasks[[#This Row],[_LeafWork]]*Tasks[[#This Row],[_LeafProgress]]</f>
        <v>0</v>
      </c>
      <c r="GQ147" s="91" t="str">
        <f aca="false">IF(AND(Tasks[[#This Row],[_IsLeaf]]=1,Tasks[[#This Row],[_LeafProgress]]&gt;=1),IF(N(Tasks[[#This Row],[Actual Finish]])&gt;0,Tasks[[#This Row],[Actual Finish]],Tasks[[#This Row],[_ShownFcstFinish]]),"")</f>
        <v/>
      </c>
      <c r="GR147" s="43" t="n">
        <f aca="false">IF(Tasks[[#This Row],[_IsLeaf]]=1,N(Tasks[[#This Row],[Story Points]]),0)</f>
        <v>0</v>
      </c>
      <c r="GS147" s="43" t="str">
        <f aca="false">""</f>
        <v/>
      </c>
      <c r="GT147" s="90" t="b">
        <f aca="false">IF(Tasks[[#This Row],[Task Name]]="",FALSE(),AND(Tasks[[#This Row],[_IsLeaf]]=1,N(Tasks[[#This Row],[_Days]])=0))</f>
        <v>0</v>
      </c>
      <c r="GU147" s="91" t="n">
        <f aca="false">IF(Tasks[[#This Row],[Task Name]]="",0,IF(AND(Tasks[[#This Row],[_IsLeaf]]=1,NOT(Tasks[[#This Row],[_IsMilestone]]),N(Tasks[[#This Row],[Progress]])&gt;0),Tasks[[#This Row],[Start]],0))</f>
        <v>0</v>
      </c>
      <c r="GV147" s="91" t="n">
        <f aca="false">IF(Tasks[[#This Row],[_DoneFrom]]=0,0,IF(Tasks[[#This Row],[Progress]]&gt;=1,Tasks[[#This Row],[Finish]],MAX(Tasks[[#This Row],[_DoneFrom]],Tasks[[#This Row],[Start]]+ROUND((Tasks[[#This Row],[Finish]]-Tasks[[#This Row],[Start]]+1)*Tasks[[#This Row],[Progress]],0)-1)))</f>
        <v>0</v>
      </c>
      <c r="GW147" s="91" t="n">
        <f aca="false">IF(Tasks[[#This Row],[Task Name]]="",0,IF(OR(NOT(Tasks[[#This Row],[_IsLeaf]]=1),Tasks[[#This Row],[_IsMilestone]],N(Tasks[[#This Row],[Progress]])&gt;=1),0,IF(Tasks[[#This Row],[_DoneTo]]&gt;0,Tasks[[#This Row],[_DoneTo]]+1,Tasks[[#This Row],[Start]])))</f>
        <v>0</v>
      </c>
      <c r="GX147" s="91" t="n">
        <f aca="false">IF(Tasks[[#This Row],[_RemFrom]]=0,0,Tasks[[#This Row],[Finish]])</f>
        <v>0</v>
      </c>
      <c r="GY147" s="90" t="b">
        <f aca="false">IF(Tasks[[#This Row],[Task Name]]="",FALSE(),OR(NOT(BaselineSet),N(Tasks[[#This Row],[Baseline Start]])&gt;0))</f>
        <v>0</v>
      </c>
      <c r="GZ14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7" s="92" t="str">
        <f aca="false">IF(Tasks[[#This Row],[_IsLeaf]]=1,Tasks[[#This Row],[_Row]],"")</f>
        <v/>
      </c>
      <c r="HD147" s="92" t="str">
        <f aca="false">IFERROR(INDEX(Tasks[UID],SMALL(Tasks[_PickKey],Tasks[[#This Row],[_Row]]))&amp;" "&amp;INDEX(Tasks[Task Name],SMALL(Tasks[_PickKey],Tasks[[#This Row],[_Row]])),"")</f>
        <v/>
      </c>
      <c r="HE147" s="43" t="str">
        <f aca="false">IF(Tasks[[#This Row],[Task Name]]="","",IF(Tasks[[#This Row],[_IsSummary]],NETWORKDAYS.INTL(Tasks[[#This Row],[Start]],Tasks[[#This Row],[Finish]],WorkWeek,Holidays),N(Tasks[[#This Row],[_Days]])))</f>
        <v/>
      </c>
      <c r="HF147" s="43" t="n">
        <f aca="false">IF(Tasks[[#This Row],[Expected]]="",0,((Tasks[[#This Row],[Pessimistic]]-Tasks[[#This Row],[Optimistic]])/6)^2)</f>
        <v>0</v>
      </c>
      <c r="HG147" s="43" t="n">
        <f aca="false">IF(Tasks[[#This Row],[Expected]]="",0,Tasks[[#This Row],[Expected]]-N(Tasks[[#This Row],[_Days]]))</f>
        <v>0</v>
      </c>
    </row>
    <row r="148" customFormat="false" ht="15" hidden="false" customHeight="false" outlineLevel="0" collapsed="false">
      <c r="A148" s="21" t="str">
        <f aca="false">IF(Tasks[[#This Row],[Task Name]]="","",COUNTA(Tasks[[#Headers],[Task Name]]:Tasks[[#This Row],[Task Name]])-1)</f>
        <v/>
      </c>
      <c r="B148" s="22" t="n">
        <v>156</v>
      </c>
      <c r="C148" s="22"/>
      <c r="D148" s="23"/>
      <c r="E148" s="22"/>
      <c r="F148" s="23"/>
      <c r="G148" s="22"/>
      <c r="H148" s="22"/>
      <c r="I148" s="23"/>
      <c r="J148" s="22"/>
      <c r="K148" s="22"/>
      <c r="L148" s="23"/>
      <c r="M148" s="22"/>
      <c r="N148" s="22"/>
      <c r="O148" s="23"/>
      <c r="P148" s="22"/>
      <c r="Q148" s="22"/>
      <c r="R148" s="23"/>
      <c r="S148" s="23"/>
      <c r="T148" s="84"/>
      <c r="U148" s="23"/>
      <c r="V148" s="84"/>
      <c r="W148" s="23"/>
      <c r="X148" s="84"/>
      <c r="Y148" s="23"/>
      <c r="Z148" s="84"/>
      <c r="AA148" s="23"/>
      <c r="AB148" s="23"/>
      <c r="AC148" s="7"/>
      <c r="AD148" s="7"/>
      <c r="AE148" s="63" t="str">
        <f aca="false">IF(Tasks[[#This Row],[Task Name]]="","",IF(Tasks[[#This Row],[_IsSummary]],MIN(INDEX(Tasks[_ShownFcstStart],Tasks[[#This Row],[_Row]]+1):INDEX(Tasks[_ShownFcstStart],Tasks[[#This Row],[_Row]]+Tasks[[#This Row],[_Descendants]])),Tasks[[#This Row],[_ShownFcstStart]]))</f>
        <v/>
      </c>
      <c r="AF148" s="63" t="str">
        <f aca="false">IF(Tasks[[#This Row],[Task Name]]="","",IF(Tasks[[#This Row],[_IsSummary]],MAX(INDEX(Tasks[_ShownFcstFinish],Tasks[[#This Row],[_Row]]+1):INDEX(Tasks[_ShownFcstFinish],Tasks[[#This Row],[_Row]]+Tasks[[#This Row],[_Descendants]])),Tasks[[#This Row],[_ShownFcstFinish]]))</f>
        <v/>
      </c>
      <c r="AG148" s="21" t="str">
        <f aca="false">""</f>
        <v/>
      </c>
      <c r="AH148" s="23"/>
      <c r="AI1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8" s="7"/>
      <c r="AK148" s="22"/>
      <c r="AL148" s="23"/>
      <c r="AM148" s="7"/>
      <c r="AN148" s="47" t="str">
        <f aca="false">IF(Tasks[[#This Row],[Task Name]]="","",IF(Tasks[[#This Row],[Finish]]&gt;=Tasks[[#This Row],[Planned Finish]],NETWORKDAYS.INTL(Tasks[[#This Row],[Planned Finish]],Tasks[[#This Row],[Finish]],WorkWeek,Holidays)-1,1-NETWORKDAYS.INTL(Tasks[[#This Row],[Finish]],Tasks[[#This Row],[Planned Finish]],WorkWeek,Holidays)))</f>
        <v/>
      </c>
      <c r="AO148" s="21" t="str">
        <f aca="false">IF(Tasks[[#This Row],[Task Name]]="","",IF(Tasks[[#This Row],[Progress]]&gt;=1,"Complete",IF(OR(N(Tasks[[#This Row],[Actual Start]])&gt;0,Tasks[[#This Row],[Progress]]&gt;0),IF(Tasks[[#This Row],[Finish Var]]&gt;0,"Behind","In Progress"),IF(Tasks[[#This Row],[Planned Start]]&lt;StatusDate,"Late Start","Not Started"))))</f>
        <v/>
      </c>
      <c r="AP148" s="21" t="str">
        <f aca="false">IF(Tasks[[#This Row],[Task Name]]="","",IF(IF(Tasks[[#This Row],[_IsSummary]],COUNTIF(INDEX(Tasks[_LeafCritical],Tasks[[#This Row],[_Row]]+1):INDEX(Tasks[_LeafCritical],Tasks[[#This Row],[_Row]]+Tasks[[#This Row],[_Descendants]]),TRUE())&gt;0,Tasks[[#This Row],[_LeafCritical]]),"Yes",""))</f>
        <v/>
      </c>
      <c r="AQ148" s="63" t="str">
        <f aca="false">IF(Tasks[[#This Row],[Task Name]]="","",IF(N(Tasks[[#This Row],[Baseline Start]])&gt;0,Tasks[[#This Row],[Baseline Start]],Tasks[[#This Row],[_CalcStart]]))</f>
        <v/>
      </c>
      <c r="AR148" s="63" t="str">
        <f aca="false">IF(Tasks[[#This Row],[Task Name]]="","",IF(N(Tasks[[#This Row],[Baseline Finish]])&gt;0,Tasks[[#This Row],[Baseline Finish]],Tasks[[#This Row],[_CalcFinish]]))</f>
        <v/>
      </c>
      <c r="AS148" s="47" t="str">
        <f aca="false">IF(Tasks[[#This Row],[Task Name]]="","",IF(Tasks[[#This Row],[Start]]&gt;=Tasks[[#This Row],[Planned Start]],NETWORKDAYS.INTL(Tasks[[#This Row],[Planned Start]],Tasks[[#This Row],[Start]],WorkWeek,Holidays)-1,1-NETWORKDAYS.INTL(Tasks[[#This Row],[Start]],Tasks[[#This Row],[Planned Start]],WorkWeek,Holidays)))</f>
        <v/>
      </c>
      <c r="AT148" s="63" t="str">
        <f aca="false">IF(Tasks[[#This Row],[Task Name]]="","",IF(Tasks[[#This Row],[_IsSummary]],MIN(INDEX(Tasks[_LeafLateStart],Tasks[[#This Row],[_Row]]+1):INDEX(Tasks[_LeafLateStart],Tasks[[#This Row],[_Row]]+Tasks[[#This Row],[_Descendants]])),Tasks[[#This Row],[_LeafLateStart]]))</f>
        <v/>
      </c>
      <c r="AU148" s="63" t="str">
        <f aca="false">IF(Tasks[[#This Row],[Task Name]]="","",IF(Tasks[[#This Row],[_IsSummary]],MAX(INDEX(Tasks[_LeafLateFinish],Tasks[[#This Row],[_Row]]+1):INDEX(Tasks[_LeafLateFinish],Tasks[[#This Row],[_Row]]+Tasks[[#This Row],[_Descendants]])),Tasks[[#This Row],[_LeafLateFinish]]))</f>
        <v/>
      </c>
      <c r="AV148" s="47" t="str">
        <f aca="false">IF(Tasks[[#This Row],[Task Name]]="","",IF(Tasks[[#This Row],[_IsSummary]],MIN(INDEX(Tasks[_LeafTotalSlack],Tasks[[#This Row],[_Row]]+1):INDEX(Tasks[_LeafTotalSlack],Tasks[[#This Row],[_Row]]+Tasks[[#This Row],[_Descendants]])),Tasks[[#This Row],[_LeafTotalSlack]]))</f>
        <v/>
      </c>
      <c r="AW1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5"/>
      <c r="BA14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1" t="str">
        <f aca="false">IF(Tasks[[#This Row],[Task Name]]="","",IF(Tasks[[#This Row],[_Level]]&lt;=OutlineShowLevel,"Yes","No"))</f>
        <v/>
      </c>
      <c r="BE148" s="86" t="str">
        <f aca="false">IF(Tasks[[#This Row],[Task Name]]="","",IF(Tasks[[#This Row],[_IsSummary]],SUM(INDEX(Tasks[_LeafTotalWork],Tasks[[#This Row],[_Row]]+1):INDEX(Tasks[_LeafTotalWork],Tasks[[#This Row],[_Row]]+Tasks[[#This Row],[_Descendants]])),Tasks[[#This Row],[_LeafTotalWork]]))</f>
        <v/>
      </c>
      <c r="BF148" s="23"/>
      <c r="BG1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8" s="21" t="str">
        <f aca="false">""</f>
        <v/>
      </c>
      <c r="BI148" s="87"/>
      <c r="BJ148" s="22"/>
      <c r="BK148" s="47" t="str">
        <f aca="false">IF(OR(Tasks[[#This Row],[Task Name]]="",Tasks[[#This Row],[Baseline Duration]]=""),"",Tasks[[#This Row],[_SpanDays]]-N(Tasks[[#This Row],[Baseline Duration]]))</f>
        <v/>
      </c>
      <c r="BL148" s="86" t="str">
        <f aca="false">IF(OR(Tasks[[#This Row],[Task Name]]="",Tasks[[#This Row],[Baseline Work]]=""),"",Tasks[[#This Row],[Work]]-N(Tasks[[#This Row],[Baseline Work]]))</f>
        <v/>
      </c>
      <c r="BM148" s="63" t="str">
        <f aca="false">IF(Tasks[[#This Row],[Task Name]]="","",IF(OR(TakeBaseline="Yes",N(Tasks[[#This Row],[Baseline Start]])=0),Tasks[[#This Row],[Start]],Tasks[[#This Row],[Baseline Start]]))</f>
        <v/>
      </c>
      <c r="BN148" s="63" t="str">
        <f aca="false">IF(Tasks[[#This Row],[Task Name]]="","",IF(OR(TakeBaseline="Yes",N(Tasks[[#This Row],[Baseline Finish]])=0),Tasks[[#This Row],[Finish]],Tasks[[#This Row],[Baseline Finish]]))</f>
        <v/>
      </c>
      <c r="BO148" s="21" t="str">
        <f aca="false">IF(Tasks[[#This Row],[Task Name]]="","",IF(OR(TakeBaseline="Yes",N(Tasks[[#This Row],[Baseline Duration]])=0),Tasks[[#This Row],[_SpanDays]],Tasks[[#This Row],[Baseline Duration]]))</f>
        <v/>
      </c>
      <c r="BP148" s="86" t="str">
        <f aca="false">IF(Tasks[[#This Row],[Task Name]]="","",IF(OR(TakeBaseline="Yes",N(Tasks[[#This Row],[Baseline Work]])=0),Tasks[[#This Row],[Work]],Tasks[[#This Row],[Baseline Work]]))</f>
        <v/>
      </c>
      <c r="BQ148" s="7"/>
      <c r="BR148" s="7"/>
      <c r="BS148" s="22"/>
      <c r="BT148" s="88"/>
      <c r="BU148" s="23"/>
      <c r="BV148" s="23"/>
      <c r="BW148" s="23"/>
      <c r="BX148" s="89" t="str">
        <f aca="false">IF(AND(Tasks[[#This Row],[_IsLeaf]]=1,ISNUMBER(Tasks[[#This Row],[Optimistic]]),ISNUMBER(Tasks[[#This Row],[Pessimistic]])),ROUND((Tasks[[#This Row],[Optimistic]]+4*N(Tasks[[#This Row],[_Days]])+Tasks[[#This Row],[Pessimistic]])/6,1),"")</f>
        <v/>
      </c>
      <c r="BY148" s="87"/>
      <c r="BZ148" s="87"/>
      <c r="CA148" s="22"/>
      <c r="CB148" s="43" t="str">
        <f aca="false">IF(Tasks[[#This Row],[Task Name]]="","",MAX(1,N(Tasks[[#This Row],[Level]])))</f>
        <v/>
      </c>
      <c r="CC148" s="43" t="n">
        <f aca="false">ROW()-ROW(Tasks[[#Headers],[ID]])</f>
        <v>143</v>
      </c>
      <c r="CD148" s="43" t="n">
        <f aca="false">IF(OR(Tasks[[#This Row],[Task Name]]="",Tasks[[#This Row],[_Level]]&lt;=1),0,IFERROR(LOOKUP(2,1/(Tasks[[#Headers],[_Level]]:Tasks[[#This Row],[_Level]]=Tasks[[#This Row],[_Level]]-1),ROW(Tasks[[#Headers],[_Level]]:Tasks[[#This Row],[_Level]])),0))</f>
        <v>0</v>
      </c>
      <c r="CE148" s="43" t="n">
        <f aca="false">IFERROR(N(INDEX(Tasks[_Level],Tasks[[#This Row],[_Row]]+1)),0)</f>
        <v>0</v>
      </c>
      <c r="CF148" s="90" t="b">
        <f aca="false">AND(Tasks[[#This Row],[Task Name]]&lt;&gt;"",Tasks[[#This Row],[_NextLevel]]&gt;Tasks[[#This Row],[_Level]])</f>
        <v>0</v>
      </c>
      <c r="CG148" s="43" t="n">
        <f aca="false">IF(Tasks[[#This Row],[_IsSummary]],COUNTIF(Tasks[WBS],Tasks[[#This Row],[WBS]]&amp;".*"),0)</f>
        <v>0</v>
      </c>
      <c r="CH148" s="43" t="n">
        <f aca="false">IF(AND(Tasks[[#This Row],[Task Name]]&lt;&gt;"",NOT(Tasks[[#This Row],[_IsSummary]])),1,0)</f>
        <v>0</v>
      </c>
      <c r="CI148" s="43" t="n">
        <f aca="false">IF(N(Tasks[[#This Row],[_Pred1UID]])=0,0,IFERROR(MATCH(Tasks[[#This Row],[_Pred1UID]],Tasks[UID],0),-1))</f>
        <v>0</v>
      </c>
      <c r="CJ148" s="43" t="n">
        <f aca="false">IF(N(Tasks[[#This Row],[_Pred2UID]])=0,0,IFERROR(MATCH(Tasks[[#This Row],[_Pred2UID]],Tasks[UID],0),-1))</f>
        <v>0</v>
      </c>
      <c r="CK148" s="43" t="n">
        <f aca="false">IF(N(Tasks[[#This Row],[_Pred3UID]])=0,0,IFERROR(MATCH(Tasks[[#This Row],[_Pred3UID]],Tasks[UID],0),-1))</f>
        <v>0</v>
      </c>
      <c r="CL148" s="43" t="n">
        <f aca="false">IF(N(Tasks[[#This Row],[_Pred4UID]])=0,0,IFERROR(MATCH(Tasks[[#This Row],[_Pred4UID]],Tasks[UID],0),-1))</f>
        <v>0</v>
      </c>
      <c r="CM14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8" s="91" t="n">
        <f aca="false">IF(OR(Tasks[[#This Row],[_ConstraintCode]]=2,Tasks[[#This Row],[_ConstraintCode]]=3,Tasks[[#This Row],[_ConstraintCode]]=4,Tasks[[#This Row],[_ConstraintCode]]=6),Tasks[[#This Row],[_ConstraintStart]],0)</f>
        <v>0</v>
      </c>
      <c r="CP148" s="91" t="n">
        <f aca="false">IF(OR(Tasks[[#This Row],[_ConstraintCode]]=2,Tasks[[#This Row],[_ConstraintCode]]=3,Tasks[[#This Row],[_ConstraintCode]]=5,Tasks[[#This Row],[_ConstraintCode]]=7),Tasks[[#This Row],[_ConstraintStart]],2958465)</f>
        <v>2958465</v>
      </c>
      <c r="CQ14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8" s="91" t="str">
        <f aca="false">IF(NOT(Tasks[[#This Row],[_IsLeaf]]=1),"",IF(N(Tasks[[#This Row],[_Days]])&lt;=0,Tasks[[#This Row],[_LeafCalcStart]],WORKDAY.INTL(Tasks[[#This Row],[_LeafCalcStart]],Tasks[[#This Row],[_Days]]-1,WorkWeek,Holidays)))</f>
        <v/>
      </c>
      <c r="CS14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8" s="43" t="str">
        <f aca="false">IF(Tasks[[#This Row],[_Predecessors]]="","",TRIM(MID(SUBSTITUTE(SUBSTITUTE(SUBSTITUTE(UPPER(Tasks[[#This Row],[_Predecessors]]),";",",")," ",""),",",REPT(" ",99)),1,99)))</f>
        <v/>
      </c>
      <c r="CV148" s="43" t="str">
        <f aca="false">IF(Tasks[[#This Row],[_Pred1Text]]="","",IFERROR(VALUE(LEFT(Tasks[[#This Row],[_Pred1Text]],MIN(FIND("F",Tasks[[#This Row],[_Pred1Text]]&amp;"F"),FIND("S",Tasks[[#This Row],[_Pred1Text]]&amp;"S"),FIND("+",Tasks[[#This Row],[_Pred1Text]]&amp;"+"),FIND("-",Tasks[[#This Row],[_Pred1Text]]&amp;"-"))-1)),""))</f>
        <v/>
      </c>
      <c r="CW14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8" s="43" t="str">
        <f aca="false">IF(Tasks[[#This Row],[_Pred1Text]]="","",TRIM(MID(SUBSTITUTE(SUBSTITUTE(SUBSTITUTE(UPPER(Tasks[[#This Row],[_Predecessors]]),";",",")," ",""),",",REPT(" ",99)),100,99)))</f>
        <v/>
      </c>
      <c r="CZ148" s="43" t="str">
        <f aca="false">IF(Tasks[[#This Row],[_Pred2Text]]="","",IFERROR(VALUE(LEFT(Tasks[[#This Row],[_Pred2Text]],MIN(FIND("F",Tasks[[#This Row],[_Pred2Text]]&amp;"F"),FIND("S",Tasks[[#This Row],[_Pred2Text]]&amp;"S"),FIND("+",Tasks[[#This Row],[_Pred2Text]]&amp;"+"),FIND("-",Tasks[[#This Row],[_Pred2Text]]&amp;"-"))-1)),""))</f>
        <v/>
      </c>
      <c r="DA14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8" s="43" t="str">
        <f aca="false">IF(Tasks[[#This Row],[_Pred2Text]]="","",TRIM(MID(SUBSTITUTE(SUBSTITUTE(SUBSTITUTE(UPPER(Tasks[[#This Row],[_Predecessors]]),";",",")," ",""),",",REPT(" ",99)),199,99)))</f>
        <v/>
      </c>
      <c r="DD148" s="43" t="str">
        <f aca="false">IF(Tasks[[#This Row],[_Pred3Text]]="","",IFERROR(VALUE(LEFT(Tasks[[#This Row],[_Pred3Text]],MIN(FIND("F",Tasks[[#This Row],[_Pred3Text]]&amp;"F"),FIND("S",Tasks[[#This Row],[_Pred3Text]]&amp;"S"),FIND("+",Tasks[[#This Row],[_Pred3Text]]&amp;"+"),FIND("-",Tasks[[#This Row],[_Pred3Text]]&amp;"-"))-1)),""))</f>
        <v/>
      </c>
      <c r="DE14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8" s="43" t="str">
        <f aca="false">IF(Tasks[[#This Row],[_Pred3Text]]="","",TRIM(MID(SUBSTITUTE(SUBSTITUTE(SUBSTITUTE(UPPER(Tasks[[#This Row],[_Predecessors]]),";",",")," ",""),",",REPT(" ",99)),298,99)))</f>
        <v/>
      </c>
      <c r="DH148" s="43" t="str">
        <f aca="false">IF(Tasks[[#This Row],[_Pred4Text]]="","",IFERROR(VALUE(LEFT(Tasks[[#This Row],[_Pred4Text]],MIN(FIND("F",Tasks[[#This Row],[_Pred4Text]]&amp;"F"),FIND("S",Tasks[[#This Row],[_Pred4Text]]&amp;"S"),FIND("+",Tasks[[#This Row],[_Pred4Text]]&amp;"+"),FIND("-",Tasks[[#This Row],[_Pred4Text]]&amp;"-"))-1)),""))</f>
        <v/>
      </c>
      <c r="DI14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8" s="43" t="str">
        <f aca="false">IF(OR(Tasks[[#This Row],[Task Name]]="",Tasks[[#This Row],[_Resources]]=""),"",TRIM(MID(SUBSTITUTE(Tasks[[#This Row],[_Resources]],",",REPT(" ",99)),1,99)))</f>
        <v/>
      </c>
      <c r="DL148" s="43" t="str">
        <f aca="false">IF(Tasks[[#This Row],[_Res1Text]]="","",TRIM(MID(SUBSTITUTE(Tasks[[#This Row],[_Resources]],",",REPT(" ",99)),100,99)))</f>
        <v/>
      </c>
      <c r="DM148" s="43" t="str">
        <f aca="false">IF(Tasks[[#This Row],[_Res2Text]]="","",TRIM(MID(SUBSTITUTE(Tasks[[#This Row],[_Resources]],",",REPT(" ",99)),199,99)))</f>
        <v/>
      </c>
      <c r="DN148" s="43" t="str">
        <f aca="false">IF(Tasks[[#This Row],[_Res3Text]]="","",TRIM(MID(SUBSTITUTE(Tasks[[#This Row],[_Resources]],",",REPT(" ",99)),298,99)))</f>
        <v/>
      </c>
      <c r="DO148" s="43" t="n">
        <f aca="false">IF(Tasks[[#This Row],[_Res1Text]]="",0,IFERROR(MATCH(TRIM(LEFT(Tasks[[#This Row],[_Res1Text]],FIND("[",Tasks[[#This Row],[_Res1Text]]&amp;"[")-1)),res_Name,0),IFERROR(MATCH(TRIM(LEFT(Tasks[[#This Row],[_Res1Text]],FIND("[",Tasks[[#This Row],[_Res1Text]]&amp;"[")-1)),res_Initials,0),0)))</f>
        <v>0</v>
      </c>
      <c r="DP148" s="43" t="n">
        <f aca="false">IF(Tasks[[#This Row],[_Res2Text]]="",0,IFERROR(MATCH(TRIM(LEFT(Tasks[[#This Row],[_Res2Text]],FIND("[",Tasks[[#This Row],[_Res2Text]]&amp;"[")-1)),res_Name,0),IFERROR(MATCH(TRIM(LEFT(Tasks[[#This Row],[_Res2Text]],FIND("[",Tasks[[#This Row],[_Res2Text]]&amp;"[")-1)),res_Initials,0),0)))</f>
        <v>0</v>
      </c>
      <c r="DQ148" s="43" t="n">
        <f aca="false">IF(Tasks[[#This Row],[_Res3Text]]="",0,IFERROR(MATCH(TRIM(LEFT(Tasks[[#This Row],[_Res3Text]],FIND("[",Tasks[[#This Row],[_Res3Text]]&amp;"[")-1)),res_Name,0),IFERROR(MATCH(TRIM(LEFT(Tasks[[#This Row],[_Res3Text]],FIND("[",Tasks[[#This Row],[_Res3Text]]&amp;"[")-1)),res_Initials,0),0)))</f>
        <v>0</v>
      </c>
      <c r="DR148" s="43" t="n">
        <f aca="false">IF(Tasks[[#This Row],[_Res4Text]]="",0,IFERROR(MATCH(TRIM(LEFT(Tasks[[#This Row],[_Res4Text]],FIND("[",Tasks[[#This Row],[_Res4Text]]&amp;"[")-1)),res_Name,0),IFERROR(MATCH(TRIM(LEFT(Tasks[[#This Row],[_Res4Text]],FIND("[",Tasks[[#This Row],[_Res4Text]]&amp;"[")-1)),res_Initials,0),0)))</f>
        <v>0</v>
      </c>
      <c r="DS148" s="43" t="str">
        <f aca="false">IF(Tasks[[#This Row],[_Res1Text]]="","",IF(Tasks[[#This Row],[_Res1Row]]&gt;0,INDEX(res_Name,Tasks[[#This Row],[_Res1Row]]),TRIM(LEFT(Tasks[[#This Row],[_Res1Text]],FIND("[",Tasks[[#This Row],[_Res1Text]]&amp;"[")-1))))</f>
        <v/>
      </c>
      <c r="DT14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8" s="43" t="n">
        <f aca="false">IF(NOT(Tasks[[#This Row],[_IsLeaf]]=1),0,(Tasks[[#This Row],[_Resource1]]&lt;&gt;"")+(Tasks[[#This Row],[_Res2]]&lt;&gt;"")+(Tasks[[#This Row],[_Res3]]&lt;&gt;"")+(Tasks[[#This Row],[_Res4]]&lt;&gt;""))</f>
        <v>0</v>
      </c>
      <c r="DV148" s="43" t="str">
        <f aca="false">IF(Tasks[[#This Row],[_Res2Text]]="","",IF(Tasks[[#This Row],[_Res2Row]]&gt;0,INDEX(res_Name,Tasks[[#This Row],[_Res2Row]]),TRIM(LEFT(Tasks[[#This Row],[_Res2Text]],FIND("[",Tasks[[#This Row],[_Res2Text]]&amp;"[")-1))))</f>
        <v/>
      </c>
      <c r="DW14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8" s="43" t="n">
        <f aca="false">IF(OR(NOT(Tasks[[#This Row],[_IsLeaf]]=1),Tasks[[#This Row],[_Res2Row]]=0),0,N(Tasks[[#This Row],[_Days]])*HoursPerDay*IF(Tasks[[#This Row],[_Res2Units]]="",DefaultUnits,Tasks[[#This Row],[_Res2Units]]))</f>
        <v>0</v>
      </c>
      <c r="DY148" s="43" t="n">
        <f aca="false">IF(AND(AND(Tasks[[#This Row],[_IsLeaf]]=1,Tasks[[#This Row],[_LeafTotalWork]]&gt;0),Tasks[[#This Row],[_Res2Work]]&gt;0),Tasks[[#This Row],[_Res2Work]]/(Tasks[[#This Row],[_FinishWorkday]]-Tasks[[#This Row],[_StartWorkday]]+1),0)</f>
        <v>0</v>
      </c>
      <c r="DZ148" s="43" t="n">
        <f aca="false">Tasks[[#This Row],[_Res2WorkPerWD]]*MAX(0,Tasks[[#This Row],[_StartWorkday]]-1)</f>
        <v>0</v>
      </c>
      <c r="EA148" s="43" t="n">
        <f aca="false">Tasks[[#This Row],[_Res2Work]]*Tasks[[#This Row],[_LeafProgress]]</f>
        <v>0</v>
      </c>
      <c r="EB148" s="43" t="str">
        <f aca="false">IF(Tasks[[#This Row],[_Res3Text]]="","",IF(Tasks[[#This Row],[_Res3Row]]&gt;0,INDEX(res_Name,Tasks[[#This Row],[_Res3Row]]),TRIM(LEFT(Tasks[[#This Row],[_Res3Text]],FIND("[",Tasks[[#This Row],[_Res3Text]]&amp;"[")-1))))</f>
        <v/>
      </c>
      <c r="EC14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8" s="43" t="n">
        <f aca="false">IF(OR(NOT(Tasks[[#This Row],[_IsLeaf]]=1),Tasks[[#This Row],[_Res3Row]]=0),0,N(Tasks[[#This Row],[_Days]])*HoursPerDay*IF(Tasks[[#This Row],[_Res3Units]]="",DefaultUnits,Tasks[[#This Row],[_Res3Units]]))</f>
        <v>0</v>
      </c>
      <c r="EE148" s="43" t="n">
        <f aca="false">IF(AND(AND(Tasks[[#This Row],[_IsLeaf]]=1,Tasks[[#This Row],[_LeafTotalWork]]&gt;0),Tasks[[#This Row],[_Res3Work]]&gt;0),Tasks[[#This Row],[_Res3Work]]/(Tasks[[#This Row],[_FinishWorkday]]-Tasks[[#This Row],[_StartWorkday]]+1),0)</f>
        <v>0</v>
      </c>
      <c r="EF148" s="43" t="n">
        <f aca="false">Tasks[[#This Row],[_Res3WorkPerWD]]*MAX(0,Tasks[[#This Row],[_StartWorkday]]-1)</f>
        <v>0</v>
      </c>
      <c r="EG148" s="43" t="n">
        <f aca="false">Tasks[[#This Row],[_Res3Work]]*Tasks[[#This Row],[_LeafProgress]]</f>
        <v>0</v>
      </c>
      <c r="EH148" s="43" t="str">
        <f aca="false">IF(Tasks[[#This Row],[_Res4Text]]="","",IF(Tasks[[#This Row],[_Res4Row]]&gt;0,INDEX(res_Name,Tasks[[#This Row],[_Res4Row]]),TRIM(LEFT(Tasks[[#This Row],[_Res4Text]],FIND("[",Tasks[[#This Row],[_Res4Text]]&amp;"[")-1))))</f>
        <v/>
      </c>
      <c r="EI14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8" s="43" t="n">
        <f aca="false">IF(OR(NOT(Tasks[[#This Row],[_IsLeaf]]=1),Tasks[[#This Row],[_Res4Row]]=0),0,N(Tasks[[#This Row],[_Days]])*HoursPerDay*IF(Tasks[[#This Row],[_Res4Units]]="",DefaultUnits,Tasks[[#This Row],[_Res4Units]]))</f>
        <v>0</v>
      </c>
      <c r="EK148" s="43" t="n">
        <f aca="false">IF(AND(AND(Tasks[[#This Row],[_IsLeaf]]=1,Tasks[[#This Row],[_LeafTotalWork]]&gt;0),Tasks[[#This Row],[_Res4Work]]&gt;0),Tasks[[#This Row],[_Res4Work]]/(Tasks[[#This Row],[_FinishWorkday]]-Tasks[[#This Row],[_StartWorkday]]+1),0)</f>
        <v>0</v>
      </c>
      <c r="EL148" s="43" t="n">
        <f aca="false">Tasks[[#This Row],[_Res4WorkPerWD]]*MAX(0,Tasks[[#This Row],[_StartWorkday]]-1)</f>
        <v>0</v>
      </c>
      <c r="EM148" s="43" t="n">
        <f aca="false">Tasks[[#This Row],[_Res4Work]]*Tasks[[#This Row],[_LeafProgress]]</f>
        <v>0</v>
      </c>
      <c r="EN148" s="43" t="n">
        <f aca="false">IF(ISNUMBER(Tasks[[#This Row],[% Complete]]),Tasks[[#This Row],[% Complete]],IF(Tasks[[#This Row],[Stage]]="",0,IFERROR(INDEX(stg_Pct,MATCH(Tasks[[#This Row],[Stage]],stg_Name,0)),0)))</f>
        <v>0</v>
      </c>
      <c r="EO148" s="43" t="n">
        <f aca="false">IF(NOT(Tasks[[#This Row],[_IsLeaf]]=1),0,IF(N(Tasks[[#This Row],[Actual Finish]])&gt;0,1,MIN(1,Tasks[[#This Row],[_Pct]])))</f>
        <v>0</v>
      </c>
      <c r="EP148" s="43" t="n">
        <f aca="false">IF(OR(NOT(Tasks[[#This Row],[_IsLeaf]]=1),Tasks[[#This Row],[_Res1Row]]=0),0,N(Tasks[[#This Row],[_Days]])*HoursPerDay*IF(Tasks[[#This Row],[_Units1]]="",DefaultUnits,Tasks[[#This Row],[_Units1]]))</f>
        <v>0</v>
      </c>
      <c r="EQ148" s="43" t="n">
        <f aca="false">Tasks[[#This Row],[_LeafWork]]+Tasks[[#This Row],[_Res2Work]]+Tasks[[#This Row],[_Res3Work]]+Tasks[[#This Row],[_Res4Work]]</f>
        <v>0</v>
      </c>
      <c r="ER14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8" s="43" t="n">
        <f aca="false">IF(NOT(Tasks[[#This Row],[_IsLeaf]]=1),0,MAX(_xlfn.MAXIFS(Tasks[_Row],Tasks[_Pred1UID],Tasks[[#This Row],[UID]]),_xlfn.MAXIFS(Tasks[_Row],Tasks[_Pred2UID],Tasks[[#This Row],[UID]]),_xlfn.MAXIFS(Tasks[_Row],Tasks[_Pred3UID],Tasks[[#This Row],[UID]]),_xlfn.MAXIFS(Tasks[_Row],Tasks[_Pred4UID],Tasks[[#This Row],[UID]])))</f>
        <v>0</v>
      </c>
      <c r="FA14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8" s="91" t="str">
        <f aca="false">IF(NOT(Tasks[[#This Row],[_IsLeaf]]=1),"",IF(N(Tasks[[#This Row],[_Days]])&lt;=0,Tasks[[#This Row],[_LeafLateFinish]],WORKDAY.INTL(Tasks[[#This Row],[_LeafLateFinish]],-(Tasks[[#This Row],[_Days]]-1),WorkWeek,Holidays)))</f>
        <v/>
      </c>
      <c r="FD14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8" s="90" t="b">
        <f aca="false">AND(Tasks[[#This Row],[_IsLeaf]]=1,Tasks[[#This Row],[_LeafProgress]]&lt;1,N(Tasks[[#This Row],[_LeafTotalSlack]])&lt;=CriticalSlackDays)</f>
        <v>0</v>
      </c>
      <c r="FF148" s="43" t="n">
        <f aca="false">IF(AND(Tasks[[#This Row],[_IsLeaf]]=1,Tasks[[#This Row],[_ConstraintCode]]=1,Tasks[[#This Row],[Mode]]&lt;&gt;"Manual",N(Tasks[[#This Row],[Actual Start]])=0),MAX(0,N(Tasks[[#This Row],[Free Slack]])),0)</f>
        <v>0</v>
      </c>
      <c r="FG148" s="91" t="str">
        <f aca="false">IF(NOT(Tasks[[#This Row],[_IsLeaf]]=1),"",IF(Tasks[[#This Row],[_AlapShift]]=0,Tasks[[#This Row],[_LeafCalcStart]],WORKDAY.INTL(Tasks[[#This Row],[_LeafCalcStart]],Tasks[[#This Row],[_AlapShift]],WorkWeek,Holidays)))</f>
        <v/>
      </c>
      <c r="FH148" s="91" t="str">
        <f aca="false">IF(NOT(Tasks[[#This Row],[_IsLeaf]]=1),"",IF(Tasks[[#This Row],[_AlapShift]]=0,Tasks[[#This Row],[_LeafCalcFinish]],WORKDAY.INTL(Tasks[[#This Row],[_LeafCalcFinish]],Tasks[[#This Row],[_AlapShift]],WorkWeek,Holidays)))</f>
        <v/>
      </c>
      <c r="FI148" s="91" t="str">
        <f aca="false">IF(NOT(Tasks[[#This Row],[_IsLeaf]]=1),"",IF(Tasks[[#This Row],[_AlapShift]]=0,Tasks[[#This Row],[_LeafFcstStart]],WORKDAY.INTL(Tasks[[#This Row],[_LeafFcstStart]],Tasks[[#This Row],[_AlapShift]],WorkWeek,Holidays)))</f>
        <v/>
      </c>
      <c r="FJ148" s="91" t="str">
        <f aca="false">IF(NOT(Tasks[[#This Row],[_IsLeaf]]=1),"",IF(Tasks[[#This Row],[_AlapShift]]=0,Tasks[[#This Row],[_LeafFcstFinish]],WORKDAY.INTL(Tasks[[#This Row],[_LeafFcstFinish]],Tasks[[#This Row],[_AlapShift]],WorkWeek,Holidays)))</f>
        <v/>
      </c>
      <c r="FK148" s="91" t="str">
        <f aca="false">IF(Tasks[[#This Row],[Task Name]]="","",IF(Tasks[[#This Row],[_IsSummary]],MIN(INDEX(Tasks[_ShownCalcStart],Tasks[[#This Row],[_Row]]+1):INDEX(Tasks[_ShownCalcStart],Tasks[[#This Row],[_Row]]+Tasks[[#This Row],[_Descendants]])),Tasks[[#This Row],[_ShownCalcStart]]))</f>
        <v/>
      </c>
      <c r="FL148" s="91" t="str">
        <f aca="false">IF(Tasks[[#This Row],[Task Name]]="","",IF(Tasks[[#This Row],[_IsSummary]],MAX(INDEX(Tasks[_ShownCalcFinish],Tasks[[#This Row],[_Row]]+1):INDEX(Tasks[_ShownCalcFinish],Tasks[[#This Row],[_Row]]+Tasks[[#This Row],[_Descendants]])),Tasks[[#This Row],[_ShownCalcFinish]]))</f>
        <v/>
      </c>
      <c r="FM14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8" s="43" t="n">
        <f aca="false">IF(AND(Tasks[[#This Row],[_IsLeaf]]=1,Tasks[[#This Row],[_LeafTotalWork]]&gt;0),NETWORKDAYS.INTL(ProjectStart,Tasks[[#This Row],[_ShownFcstStart]],WorkWeek,Holidays),0)</f>
        <v>0</v>
      </c>
      <c r="FZ148" s="43" t="n">
        <f aca="false">IF(AND(Tasks[[#This Row],[_IsLeaf]]=1,Tasks[[#This Row],[_LeafTotalWork]]&gt;0),MAX(Tasks[[#This Row],[_StartWorkday]],NETWORKDAYS.INTL(ProjectStart,Tasks[[#This Row],[_ShownFcstFinish]],WorkWeek,Holidays)),0)</f>
        <v>0</v>
      </c>
      <c r="GA148" s="43" t="n">
        <f aca="false">IF(AND(Tasks[[#This Row],[_IsLeaf]]=1,Tasks[[#This Row],[_LeafTotalWork]]&gt;0),Tasks[[#This Row],[_LeafWork]]/(Tasks[[#This Row],[_FinishWorkday]]-Tasks[[#This Row],[_StartWorkday]]+1),0)</f>
        <v>0</v>
      </c>
      <c r="GB148" s="43" t="n">
        <f aca="false">Tasks[[#This Row],[_WorkPerWorkday]]*(Tasks[[#This Row],[_StartWorkday]]-1)</f>
        <v>-0</v>
      </c>
      <c r="GC148" s="43" t="n">
        <f aca="false">IF(Tasks[[#This Row],[_IsLeaf]]=1,MAX(N(Tasks[[#This Row],[_Days]]),0.1),0)</f>
        <v>0</v>
      </c>
      <c r="GD148" s="43" t="n">
        <f aca="false">Tasks[[#This Row],[_WeightDur]]*Tasks[[#This Row],[_LeafProgress]]</f>
        <v>0</v>
      </c>
      <c r="GE148" s="43" t="n">
        <f aca="false">Tasks[[#This Row],[_WeightDur]]*Tasks[[#This Row],[_PlannedPct]]</f>
        <v>0</v>
      </c>
      <c r="GF14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8" s="43" t="str">
        <f aca="false">IF(AND(Tasks[[#This Row],[_IsLeaf]]=1,N(Tasks[[#This Row],[_Days]])=0,Tasks[[#This Row],[_LeafProgress]]&lt;1),Tasks[[#This Row],[_ShownFcstFinish]]+Tasks[[#This Row],[_Row]]/100000,"")</f>
        <v/>
      </c>
      <c r="GH14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8" s="43" t="str">
        <f aca="false">IF(Tasks[[#This Row],[Task Name]]="","",LEFT(Tasks[[#This Row],[WBS]],FIND(".",Tasks[[#This Row],[WBS]]&amp;".")-1))</f>
        <v/>
      </c>
      <c r="GJ148" s="43" t="str">
        <f aca="false">IF(AND(Tasks[[#This Row],[Task Name]]&lt;&gt;"",Tasks[[#This Row],[_Level]]=1),Tasks[[#This Row],[_Row]],"")</f>
        <v/>
      </c>
      <c r="GK148" s="43" t="str">
        <f aca="false">IF(AND(Tasks[[#This Row],[_IsLeaf]]=1,N(Tasks[[#This Row],[_Days]])=0),Tasks[[#This Row],[Planned Finish]]+Tasks[[#This Row],[_Row]]/100000,"")</f>
        <v/>
      </c>
      <c r="GL148" s="43" t="str">
        <f aca="false">IF(AND(Tasks[[#This Row],[_IsLeaf]]=1,Tasks[[#This Row],[_LeafProgress]]&lt;1,OR(N(Tasks[[#This Row],[Finish Var]])&gt;0,Tasks[[#This Row],[Status]]="Late Start")),MAX(0,Tasks[[#This Row],[Finish Var]])+1-Tasks[[#This Row],[_Row]]/1000000,"")</f>
        <v/>
      </c>
      <c r="GM148" s="43" t="str">
        <f aca="false">IF(AND(Tasks[[#This Row],[_IsLeaf]]=1,N(Tasks[[#This Row],[Actual Start]])=0,Tasks[[#This Row],[_ShownFcstStart]]&gt;=StatusDate,Tasks[[#This Row],[_ShownFcstStart]]&lt;=LookaheadEnd),Tasks[[#This Row],[_ShownFcstStart]]+Tasks[[#This Row],[_Row]]/100000,"")</f>
        <v/>
      </c>
      <c r="GN148" s="43" t="str">
        <f aca="false">IF(AND(Tasks[[#This Row],[_IsLeaf]]=1,Tasks[[#This Row],[_LeafProgress]]&lt;1,Tasks[[#This Row],[_ShownFcstFinish]]&gt;=StatusDate,Tasks[[#This Row],[_ShownFcstFinish]]&lt;=LookaheadEnd),Tasks[[#This Row],[_ShownFcstFinish]]+Tasks[[#This Row],[_Row]]/100000,"")</f>
        <v/>
      </c>
      <c r="GO148" s="43" t="str">
        <f aca="false">IF(Tasks[[#This Row],[_LeafCritical]],Tasks[[#This Row],[_ShownFcstStart]]+Tasks[[#This Row],[_Row]]/100000,"")</f>
        <v/>
      </c>
      <c r="GP148" s="43" t="n">
        <f aca="false">Tasks[[#This Row],[_LeafWork]]*Tasks[[#This Row],[_LeafProgress]]</f>
        <v>0</v>
      </c>
      <c r="GQ148" s="91" t="str">
        <f aca="false">IF(AND(Tasks[[#This Row],[_IsLeaf]]=1,Tasks[[#This Row],[_LeafProgress]]&gt;=1),IF(N(Tasks[[#This Row],[Actual Finish]])&gt;0,Tasks[[#This Row],[Actual Finish]],Tasks[[#This Row],[_ShownFcstFinish]]),"")</f>
        <v/>
      </c>
      <c r="GR148" s="43" t="n">
        <f aca="false">IF(Tasks[[#This Row],[_IsLeaf]]=1,N(Tasks[[#This Row],[Story Points]]),0)</f>
        <v>0</v>
      </c>
      <c r="GS148" s="43" t="str">
        <f aca="false">""</f>
        <v/>
      </c>
      <c r="GT148" s="90" t="b">
        <f aca="false">IF(Tasks[[#This Row],[Task Name]]="",FALSE(),AND(Tasks[[#This Row],[_IsLeaf]]=1,N(Tasks[[#This Row],[_Days]])=0))</f>
        <v>0</v>
      </c>
      <c r="GU148" s="91" t="n">
        <f aca="false">IF(Tasks[[#This Row],[Task Name]]="",0,IF(AND(Tasks[[#This Row],[_IsLeaf]]=1,NOT(Tasks[[#This Row],[_IsMilestone]]),N(Tasks[[#This Row],[Progress]])&gt;0),Tasks[[#This Row],[Start]],0))</f>
        <v>0</v>
      </c>
      <c r="GV148" s="91" t="n">
        <f aca="false">IF(Tasks[[#This Row],[_DoneFrom]]=0,0,IF(Tasks[[#This Row],[Progress]]&gt;=1,Tasks[[#This Row],[Finish]],MAX(Tasks[[#This Row],[_DoneFrom]],Tasks[[#This Row],[Start]]+ROUND((Tasks[[#This Row],[Finish]]-Tasks[[#This Row],[Start]]+1)*Tasks[[#This Row],[Progress]],0)-1)))</f>
        <v>0</v>
      </c>
      <c r="GW148" s="91" t="n">
        <f aca="false">IF(Tasks[[#This Row],[Task Name]]="",0,IF(OR(NOT(Tasks[[#This Row],[_IsLeaf]]=1),Tasks[[#This Row],[_IsMilestone]],N(Tasks[[#This Row],[Progress]])&gt;=1),0,IF(Tasks[[#This Row],[_DoneTo]]&gt;0,Tasks[[#This Row],[_DoneTo]]+1,Tasks[[#This Row],[Start]])))</f>
        <v>0</v>
      </c>
      <c r="GX148" s="91" t="n">
        <f aca="false">IF(Tasks[[#This Row],[_RemFrom]]=0,0,Tasks[[#This Row],[Finish]])</f>
        <v>0</v>
      </c>
      <c r="GY148" s="90" t="b">
        <f aca="false">IF(Tasks[[#This Row],[Task Name]]="",FALSE(),OR(NOT(BaselineSet),N(Tasks[[#This Row],[Baseline Start]])&gt;0))</f>
        <v>0</v>
      </c>
      <c r="GZ14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8" s="92" t="str">
        <f aca="false">IF(Tasks[[#This Row],[_IsLeaf]]=1,Tasks[[#This Row],[_Row]],"")</f>
        <v/>
      </c>
      <c r="HD148" s="92" t="str">
        <f aca="false">IFERROR(INDEX(Tasks[UID],SMALL(Tasks[_PickKey],Tasks[[#This Row],[_Row]]))&amp;" "&amp;INDEX(Tasks[Task Name],SMALL(Tasks[_PickKey],Tasks[[#This Row],[_Row]])),"")</f>
        <v/>
      </c>
      <c r="HE148" s="43" t="str">
        <f aca="false">IF(Tasks[[#This Row],[Task Name]]="","",IF(Tasks[[#This Row],[_IsSummary]],NETWORKDAYS.INTL(Tasks[[#This Row],[Start]],Tasks[[#This Row],[Finish]],WorkWeek,Holidays),N(Tasks[[#This Row],[_Days]])))</f>
        <v/>
      </c>
      <c r="HF148" s="43" t="n">
        <f aca="false">IF(Tasks[[#This Row],[Expected]]="",0,((Tasks[[#This Row],[Pessimistic]]-Tasks[[#This Row],[Optimistic]])/6)^2)</f>
        <v>0</v>
      </c>
      <c r="HG148" s="43" t="n">
        <f aca="false">IF(Tasks[[#This Row],[Expected]]="",0,Tasks[[#This Row],[Expected]]-N(Tasks[[#This Row],[_Days]]))</f>
        <v>0</v>
      </c>
    </row>
    <row r="149" customFormat="false" ht="15" hidden="false" customHeight="false" outlineLevel="0" collapsed="false">
      <c r="A149" s="21" t="str">
        <f aca="false">IF(Tasks[[#This Row],[Task Name]]="","",COUNTA(Tasks[[#Headers],[Task Name]]:Tasks[[#This Row],[Task Name]])-1)</f>
        <v/>
      </c>
      <c r="B149" s="22" t="n">
        <v>157</v>
      </c>
      <c r="C149" s="22"/>
      <c r="D149" s="23"/>
      <c r="E149" s="22"/>
      <c r="F149" s="23"/>
      <c r="G149" s="22"/>
      <c r="H149" s="22"/>
      <c r="I149" s="23"/>
      <c r="J149" s="22"/>
      <c r="K149" s="22"/>
      <c r="L149" s="23"/>
      <c r="M149" s="22"/>
      <c r="N149" s="22"/>
      <c r="O149" s="23"/>
      <c r="P149" s="22"/>
      <c r="Q149" s="22"/>
      <c r="R149" s="23"/>
      <c r="S149" s="23"/>
      <c r="T149" s="84"/>
      <c r="U149" s="23"/>
      <c r="V149" s="84"/>
      <c r="W149" s="23"/>
      <c r="X149" s="84"/>
      <c r="Y149" s="23"/>
      <c r="Z149" s="84"/>
      <c r="AA149" s="23"/>
      <c r="AB149" s="23"/>
      <c r="AC149" s="7"/>
      <c r="AD149" s="7"/>
      <c r="AE149" s="63" t="str">
        <f aca="false">IF(Tasks[[#This Row],[Task Name]]="","",IF(Tasks[[#This Row],[_IsSummary]],MIN(INDEX(Tasks[_ShownFcstStart],Tasks[[#This Row],[_Row]]+1):INDEX(Tasks[_ShownFcstStart],Tasks[[#This Row],[_Row]]+Tasks[[#This Row],[_Descendants]])),Tasks[[#This Row],[_ShownFcstStart]]))</f>
        <v/>
      </c>
      <c r="AF149" s="63" t="str">
        <f aca="false">IF(Tasks[[#This Row],[Task Name]]="","",IF(Tasks[[#This Row],[_IsSummary]],MAX(INDEX(Tasks[_ShownFcstFinish],Tasks[[#This Row],[_Row]]+1):INDEX(Tasks[_ShownFcstFinish],Tasks[[#This Row],[_Row]]+Tasks[[#This Row],[_Descendants]])),Tasks[[#This Row],[_ShownFcstFinish]]))</f>
        <v/>
      </c>
      <c r="AG149" s="21" t="str">
        <f aca="false">""</f>
        <v/>
      </c>
      <c r="AH149" s="23"/>
      <c r="AI1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9" s="7"/>
      <c r="AK149" s="22"/>
      <c r="AL149" s="23"/>
      <c r="AM149" s="7"/>
      <c r="AN149" s="47" t="str">
        <f aca="false">IF(Tasks[[#This Row],[Task Name]]="","",IF(Tasks[[#This Row],[Finish]]&gt;=Tasks[[#This Row],[Planned Finish]],NETWORKDAYS.INTL(Tasks[[#This Row],[Planned Finish]],Tasks[[#This Row],[Finish]],WorkWeek,Holidays)-1,1-NETWORKDAYS.INTL(Tasks[[#This Row],[Finish]],Tasks[[#This Row],[Planned Finish]],WorkWeek,Holidays)))</f>
        <v/>
      </c>
      <c r="AO149" s="21" t="str">
        <f aca="false">IF(Tasks[[#This Row],[Task Name]]="","",IF(Tasks[[#This Row],[Progress]]&gt;=1,"Complete",IF(OR(N(Tasks[[#This Row],[Actual Start]])&gt;0,Tasks[[#This Row],[Progress]]&gt;0),IF(Tasks[[#This Row],[Finish Var]]&gt;0,"Behind","In Progress"),IF(Tasks[[#This Row],[Planned Start]]&lt;StatusDate,"Late Start","Not Started"))))</f>
        <v/>
      </c>
      <c r="AP149" s="21" t="str">
        <f aca="false">IF(Tasks[[#This Row],[Task Name]]="","",IF(IF(Tasks[[#This Row],[_IsSummary]],COUNTIF(INDEX(Tasks[_LeafCritical],Tasks[[#This Row],[_Row]]+1):INDEX(Tasks[_LeafCritical],Tasks[[#This Row],[_Row]]+Tasks[[#This Row],[_Descendants]]),TRUE())&gt;0,Tasks[[#This Row],[_LeafCritical]]),"Yes",""))</f>
        <v/>
      </c>
      <c r="AQ149" s="63" t="str">
        <f aca="false">IF(Tasks[[#This Row],[Task Name]]="","",IF(N(Tasks[[#This Row],[Baseline Start]])&gt;0,Tasks[[#This Row],[Baseline Start]],Tasks[[#This Row],[_CalcStart]]))</f>
        <v/>
      </c>
      <c r="AR149" s="63" t="str">
        <f aca="false">IF(Tasks[[#This Row],[Task Name]]="","",IF(N(Tasks[[#This Row],[Baseline Finish]])&gt;0,Tasks[[#This Row],[Baseline Finish]],Tasks[[#This Row],[_CalcFinish]]))</f>
        <v/>
      </c>
      <c r="AS149" s="47" t="str">
        <f aca="false">IF(Tasks[[#This Row],[Task Name]]="","",IF(Tasks[[#This Row],[Start]]&gt;=Tasks[[#This Row],[Planned Start]],NETWORKDAYS.INTL(Tasks[[#This Row],[Planned Start]],Tasks[[#This Row],[Start]],WorkWeek,Holidays)-1,1-NETWORKDAYS.INTL(Tasks[[#This Row],[Start]],Tasks[[#This Row],[Planned Start]],WorkWeek,Holidays)))</f>
        <v/>
      </c>
      <c r="AT149" s="63" t="str">
        <f aca="false">IF(Tasks[[#This Row],[Task Name]]="","",IF(Tasks[[#This Row],[_IsSummary]],MIN(INDEX(Tasks[_LeafLateStart],Tasks[[#This Row],[_Row]]+1):INDEX(Tasks[_LeafLateStart],Tasks[[#This Row],[_Row]]+Tasks[[#This Row],[_Descendants]])),Tasks[[#This Row],[_LeafLateStart]]))</f>
        <v/>
      </c>
      <c r="AU149" s="63" t="str">
        <f aca="false">IF(Tasks[[#This Row],[Task Name]]="","",IF(Tasks[[#This Row],[_IsSummary]],MAX(INDEX(Tasks[_LeafLateFinish],Tasks[[#This Row],[_Row]]+1):INDEX(Tasks[_LeafLateFinish],Tasks[[#This Row],[_Row]]+Tasks[[#This Row],[_Descendants]])),Tasks[[#This Row],[_LeafLateFinish]]))</f>
        <v/>
      </c>
      <c r="AV149" s="47" t="str">
        <f aca="false">IF(Tasks[[#This Row],[Task Name]]="","",IF(Tasks[[#This Row],[_IsSummary]],MIN(INDEX(Tasks[_LeafTotalSlack],Tasks[[#This Row],[_Row]]+1):INDEX(Tasks[_LeafTotalSlack],Tasks[[#This Row],[_Row]]+Tasks[[#This Row],[_Descendants]])),Tasks[[#This Row],[_LeafTotalSlack]]))</f>
        <v/>
      </c>
      <c r="AW1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5"/>
      <c r="BA14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1" t="str">
        <f aca="false">IF(Tasks[[#This Row],[Task Name]]="","",IF(Tasks[[#This Row],[_Level]]&lt;=OutlineShowLevel,"Yes","No"))</f>
        <v/>
      </c>
      <c r="BE149" s="86" t="str">
        <f aca="false">IF(Tasks[[#This Row],[Task Name]]="","",IF(Tasks[[#This Row],[_IsSummary]],SUM(INDEX(Tasks[_LeafTotalWork],Tasks[[#This Row],[_Row]]+1):INDEX(Tasks[_LeafTotalWork],Tasks[[#This Row],[_Row]]+Tasks[[#This Row],[_Descendants]])),Tasks[[#This Row],[_LeafTotalWork]]))</f>
        <v/>
      </c>
      <c r="BF149" s="23"/>
      <c r="BG1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9" s="21" t="str">
        <f aca="false">""</f>
        <v/>
      </c>
      <c r="BI149" s="87"/>
      <c r="BJ149" s="22"/>
      <c r="BK149" s="47" t="str">
        <f aca="false">IF(OR(Tasks[[#This Row],[Task Name]]="",Tasks[[#This Row],[Baseline Duration]]=""),"",Tasks[[#This Row],[_SpanDays]]-N(Tasks[[#This Row],[Baseline Duration]]))</f>
        <v/>
      </c>
      <c r="BL149" s="86" t="str">
        <f aca="false">IF(OR(Tasks[[#This Row],[Task Name]]="",Tasks[[#This Row],[Baseline Work]]=""),"",Tasks[[#This Row],[Work]]-N(Tasks[[#This Row],[Baseline Work]]))</f>
        <v/>
      </c>
      <c r="BM149" s="63" t="str">
        <f aca="false">IF(Tasks[[#This Row],[Task Name]]="","",IF(OR(TakeBaseline="Yes",N(Tasks[[#This Row],[Baseline Start]])=0),Tasks[[#This Row],[Start]],Tasks[[#This Row],[Baseline Start]]))</f>
        <v/>
      </c>
      <c r="BN149" s="63" t="str">
        <f aca="false">IF(Tasks[[#This Row],[Task Name]]="","",IF(OR(TakeBaseline="Yes",N(Tasks[[#This Row],[Baseline Finish]])=0),Tasks[[#This Row],[Finish]],Tasks[[#This Row],[Baseline Finish]]))</f>
        <v/>
      </c>
      <c r="BO149" s="21" t="str">
        <f aca="false">IF(Tasks[[#This Row],[Task Name]]="","",IF(OR(TakeBaseline="Yes",N(Tasks[[#This Row],[Baseline Duration]])=0),Tasks[[#This Row],[_SpanDays]],Tasks[[#This Row],[Baseline Duration]]))</f>
        <v/>
      </c>
      <c r="BP149" s="86" t="str">
        <f aca="false">IF(Tasks[[#This Row],[Task Name]]="","",IF(OR(TakeBaseline="Yes",N(Tasks[[#This Row],[Baseline Work]])=0),Tasks[[#This Row],[Work]],Tasks[[#This Row],[Baseline Work]]))</f>
        <v/>
      </c>
      <c r="BQ149" s="7"/>
      <c r="BR149" s="7"/>
      <c r="BS149" s="22"/>
      <c r="BT149" s="88"/>
      <c r="BU149" s="23"/>
      <c r="BV149" s="23"/>
      <c r="BW149" s="23"/>
      <c r="BX149" s="89" t="str">
        <f aca="false">IF(AND(Tasks[[#This Row],[_IsLeaf]]=1,ISNUMBER(Tasks[[#This Row],[Optimistic]]),ISNUMBER(Tasks[[#This Row],[Pessimistic]])),ROUND((Tasks[[#This Row],[Optimistic]]+4*N(Tasks[[#This Row],[_Days]])+Tasks[[#This Row],[Pessimistic]])/6,1),"")</f>
        <v/>
      </c>
      <c r="BY149" s="87"/>
      <c r="BZ149" s="87"/>
      <c r="CA149" s="22"/>
      <c r="CB149" s="43" t="str">
        <f aca="false">IF(Tasks[[#This Row],[Task Name]]="","",MAX(1,N(Tasks[[#This Row],[Level]])))</f>
        <v/>
      </c>
      <c r="CC149" s="43" t="n">
        <f aca="false">ROW()-ROW(Tasks[[#Headers],[ID]])</f>
        <v>144</v>
      </c>
      <c r="CD149" s="43" t="n">
        <f aca="false">IF(OR(Tasks[[#This Row],[Task Name]]="",Tasks[[#This Row],[_Level]]&lt;=1),0,IFERROR(LOOKUP(2,1/(Tasks[[#Headers],[_Level]]:Tasks[[#This Row],[_Level]]=Tasks[[#This Row],[_Level]]-1),ROW(Tasks[[#Headers],[_Level]]:Tasks[[#This Row],[_Level]])),0))</f>
        <v>0</v>
      </c>
      <c r="CE149" s="43" t="n">
        <f aca="false">IFERROR(N(INDEX(Tasks[_Level],Tasks[[#This Row],[_Row]]+1)),0)</f>
        <v>0</v>
      </c>
      <c r="CF149" s="90" t="b">
        <f aca="false">AND(Tasks[[#This Row],[Task Name]]&lt;&gt;"",Tasks[[#This Row],[_NextLevel]]&gt;Tasks[[#This Row],[_Level]])</f>
        <v>0</v>
      </c>
      <c r="CG149" s="43" t="n">
        <f aca="false">IF(Tasks[[#This Row],[_IsSummary]],COUNTIF(Tasks[WBS],Tasks[[#This Row],[WBS]]&amp;".*"),0)</f>
        <v>0</v>
      </c>
      <c r="CH149" s="43" t="n">
        <f aca="false">IF(AND(Tasks[[#This Row],[Task Name]]&lt;&gt;"",NOT(Tasks[[#This Row],[_IsSummary]])),1,0)</f>
        <v>0</v>
      </c>
      <c r="CI149" s="43" t="n">
        <f aca="false">IF(N(Tasks[[#This Row],[_Pred1UID]])=0,0,IFERROR(MATCH(Tasks[[#This Row],[_Pred1UID]],Tasks[UID],0),-1))</f>
        <v>0</v>
      </c>
      <c r="CJ149" s="43" t="n">
        <f aca="false">IF(N(Tasks[[#This Row],[_Pred2UID]])=0,0,IFERROR(MATCH(Tasks[[#This Row],[_Pred2UID]],Tasks[UID],0),-1))</f>
        <v>0</v>
      </c>
      <c r="CK149" s="43" t="n">
        <f aca="false">IF(N(Tasks[[#This Row],[_Pred3UID]])=0,0,IFERROR(MATCH(Tasks[[#This Row],[_Pred3UID]],Tasks[UID],0),-1))</f>
        <v>0</v>
      </c>
      <c r="CL149" s="43" t="n">
        <f aca="false">IF(N(Tasks[[#This Row],[_Pred4UID]])=0,0,IFERROR(MATCH(Tasks[[#This Row],[_Pred4UID]],Tasks[UID],0),-1))</f>
        <v>0</v>
      </c>
      <c r="CM14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9" s="91" t="n">
        <f aca="false">IF(OR(Tasks[[#This Row],[_ConstraintCode]]=2,Tasks[[#This Row],[_ConstraintCode]]=3,Tasks[[#This Row],[_ConstraintCode]]=4,Tasks[[#This Row],[_ConstraintCode]]=6),Tasks[[#This Row],[_ConstraintStart]],0)</f>
        <v>0</v>
      </c>
      <c r="CP149" s="91" t="n">
        <f aca="false">IF(OR(Tasks[[#This Row],[_ConstraintCode]]=2,Tasks[[#This Row],[_ConstraintCode]]=3,Tasks[[#This Row],[_ConstraintCode]]=5,Tasks[[#This Row],[_ConstraintCode]]=7),Tasks[[#This Row],[_ConstraintStart]],2958465)</f>
        <v>2958465</v>
      </c>
      <c r="CQ14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9" s="91" t="str">
        <f aca="false">IF(NOT(Tasks[[#This Row],[_IsLeaf]]=1),"",IF(N(Tasks[[#This Row],[_Days]])&lt;=0,Tasks[[#This Row],[_LeafCalcStart]],WORKDAY.INTL(Tasks[[#This Row],[_LeafCalcStart]],Tasks[[#This Row],[_Days]]-1,WorkWeek,Holidays)))</f>
        <v/>
      </c>
      <c r="CS14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9" s="43" t="str">
        <f aca="false">IF(Tasks[[#This Row],[_Predecessors]]="","",TRIM(MID(SUBSTITUTE(SUBSTITUTE(SUBSTITUTE(UPPER(Tasks[[#This Row],[_Predecessors]]),";",",")," ",""),",",REPT(" ",99)),1,99)))</f>
        <v/>
      </c>
      <c r="CV149" s="43" t="str">
        <f aca="false">IF(Tasks[[#This Row],[_Pred1Text]]="","",IFERROR(VALUE(LEFT(Tasks[[#This Row],[_Pred1Text]],MIN(FIND("F",Tasks[[#This Row],[_Pred1Text]]&amp;"F"),FIND("S",Tasks[[#This Row],[_Pred1Text]]&amp;"S"),FIND("+",Tasks[[#This Row],[_Pred1Text]]&amp;"+"),FIND("-",Tasks[[#This Row],[_Pred1Text]]&amp;"-"))-1)),""))</f>
        <v/>
      </c>
      <c r="CW14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9" s="43" t="str">
        <f aca="false">IF(Tasks[[#This Row],[_Pred1Text]]="","",TRIM(MID(SUBSTITUTE(SUBSTITUTE(SUBSTITUTE(UPPER(Tasks[[#This Row],[_Predecessors]]),";",",")," ",""),",",REPT(" ",99)),100,99)))</f>
        <v/>
      </c>
      <c r="CZ149" s="43" t="str">
        <f aca="false">IF(Tasks[[#This Row],[_Pred2Text]]="","",IFERROR(VALUE(LEFT(Tasks[[#This Row],[_Pred2Text]],MIN(FIND("F",Tasks[[#This Row],[_Pred2Text]]&amp;"F"),FIND("S",Tasks[[#This Row],[_Pred2Text]]&amp;"S"),FIND("+",Tasks[[#This Row],[_Pred2Text]]&amp;"+"),FIND("-",Tasks[[#This Row],[_Pred2Text]]&amp;"-"))-1)),""))</f>
        <v/>
      </c>
      <c r="DA14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9" s="43" t="str">
        <f aca="false">IF(Tasks[[#This Row],[_Pred2Text]]="","",TRIM(MID(SUBSTITUTE(SUBSTITUTE(SUBSTITUTE(UPPER(Tasks[[#This Row],[_Predecessors]]),";",",")," ",""),",",REPT(" ",99)),199,99)))</f>
        <v/>
      </c>
      <c r="DD149" s="43" t="str">
        <f aca="false">IF(Tasks[[#This Row],[_Pred3Text]]="","",IFERROR(VALUE(LEFT(Tasks[[#This Row],[_Pred3Text]],MIN(FIND("F",Tasks[[#This Row],[_Pred3Text]]&amp;"F"),FIND("S",Tasks[[#This Row],[_Pred3Text]]&amp;"S"),FIND("+",Tasks[[#This Row],[_Pred3Text]]&amp;"+"),FIND("-",Tasks[[#This Row],[_Pred3Text]]&amp;"-"))-1)),""))</f>
        <v/>
      </c>
      <c r="DE14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9" s="43" t="str">
        <f aca="false">IF(Tasks[[#This Row],[_Pred3Text]]="","",TRIM(MID(SUBSTITUTE(SUBSTITUTE(SUBSTITUTE(UPPER(Tasks[[#This Row],[_Predecessors]]),";",",")," ",""),",",REPT(" ",99)),298,99)))</f>
        <v/>
      </c>
      <c r="DH149" s="43" t="str">
        <f aca="false">IF(Tasks[[#This Row],[_Pred4Text]]="","",IFERROR(VALUE(LEFT(Tasks[[#This Row],[_Pred4Text]],MIN(FIND("F",Tasks[[#This Row],[_Pred4Text]]&amp;"F"),FIND("S",Tasks[[#This Row],[_Pred4Text]]&amp;"S"),FIND("+",Tasks[[#This Row],[_Pred4Text]]&amp;"+"),FIND("-",Tasks[[#This Row],[_Pred4Text]]&amp;"-"))-1)),""))</f>
        <v/>
      </c>
      <c r="DI14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9" s="43" t="str">
        <f aca="false">IF(OR(Tasks[[#This Row],[Task Name]]="",Tasks[[#This Row],[_Resources]]=""),"",TRIM(MID(SUBSTITUTE(Tasks[[#This Row],[_Resources]],",",REPT(" ",99)),1,99)))</f>
        <v/>
      </c>
      <c r="DL149" s="43" t="str">
        <f aca="false">IF(Tasks[[#This Row],[_Res1Text]]="","",TRIM(MID(SUBSTITUTE(Tasks[[#This Row],[_Resources]],",",REPT(" ",99)),100,99)))</f>
        <v/>
      </c>
      <c r="DM149" s="43" t="str">
        <f aca="false">IF(Tasks[[#This Row],[_Res2Text]]="","",TRIM(MID(SUBSTITUTE(Tasks[[#This Row],[_Resources]],",",REPT(" ",99)),199,99)))</f>
        <v/>
      </c>
      <c r="DN149" s="43" t="str">
        <f aca="false">IF(Tasks[[#This Row],[_Res3Text]]="","",TRIM(MID(SUBSTITUTE(Tasks[[#This Row],[_Resources]],",",REPT(" ",99)),298,99)))</f>
        <v/>
      </c>
      <c r="DO149" s="43" t="n">
        <f aca="false">IF(Tasks[[#This Row],[_Res1Text]]="",0,IFERROR(MATCH(TRIM(LEFT(Tasks[[#This Row],[_Res1Text]],FIND("[",Tasks[[#This Row],[_Res1Text]]&amp;"[")-1)),res_Name,0),IFERROR(MATCH(TRIM(LEFT(Tasks[[#This Row],[_Res1Text]],FIND("[",Tasks[[#This Row],[_Res1Text]]&amp;"[")-1)),res_Initials,0),0)))</f>
        <v>0</v>
      </c>
      <c r="DP149" s="43" t="n">
        <f aca="false">IF(Tasks[[#This Row],[_Res2Text]]="",0,IFERROR(MATCH(TRIM(LEFT(Tasks[[#This Row],[_Res2Text]],FIND("[",Tasks[[#This Row],[_Res2Text]]&amp;"[")-1)),res_Name,0),IFERROR(MATCH(TRIM(LEFT(Tasks[[#This Row],[_Res2Text]],FIND("[",Tasks[[#This Row],[_Res2Text]]&amp;"[")-1)),res_Initials,0),0)))</f>
        <v>0</v>
      </c>
      <c r="DQ149" s="43" t="n">
        <f aca="false">IF(Tasks[[#This Row],[_Res3Text]]="",0,IFERROR(MATCH(TRIM(LEFT(Tasks[[#This Row],[_Res3Text]],FIND("[",Tasks[[#This Row],[_Res3Text]]&amp;"[")-1)),res_Name,0),IFERROR(MATCH(TRIM(LEFT(Tasks[[#This Row],[_Res3Text]],FIND("[",Tasks[[#This Row],[_Res3Text]]&amp;"[")-1)),res_Initials,0),0)))</f>
        <v>0</v>
      </c>
      <c r="DR149" s="43" t="n">
        <f aca="false">IF(Tasks[[#This Row],[_Res4Text]]="",0,IFERROR(MATCH(TRIM(LEFT(Tasks[[#This Row],[_Res4Text]],FIND("[",Tasks[[#This Row],[_Res4Text]]&amp;"[")-1)),res_Name,0),IFERROR(MATCH(TRIM(LEFT(Tasks[[#This Row],[_Res4Text]],FIND("[",Tasks[[#This Row],[_Res4Text]]&amp;"[")-1)),res_Initials,0),0)))</f>
        <v>0</v>
      </c>
      <c r="DS149" s="43" t="str">
        <f aca="false">IF(Tasks[[#This Row],[_Res1Text]]="","",IF(Tasks[[#This Row],[_Res1Row]]&gt;0,INDEX(res_Name,Tasks[[#This Row],[_Res1Row]]),TRIM(LEFT(Tasks[[#This Row],[_Res1Text]],FIND("[",Tasks[[#This Row],[_Res1Text]]&amp;"[")-1))))</f>
        <v/>
      </c>
      <c r="DT14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9" s="43" t="n">
        <f aca="false">IF(NOT(Tasks[[#This Row],[_IsLeaf]]=1),0,(Tasks[[#This Row],[_Resource1]]&lt;&gt;"")+(Tasks[[#This Row],[_Res2]]&lt;&gt;"")+(Tasks[[#This Row],[_Res3]]&lt;&gt;"")+(Tasks[[#This Row],[_Res4]]&lt;&gt;""))</f>
        <v>0</v>
      </c>
      <c r="DV149" s="43" t="str">
        <f aca="false">IF(Tasks[[#This Row],[_Res2Text]]="","",IF(Tasks[[#This Row],[_Res2Row]]&gt;0,INDEX(res_Name,Tasks[[#This Row],[_Res2Row]]),TRIM(LEFT(Tasks[[#This Row],[_Res2Text]],FIND("[",Tasks[[#This Row],[_Res2Text]]&amp;"[")-1))))</f>
        <v/>
      </c>
      <c r="DW14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9" s="43" t="n">
        <f aca="false">IF(OR(NOT(Tasks[[#This Row],[_IsLeaf]]=1),Tasks[[#This Row],[_Res2Row]]=0),0,N(Tasks[[#This Row],[_Days]])*HoursPerDay*IF(Tasks[[#This Row],[_Res2Units]]="",DefaultUnits,Tasks[[#This Row],[_Res2Units]]))</f>
        <v>0</v>
      </c>
      <c r="DY149" s="43" t="n">
        <f aca="false">IF(AND(AND(Tasks[[#This Row],[_IsLeaf]]=1,Tasks[[#This Row],[_LeafTotalWork]]&gt;0),Tasks[[#This Row],[_Res2Work]]&gt;0),Tasks[[#This Row],[_Res2Work]]/(Tasks[[#This Row],[_FinishWorkday]]-Tasks[[#This Row],[_StartWorkday]]+1),0)</f>
        <v>0</v>
      </c>
      <c r="DZ149" s="43" t="n">
        <f aca="false">Tasks[[#This Row],[_Res2WorkPerWD]]*MAX(0,Tasks[[#This Row],[_StartWorkday]]-1)</f>
        <v>0</v>
      </c>
      <c r="EA149" s="43" t="n">
        <f aca="false">Tasks[[#This Row],[_Res2Work]]*Tasks[[#This Row],[_LeafProgress]]</f>
        <v>0</v>
      </c>
      <c r="EB149" s="43" t="str">
        <f aca="false">IF(Tasks[[#This Row],[_Res3Text]]="","",IF(Tasks[[#This Row],[_Res3Row]]&gt;0,INDEX(res_Name,Tasks[[#This Row],[_Res3Row]]),TRIM(LEFT(Tasks[[#This Row],[_Res3Text]],FIND("[",Tasks[[#This Row],[_Res3Text]]&amp;"[")-1))))</f>
        <v/>
      </c>
      <c r="EC14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9" s="43" t="n">
        <f aca="false">IF(OR(NOT(Tasks[[#This Row],[_IsLeaf]]=1),Tasks[[#This Row],[_Res3Row]]=0),0,N(Tasks[[#This Row],[_Days]])*HoursPerDay*IF(Tasks[[#This Row],[_Res3Units]]="",DefaultUnits,Tasks[[#This Row],[_Res3Units]]))</f>
        <v>0</v>
      </c>
      <c r="EE149" s="43" t="n">
        <f aca="false">IF(AND(AND(Tasks[[#This Row],[_IsLeaf]]=1,Tasks[[#This Row],[_LeafTotalWork]]&gt;0),Tasks[[#This Row],[_Res3Work]]&gt;0),Tasks[[#This Row],[_Res3Work]]/(Tasks[[#This Row],[_FinishWorkday]]-Tasks[[#This Row],[_StartWorkday]]+1),0)</f>
        <v>0</v>
      </c>
      <c r="EF149" s="43" t="n">
        <f aca="false">Tasks[[#This Row],[_Res3WorkPerWD]]*MAX(0,Tasks[[#This Row],[_StartWorkday]]-1)</f>
        <v>0</v>
      </c>
      <c r="EG149" s="43" t="n">
        <f aca="false">Tasks[[#This Row],[_Res3Work]]*Tasks[[#This Row],[_LeafProgress]]</f>
        <v>0</v>
      </c>
      <c r="EH149" s="43" t="str">
        <f aca="false">IF(Tasks[[#This Row],[_Res4Text]]="","",IF(Tasks[[#This Row],[_Res4Row]]&gt;0,INDEX(res_Name,Tasks[[#This Row],[_Res4Row]]),TRIM(LEFT(Tasks[[#This Row],[_Res4Text]],FIND("[",Tasks[[#This Row],[_Res4Text]]&amp;"[")-1))))</f>
        <v/>
      </c>
      <c r="EI14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9" s="43" t="n">
        <f aca="false">IF(OR(NOT(Tasks[[#This Row],[_IsLeaf]]=1),Tasks[[#This Row],[_Res4Row]]=0),0,N(Tasks[[#This Row],[_Days]])*HoursPerDay*IF(Tasks[[#This Row],[_Res4Units]]="",DefaultUnits,Tasks[[#This Row],[_Res4Units]]))</f>
        <v>0</v>
      </c>
      <c r="EK149" s="43" t="n">
        <f aca="false">IF(AND(AND(Tasks[[#This Row],[_IsLeaf]]=1,Tasks[[#This Row],[_LeafTotalWork]]&gt;0),Tasks[[#This Row],[_Res4Work]]&gt;0),Tasks[[#This Row],[_Res4Work]]/(Tasks[[#This Row],[_FinishWorkday]]-Tasks[[#This Row],[_StartWorkday]]+1),0)</f>
        <v>0</v>
      </c>
      <c r="EL149" s="43" t="n">
        <f aca="false">Tasks[[#This Row],[_Res4WorkPerWD]]*MAX(0,Tasks[[#This Row],[_StartWorkday]]-1)</f>
        <v>0</v>
      </c>
      <c r="EM149" s="43" t="n">
        <f aca="false">Tasks[[#This Row],[_Res4Work]]*Tasks[[#This Row],[_LeafProgress]]</f>
        <v>0</v>
      </c>
      <c r="EN149" s="43" t="n">
        <f aca="false">IF(ISNUMBER(Tasks[[#This Row],[% Complete]]),Tasks[[#This Row],[% Complete]],IF(Tasks[[#This Row],[Stage]]="",0,IFERROR(INDEX(stg_Pct,MATCH(Tasks[[#This Row],[Stage]],stg_Name,0)),0)))</f>
        <v>0</v>
      </c>
      <c r="EO149" s="43" t="n">
        <f aca="false">IF(NOT(Tasks[[#This Row],[_IsLeaf]]=1),0,IF(N(Tasks[[#This Row],[Actual Finish]])&gt;0,1,MIN(1,Tasks[[#This Row],[_Pct]])))</f>
        <v>0</v>
      </c>
      <c r="EP149" s="43" t="n">
        <f aca="false">IF(OR(NOT(Tasks[[#This Row],[_IsLeaf]]=1),Tasks[[#This Row],[_Res1Row]]=0),0,N(Tasks[[#This Row],[_Days]])*HoursPerDay*IF(Tasks[[#This Row],[_Units1]]="",DefaultUnits,Tasks[[#This Row],[_Units1]]))</f>
        <v>0</v>
      </c>
      <c r="EQ149" s="43" t="n">
        <f aca="false">Tasks[[#This Row],[_LeafWork]]+Tasks[[#This Row],[_Res2Work]]+Tasks[[#This Row],[_Res3Work]]+Tasks[[#This Row],[_Res4Work]]</f>
        <v>0</v>
      </c>
      <c r="ER14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9" s="43" t="n">
        <f aca="false">IF(NOT(Tasks[[#This Row],[_IsLeaf]]=1),0,MAX(_xlfn.MAXIFS(Tasks[_Row],Tasks[_Pred1UID],Tasks[[#This Row],[UID]]),_xlfn.MAXIFS(Tasks[_Row],Tasks[_Pred2UID],Tasks[[#This Row],[UID]]),_xlfn.MAXIFS(Tasks[_Row],Tasks[_Pred3UID],Tasks[[#This Row],[UID]]),_xlfn.MAXIFS(Tasks[_Row],Tasks[_Pred4UID],Tasks[[#This Row],[UID]])))</f>
        <v>0</v>
      </c>
      <c r="FA14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9" s="91" t="str">
        <f aca="false">IF(NOT(Tasks[[#This Row],[_IsLeaf]]=1),"",IF(N(Tasks[[#This Row],[_Days]])&lt;=0,Tasks[[#This Row],[_LeafLateFinish]],WORKDAY.INTL(Tasks[[#This Row],[_LeafLateFinish]],-(Tasks[[#This Row],[_Days]]-1),WorkWeek,Holidays)))</f>
        <v/>
      </c>
      <c r="FD14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9" s="90" t="b">
        <f aca="false">AND(Tasks[[#This Row],[_IsLeaf]]=1,Tasks[[#This Row],[_LeafProgress]]&lt;1,N(Tasks[[#This Row],[_LeafTotalSlack]])&lt;=CriticalSlackDays)</f>
        <v>0</v>
      </c>
      <c r="FF149" s="43" t="n">
        <f aca="false">IF(AND(Tasks[[#This Row],[_IsLeaf]]=1,Tasks[[#This Row],[_ConstraintCode]]=1,Tasks[[#This Row],[Mode]]&lt;&gt;"Manual",N(Tasks[[#This Row],[Actual Start]])=0),MAX(0,N(Tasks[[#This Row],[Free Slack]])),0)</f>
        <v>0</v>
      </c>
      <c r="FG149" s="91" t="str">
        <f aca="false">IF(NOT(Tasks[[#This Row],[_IsLeaf]]=1),"",IF(Tasks[[#This Row],[_AlapShift]]=0,Tasks[[#This Row],[_LeafCalcStart]],WORKDAY.INTL(Tasks[[#This Row],[_LeafCalcStart]],Tasks[[#This Row],[_AlapShift]],WorkWeek,Holidays)))</f>
        <v/>
      </c>
      <c r="FH149" s="91" t="str">
        <f aca="false">IF(NOT(Tasks[[#This Row],[_IsLeaf]]=1),"",IF(Tasks[[#This Row],[_AlapShift]]=0,Tasks[[#This Row],[_LeafCalcFinish]],WORKDAY.INTL(Tasks[[#This Row],[_LeafCalcFinish]],Tasks[[#This Row],[_AlapShift]],WorkWeek,Holidays)))</f>
        <v/>
      </c>
      <c r="FI149" s="91" t="str">
        <f aca="false">IF(NOT(Tasks[[#This Row],[_IsLeaf]]=1),"",IF(Tasks[[#This Row],[_AlapShift]]=0,Tasks[[#This Row],[_LeafFcstStart]],WORKDAY.INTL(Tasks[[#This Row],[_LeafFcstStart]],Tasks[[#This Row],[_AlapShift]],WorkWeek,Holidays)))</f>
        <v/>
      </c>
      <c r="FJ149" s="91" t="str">
        <f aca="false">IF(NOT(Tasks[[#This Row],[_IsLeaf]]=1),"",IF(Tasks[[#This Row],[_AlapShift]]=0,Tasks[[#This Row],[_LeafFcstFinish]],WORKDAY.INTL(Tasks[[#This Row],[_LeafFcstFinish]],Tasks[[#This Row],[_AlapShift]],WorkWeek,Holidays)))</f>
        <v/>
      </c>
      <c r="FK149" s="91" t="str">
        <f aca="false">IF(Tasks[[#This Row],[Task Name]]="","",IF(Tasks[[#This Row],[_IsSummary]],MIN(INDEX(Tasks[_ShownCalcStart],Tasks[[#This Row],[_Row]]+1):INDEX(Tasks[_ShownCalcStart],Tasks[[#This Row],[_Row]]+Tasks[[#This Row],[_Descendants]])),Tasks[[#This Row],[_ShownCalcStart]]))</f>
        <v/>
      </c>
      <c r="FL149" s="91" t="str">
        <f aca="false">IF(Tasks[[#This Row],[Task Name]]="","",IF(Tasks[[#This Row],[_IsSummary]],MAX(INDEX(Tasks[_ShownCalcFinish],Tasks[[#This Row],[_Row]]+1):INDEX(Tasks[_ShownCalcFinish],Tasks[[#This Row],[_Row]]+Tasks[[#This Row],[_Descendants]])),Tasks[[#This Row],[_ShownCalcFinish]]))</f>
        <v/>
      </c>
      <c r="FM14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9" s="43" t="n">
        <f aca="false">IF(AND(Tasks[[#This Row],[_IsLeaf]]=1,Tasks[[#This Row],[_LeafTotalWork]]&gt;0),NETWORKDAYS.INTL(ProjectStart,Tasks[[#This Row],[_ShownFcstStart]],WorkWeek,Holidays),0)</f>
        <v>0</v>
      </c>
      <c r="FZ149" s="43" t="n">
        <f aca="false">IF(AND(Tasks[[#This Row],[_IsLeaf]]=1,Tasks[[#This Row],[_LeafTotalWork]]&gt;0),MAX(Tasks[[#This Row],[_StartWorkday]],NETWORKDAYS.INTL(ProjectStart,Tasks[[#This Row],[_ShownFcstFinish]],WorkWeek,Holidays)),0)</f>
        <v>0</v>
      </c>
      <c r="GA149" s="43" t="n">
        <f aca="false">IF(AND(Tasks[[#This Row],[_IsLeaf]]=1,Tasks[[#This Row],[_LeafTotalWork]]&gt;0),Tasks[[#This Row],[_LeafWork]]/(Tasks[[#This Row],[_FinishWorkday]]-Tasks[[#This Row],[_StartWorkday]]+1),0)</f>
        <v>0</v>
      </c>
      <c r="GB149" s="43" t="n">
        <f aca="false">Tasks[[#This Row],[_WorkPerWorkday]]*(Tasks[[#This Row],[_StartWorkday]]-1)</f>
        <v>-0</v>
      </c>
      <c r="GC149" s="43" t="n">
        <f aca="false">IF(Tasks[[#This Row],[_IsLeaf]]=1,MAX(N(Tasks[[#This Row],[_Days]]),0.1),0)</f>
        <v>0</v>
      </c>
      <c r="GD149" s="43" t="n">
        <f aca="false">Tasks[[#This Row],[_WeightDur]]*Tasks[[#This Row],[_LeafProgress]]</f>
        <v>0</v>
      </c>
      <c r="GE149" s="43" t="n">
        <f aca="false">Tasks[[#This Row],[_WeightDur]]*Tasks[[#This Row],[_PlannedPct]]</f>
        <v>0</v>
      </c>
      <c r="GF14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9" s="43" t="str">
        <f aca="false">IF(AND(Tasks[[#This Row],[_IsLeaf]]=1,N(Tasks[[#This Row],[_Days]])=0,Tasks[[#This Row],[_LeafProgress]]&lt;1),Tasks[[#This Row],[_ShownFcstFinish]]+Tasks[[#This Row],[_Row]]/100000,"")</f>
        <v/>
      </c>
      <c r="GH14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9" s="43" t="str">
        <f aca="false">IF(Tasks[[#This Row],[Task Name]]="","",LEFT(Tasks[[#This Row],[WBS]],FIND(".",Tasks[[#This Row],[WBS]]&amp;".")-1))</f>
        <v/>
      </c>
      <c r="GJ149" s="43" t="str">
        <f aca="false">IF(AND(Tasks[[#This Row],[Task Name]]&lt;&gt;"",Tasks[[#This Row],[_Level]]=1),Tasks[[#This Row],[_Row]],"")</f>
        <v/>
      </c>
      <c r="GK149" s="43" t="str">
        <f aca="false">IF(AND(Tasks[[#This Row],[_IsLeaf]]=1,N(Tasks[[#This Row],[_Days]])=0),Tasks[[#This Row],[Planned Finish]]+Tasks[[#This Row],[_Row]]/100000,"")</f>
        <v/>
      </c>
      <c r="GL149" s="43" t="str">
        <f aca="false">IF(AND(Tasks[[#This Row],[_IsLeaf]]=1,Tasks[[#This Row],[_LeafProgress]]&lt;1,OR(N(Tasks[[#This Row],[Finish Var]])&gt;0,Tasks[[#This Row],[Status]]="Late Start")),MAX(0,Tasks[[#This Row],[Finish Var]])+1-Tasks[[#This Row],[_Row]]/1000000,"")</f>
        <v/>
      </c>
      <c r="GM149" s="43" t="str">
        <f aca="false">IF(AND(Tasks[[#This Row],[_IsLeaf]]=1,N(Tasks[[#This Row],[Actual Start]])=0,Tasks[[#This Row],[_ShownFcstStart]]&gt;=StatusDate,Tasks[[#This Row],[_ShownFcstStart]]&lt;=LookaheadEnd),Tasks[[#This Row],[_ShownFcstStart]]+Tasks[[#This Row],[_Row]]/100000,"")</f>
        <v/>
      </c>
      <c r="GN149" s="43" t="str">
        <f aca="false">IF(AND(Tasks[[#This Row],[_IsLeaf]]=1,Tasks[[#This Row],[_LeafProgress]]&lt;1,Tasks[[#This Row],[_ShownFcstFinish]]&gt;=StatusDate,Tasks[[#This Row],[_ShownFcstFinish]]&lt;=LookaheadEnd),Tasks[[#This Row],[_ShownFcstFinish]]+Tasks[[#This Row],[_Row]]/100000,"")</f>
        <v/>
      </c>
      <c r="GO149" s="43" t="str">
        <f aca="false">IF(Tasks[[#This Row],[_LeafCritical]],Tasks[[#This Row],[_ShownFcstStart]]+Tasks[[#This Row],[_Row]]/100000,"")</f>
        <v/>
      </c>
      <c r="GP149" s="43" t="n">
        <f aca="false">Tasks[[#This Row],[_LeafWork]]*Tasks[[#This Row],[_LeafProgress]]</f>
        <v>0</v>
      </c>
      <c r="GQ149" s="91" t="str">
        <f aca="false">IF(AND(Tasks[[#This Row],[_IsLeaf]]=1,Tasks[[#This Row],[_LeafProgress]]&gt;=1),IF(N(Tasks[[#This Row],[Actual Finish]])&gt;0,Tasks[[#This Row],[Actual Finish]],Tasks[[#This Row],[_ShownFcstFinish]]),"")</f>
        <v/>
      </c>
      <c r="GR149" s="43" t="n">
        <f aca="false">IF(Tasks[[#This Row],[_IsLeaf]]=1,N(Tasks[[#This Row],[Story Points]]),0)</f>
        <v>0</v>
      </c>
      <c r="GS149" s="43" t="str">
        <f aca="false">""</f>
        <v/>
      </c>
      <c r="GT149" s="90" t="b">
        <f aca="false">IF(Tasks[[#This Row],[Task Name]]="",FALSE(),AND(Tasks[[#This Row],[_IsLeaf]]=1,N(Tasks[[#This Row],[_Days]])=0))</f>
        <v>0</v>
      </c>
      <c r="GU149" s="91" t="n">
        <f aca="false">IF(Tasks[[#This Row],[Task Name]]="",0,IF(AND(Tasks[[#This Row],[_IsLeaf]]=1,NOT(Tasks[[#This Row],[_IsMilestone]]),N(Tasks[[#This Row],[Progress]])&gt;0),Tasks[[#This Row],[Start]],0))</f>
        <v>0</v>
      </c>
      <c r="GV149" s="91" t="n">
        <f aca="false">IF(Tasks[[#This Row],[_DoneFrom]]=0,0,IF(Tasks[[#This Row],[Progress]]&gt;=1,Tasks[[#This Row],[Finish]],MAX(Tasks[[#This Row],[_DoneFrom]],Tasks[[#This Row],[Start]]+ROUND((Tasks[[#This Row],[Finish]]-Tasks[[#This Row],[Start]]+1)*Tasks[[#This Row],[Progress]],0)-1)))</f>
        <v>0</v>
      </c>
      <c r="GW149" s="91" t="n">
        <f aca="false">IF(Tasks[[#This Row],[Task Name]]="",0,IF(OR(NOT(Tasks[[#This Row],[_IsLeaf]]=1),Tasks[[#This Row],[_IsMilestone]],N(Tasks[[#This Row],[Progress]])&gt;=1),0,IF(Tasks[[#This Row],[_DoneTo]]&gt;0,Tasks[[#This Row],[_DoneTo]]+1,Tasks[[#This Row],[Start]])))</f>
        <v>0</v>
      </c>
      <c r="GX149" s="91" t="n">
        <f aca="false">IF(Tasks[[#This Row],[_RemFrom]]=0,0,Tasks[[#This Row],[Finish]])</f>
        <v>0</v>
      </c>
      <c r="GY149" s="90" t="b">
        <f aca="false">IF(Tasks[[#This Row],[Task Name]]="",FALSE(),OR(NOT(BaselineSet),N(Tasks[[#This Row],[Baseline Start]])&gt;0))</f>
        <v>0</v>
      </c>
      <c r="GZ14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9" s="92" t="str">
        <f aca="false">IF(Tasks[[#This Row],[_IsLeaf]]=1,Tasks[[#This Row],[_Row]],"")</f>
        <v/>
      </c>
      <c r="HD149" s="92" t="str">
        <f aca="false">IFERROR(INDEX(Tasks[UID],SMALL(Tasks[_PickKey],Tasks[[#This Row],[_Row]]))&amp;" "&amp;INDEX(Tasks[Task Name],SMALL(Tasks[_PickKey],Tasks[[#This Row],[_Row]])),"")</f>
        <v/>
      </c>
      <c r="HE149" s="43" t="str">
        <f aca="false">IF(Tasks[[#This Row],[Task Name]]="","",IF(Tasks[[#This Row],[_IsSummary]],NETWORKDAYS.INTL(Tasks[[#This Row],[Start]],Tasks[[#This Row],[Finish]],WorkWeek,Holidays),N(Tasks[[#This Row],[_Days]])))</f>
        <v/>
      </c>
      <c r="HF149" s="43" t="n">
        <f aca="false">IF(Tasks[[#This Row],[Expected]]="",0,((Tasks[[#This Row],[Pessimistic]]-Tasks[[#This Row],[Optimistic]])/6)^2)</f>
        <v>0</v>
      </c>
      <c r="HG149" s="43" t="n">
        <f aca="false">IF(Tasks[[#This Row],[Expected]]="",0,Tasks[[#This Row],[Expected]]-N(Tasks[[#This Row],[_Days]]))</f>
        <v>0</v>
      </c>
    </row>
    <row r="150" customFormat="false" ht="15" hidden="false" customHeight="false" outlineLevel="0" collapsed="false">
      <c r="A150" s="21" t="str">
        <f aca="false">IF(Tasks[[#This Row],[Task Name]]="","",COUNTA(Tasks[[#Headers],[Task Name]]:Tasks[[#This Row],[Task Name]])-1)</f>
        <v/>
      </c>
      <c r="B150" s="22" t="n">
        <v>158</v>
      </c>
      <c r="C150" s="22"/>
      <c r="D150" s="23"/>
      <c r="E150" s="22"/>
      <c r="F150" s="23"/>
      <c r="G150" s="22"/>
      <c r="H150" s="22"/>
      <c r="I150" s="23"/>
      <c r="J150" s="22"/>
      <c r="K150" s="22"/>
      <c r="L150" s="23"/>
      <c r="M150" s="22"/>
      <c r="N150" s="22"/>
      <c r="O150" s="23"/>
      <c r="P150" s="22"/>
      <c r="Q150" s="22"/>
      <c r="R150" s="23"/>
      <c r="S150" s="23"/>
      <c r="T150" s="84"/>
      <c r="U150" s="23"/>
      <c r="V150" s="84"/>
      <c r="W150" s="23"/>
      <c r="X150" s="84"/>
      <c r="Y150" s="23"/>
      <c r="Z150" s="84"/>
      <c r="AA150" s="23"/>
      <c r="AB150" s="23"/>
      <c r="AC150" s="7"/>
      <c r="AD150" s="7"/>
      <c r="AE150" s="63" t="str">
        <f aca="false">IF(Tasks[[#This Row],[Task Name]]="","",IF(Tasks[[#This Row],[_IsSummary]],MIN(INDEX(Tasks[_ShownFcstStart],Tasks[[#This Row],[_Row]]+1):INDEX(Tasks[_ShownFcstStart],Tasks[[#This Row],[_Row]]+Tasks[[#This Row],[_Descendants]])),Tasks[[#This Row],[_ShownFcstStart]]))</f>
        <v/>
      </c>
      <c r="AF150" s="63" t="str">
        <f aca="false">IF(Tasks[[#This Row],[Task Name]]="","",IF(Tasks[[#This Row],[_IsSummary]],MAX(INDEX(Tasks[_ShownFcstFinish],Tasks[[#This Row],[_Row]]+1):INDEX(Tasks[_ShownFcstFinish],Tasks[[#This Row],[_Row]]+Tasks[[#This Row],[_Descendants]])),Tasks[[#This Row],[_ShownFcstFinish]]))</f>
        <v/>
      </c>
      <c r="AG150" s="21" t="str">
        <f aca="false">""</f>
        <v/>
      </c>
      <c r="AH150" s="23"/>
      <c r="AI1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0" s="7"/>
      <c r="AK150" s="22"/>
      <c r="AL150" s="23"/>
      <c r="AM150" s="7"/>
      <c r="AN150" s="47" t="str">
        <f aca="false">IF(Tasks[[#This Row],[Task Name]]="","",IF(Tasks[[#This Row],[Finish]]&gt;=Tasks[[#This Row],[Planned Finish]],NETWORKDAYS.INTL(Tasks[[#This Row],[Planned Finish]],Tasks[[#This Row],[Finish]],WorkWeek,Holidays)-1,1-NETWORKDAYS.INTL(Tasks[[#This Row],[Finish]],Tasks[[#This Row],[Planned Finish]],WorkWeek,Holidays)))</f>
        <v/>
      </c>
      <c r="AO150" s="21" t="str">
        <f aca="false">IF(Tasks[[#This Row],[Task Name]]="","",IF(Tasks[[#This Row],[Progress]]&gt;=1,"Complete",IF(OR(N(Tasks[[#This Row],[Actual Start]])&gt;0,Tasks[[#This Row],[Progress]]&gt;0),IF(Tasks[[#This Row],[Finish Var]]&gt;0,"Behind","In Progress"),IF(Tasks[[#This Row],[Planned Start]]&lt;StatusDate,"Late Start","Not Started"))))</f>
        <v/>
      </c>
      <c r="AP150" s="21" t="str">
        <f aca="false">IF(Tasks[[#This Row],[Task Name]]="","",IF(IF(Tasks[[#This Row],[_IsSummary]],COUNTIF(INDEX(Tasks[_LeafCritical],Tasks[[#This Row],[_Row]]+1):INDEX(Tasks[_LeafCritical],Tasks[[#This Row],[_Row]]+Tasks[[#This Row],[_Descendants]]),TRUE())&gt;0,Tasks[[#This Row],[_LeafCritical]]),"Yes",""))</f>
        <v/>
      </c>
      <c r="AQ150" s="63" t="str">
        <f aca="false">IF(Tasks[[#This Row],[Task Name]]="","",IF(N(Tasks[[#This Row],[Baseline Start]])&gt;0,Tasks[[#This Row],[Baseline Start]],Tasks[[#This Row],[_CalcStart]]))</f>
        <v/>
      </c>
      <c r="AR150" s="63" t="str">
        <f aca="false">IF(Tasks[[#This Row],[Task Name]]="","",IF(N(Tasks[[#This Row],[Baseline Finish]])&gt;0,Tasks[[#This Row],[Baseline Finish]],Tasks[[#This Row],[_CalcFinish]]))</f>
        <v/>
      </c>
      <c r="AS150" s="47" t="str">
        <f aca="false">IF(Tasks[[#This Row],[Task Name]]="","",IF(Tasks[[#This Row],[Start]]&gt;=Tasks[[#This Row],[Planned Start]],NETWORKDAYS.INTL(Tasks[[#This Row],[Planned Start]],Tasks[[#This Row],[Start]],WorkWeek,Holidays)-1,1-NETWORKDAYS.INTL(Tasks[[#This Row],[Start]],Tasks[[#This Row],[Planned Start]],WorkWeek,Holidays)))</f>
        <v/>
      </c>
      <c r="AT150" s="63" t="str">
        <f aca="false">IF(Tasks[[#This Row],[Task Name]]="","",IF(Tasks[[#This Row],[_IsSummary]],MIN(INDEX(Tasks[_LeafLateStart],Tasks[[#This Row],[_Row]]+1):INDEX(Tasks[_LeafLateStart],Tasks[[#This Row],[_Row]]+Tasks[[#This Row],[_Descendants]])),Tasks[[#This Row],[_LeafLateStart]]))</f>
        <v/>
      </c>
      <c r="AU150" s="63" t="str">
        <f aca="false">IF(Tasks[[#This Row],[Task Name]]="","",IF(Tasks[[#This Row],[_IsSummary]],MAX(INDEX(Tasks[_LeafLateFinish],Tasks[[#This Row],[_Row]]+1):INDEX(Tasks[_LeafLateFinish],Tasks[[#This Row],[_Row]]+Tasks[[#This Row],[_Descendants]])),Tasks[[#This Row],[_LeafLateFinish]]))</f>
        <v/>
      </c>
      <c r="AV150" s="47" t="str">
        <f aca="false">IF(Tasks[[#This Row],[Task Name]]="","",IF(Tasks[[#This Row],[_IsSummary]],MIN(INDEX(Tasks[_LeafTotalSlack],Tasks[[#This Row],[_Row]]+1):INDEX(Tasks[_LeafTotalSlack],Tasks[[#This Row],[_Row]]+Tasks[[#This Row],[_Descendants]])),Tasks[[#This Row],[_LeafTotalSlack]]))</f>
        <v/>
      </c>
      <c r="AW1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5"/>
      <c r="BA15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1" t="str">
        <f aca="false">IF(Tasks[[#This Row],[Task Name]]="","",IF(Tasks[[#This Row],[_Level]]&lt;=OutlineShowLevel,"Yes","No"))</f>
        <v/>
      </c>
      <c r="BE150" s="86" t="str">
        <f aca="false">IF(Tasks[[#This Row],[Task Name]]="","",IF(Tasks[[#This Row],[_IsSummary]],SUM(INDEX(Tasks[_LeafTotalWork],Tasks[[#This Row],[_Row]]+1):INDEX(Tasks[_LeafTotalWork],Tasks[[#This Row],[_Row]]+Tasks[[#This Row],[_Descendants]])),Tasks[[#This Row],[_LeafTotalWork]]))</f>
        <v/>
      </c>
      <c r="BF150" s="23"/>
      <c r="BG1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0" s="21" t="str">
        <f aca="false">""</f>
        <v/>
      </c>
      <c r="BI150" s="87"/>
      <c r="BJ150" s="22"/>
      <c r="BK150" s="47" t="str">
        <f aca="false">IF(OR(Tasks[[#This Row],[Task Name]]="",Tasks[[#This Row],[Baseline Duration]]=""),"",Tasks[[#This Row],[_SpanDays]]-N(Tasks[[#This Row],[Baseline Duration]]))</f>
        <v/>
      </c>
      <c r="BL150" s="86" t="str">
        <f aca="false">IF(OR(Tasks[[#This Row],[Task Name]]="",Tasks[[#This Row],[Baseline Work]]=""),"",Tasks[[#This Row],[Work]]-N(Tasks[[#This Row],[Baseline Work]]))</f>
        <v/>
      </c>
      <c r="BM150" s="63" t="str">
        <f aca="false">IF(Tasks[[#This Row],[Task Name]]="","",IF(OR(TakeBaseline="Yes",N(Tasks[[#This Row],[Baseline Start]])=0),Tasks[[#This Row],[Start]],Tasks[[#This Row],[Baseline Start]]))</f>
        <v/>
      </c>
      <c r="BN150" s="63" t="str">
        <f aca="false">IF(Tasks[[#This Row],[Task Name]]="","",IF(OR(TakeBaseline="Yes",N(Tasks[[#This Row],[Baseline Finish]])=0),Tasks[[#This Row],[Finish]],Tasks[[#This Row],[Baseline Finish]]))</f>
        <v/>
      </c>
      <c r="BO150" s="21" t="str">
        <f aca="false">IF(Tasks[[#This Row],[Task Name]]="","",IF(OR(TakeBaseline="Yes",N(Tasks[[#This Row],[Baseline Duration]])=0),Tasks[[#This Row],[_SpanDays]],Tasks[[#This Row],[Baseline Duration]]))</f>
        <v/>
      </c>
      <c r="BP150" s="86" t="str">
        <f aca="false">IF(Tasks[[#This Row],[Task Name]]="","",IF(OR(TakeBaseline="Yes",N(Tasks[[#This Row],[Baseline Work]])=0),Tasks[[#This Row],[Work]],Tasks[[#This Row],[Baseline Work]]))</f>
        <v/>
      </c>
      <c r="BQ150" s="7"/>
      <c r="BR150" s="7"/>
      <c r="BS150" s="22"/>
      <c r="BT150" s="88"/>
      <c r="BU150" s="23"/>
      <c r="BV150" s="23"/>
      <c r="BW150" s="23"/>
      <c r="BX150" s="89" t="str">
        <f aca="false">IF(AND(Tasks[[#This Row],[_IsLeaf]]=1,ISNUMBER(Tasks[[#This Row],[Optimistic]]),ISNUMBER(Tasks[[#This Row],[Pessimistic]])),ROUND((Tasks[[#This Row],[Optimistic]]+4*N(Tasks[[#This Row],[_Days]])+Tasks[[#This Row],[Pessimistic]])/6,1),"")</f>
        <v/>
      </c>
      <c r="BY150" s="87"/>
      <c r="BZ150" s="87"/>
      <c r="CA150" s="22"/>
      <c r="CB150" s="43" t="str">
        <f aca="false">IF(Tasks[[#This Row],[Task Name]]="","",MAX(1,N(Tasks[[#This Row],[Level]])))</f>
        <v/>
      </c>
      <c r="CC150" s="43" t="n">
        <f aca="false">ROW()-ROW(Tasks[[#Headers],[ID]])</f>
        <v>145</v>
      </c>
      <c r="CD150" s="43" t="n">
        <f aca="false">IF(OR(Tasks[[#This Row],[Task Name]]="",Tasks[[#This Row],[_Level]]&lt;=1),0,IFERROR(LOOKUP(2,1/(Tasks[[#Headers],[_Level]]:Tasks[[#This Row],[_Level]]=Tasks[[#This Row],[_Level]]-1),ROW(Tasks[[#Headers],[_Level]]:Tasks[[#This Row],[_Level]])),0))</f>
        <v>0</v>
      </c>
      <c r="CE150" s="43" t="n">
        <f aca="false">IFERROR(N(INDEX(Tasks[_Level],Tasks[[#This Row],[_Row]]+1)),0)</f>
        <v>0</v>
      </c>
      <c r="CF150" s="90" t="b">
        <f aca="false">AND(Tasks[[#This Row],[Task Name]]&lt;&gt;"",Tasks[[#This Row],[_NextLevel]]&gt;Tasks[[#This Row],[_Level]])</f>
        <v>0</v>
      </c>
      <c r="CG150" s="43" t="n">
        <f aca="false">IF(Tasks[[#This Row],[_IsSummary]],COUNTIF(Tasks[WBS],Tasks[[#This Row],[WBS]]&amp;".*"),0)</f>
        <v>0</v>
      </c>
      <c r="CH150" s="43" t="n">
        <f aca="false">IF(AND(Tasks[[#This Row],[Task Name]]&lt;&gt;"",NOT(Tasks[[#This Row],[_IsSummary]])),1,0)</f>
        <v>0</v>
      </c>
      <c r="CI150" s="43" t="n">
        <f aca="false">IF(N(Tasks[[#This Row],[_Pred1UID]])=0,0,IFERROR(MATCH(Tasks[[#This Row],[_Pred1UID]],Tasks[UID],0),-1))</f>
        <v>0</v>
      </c>
      <c r="CJ150" s="43" t="n">
        <f aca="false">IF(N(Tasks[[#This Row],[_Pred2UID]])=0,0,IFERROR(MATCH(Tasks[[#This Row],[_Pred2UID]],Tasks[UID],0),-1))</f>
        <v>0</v>
      </c>
      <c r="CK150" s="43" t="n">
        <f aca="false">IF(N(Tasks[[#This Row],[_Pred3UID]])=0,0,IFERROR(MATCH(Tasks[[#This Row],[_Pred3UID]],Tasks[UID],0),-1))</f>
        <v>0</v>
      </c>
      <c r="CL150" s="43" t="n">
        <f aca="false">IF(N(Tasks[[#This Row],[_Pred4UID]])=0,0,IFERROR(MATCH(Tasks[[#This Row],[_Pred4UID]],Tasks[UID],0),-1))</f>
        <v>0</v>
      </c>
      <c r="CM15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0" s="91" t="n">
        <f aca="false">IF(OR(Tasks[[#This Row],[_ConstraintCode]]=2,Tasks[[#This Row],[_ConstraintCode]]=3,Tasks[[#This Row],[_ConstraintCode]]=4,Tasks[[#This Row],[_ConstraintCode]]=6),Tasks[[#This Row],[_ConstraintStart]],0)</f>
        <v>0</v>
      </c>
      <c r="CP150" s="91" t="n">
        <f aca="false">IF(OR(Tasks[[#This Row],[_ConstraintCode]]=2,Tasks[[#This Row],[_ConstraintCode]]=3,Tasks[[#This Row],[_ConstraintCode]]=5,Tasks[[#This Row],[_ConstraintCode]]=7),Tasks[[#This Row],[_ConstraintStart]],2958465)</f>
        <v>2958465</v>
      </c>
      <c r="CQ15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0" s="91" t="str">
        <f aca="false">IF(NOT(Tasks[[#This Row],[_IsLeaf]]=1),"",IF(N(Tasks[[#This Row],[_Days]])&lt;=0,Tasks[[#This Row],[_LeafCalcStart]],WORKDAY.INTL(Tasks[[#This Row],[_LeafCalcStart]],Tasks[[#This Row],[_Days]]-1,WorkWeek,Holidays)))</f>
        <v/>
      </c>
      <c r="CS15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0" s="43" t="str">
        <f aca="false">IF(Tasks[[#This Row],[_Predecessors]]="","",TRIM(MID(SUBSTITUTE(SUBSTITUTE(SUBSTITUTE(UPPER(Tasks[[#This Row],[_Predecessors]]),";",",")," ",""),",",REPT(" ",99)),1,99)))</f>
        <v/>
      </c>
      <c r="CV150" s="43" t="str">
        <f aca="false">IF(Tasks[[#This Row],[_Pred1Text]]="","",IFERROR(VALUE(LEFT(Tasks[[#This Row],[_Pred1Text]],MIN(FIND("F",Tasks[[#This Row],[_Pred1Text]]&amp;"F"),FIND("S",Tasks[[#This Row],[_Pred1Text]]&amp;"S"),FIND("+",Tasks[[#This Row],[_Pred1Text]]&amp;"+"),FIND("-",Tasks[[#This Row],[_Pred1Text]]&amp;"-"))-1)),""))</f>
        <v/>
      </c>
      <c r="CW15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0" s="43" t="str">
        <f aca="false">IF(Tasks[[#This Row],[_Pred1Text]]="","",TRIM(MID(SUBSTITUTE(SUBSTITUTE(SUBSTITUTE(UPPER(Tasks[[#This Row],[_Predecessors]]),";",",")," ",""),",",REPT(" ",99)),100,99)))</f>
        <v/>
      </c>
      <c r="CZ150" s="43" t="str">
        <f aca="false">IF(Tasks[[#This Row],[_Pred2Text]]="","",IFERROR(VALUE(LEFT(Tasks[[#This Row],[_Pred2Text]],MIN(FIND("F",Tasks[[#This Row],[_Pred2Text]]&amp;"F"),FIND("S",Tasks[[#This Row],[_Pred2Text]]&amp;"S"),FIND("+",Tasks[[#This Row],[_Pred2Text]]&amp;"+"),FIND("-",Tasks[[#This Row],[_Pred2Text]]&amp;"-"))-1)),""))</f>
        <v/>
      </c>
      <c r="DA15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0" s="43" t="str">
        <f aca="false">IF(Tasks[[#This Row],[_Pred2Text]]="","",TRIM(MID(SUBSTITUTE(SUBSTITUTE(SUBSTITUTE(UPPER(Tasks[[#This Row],[_Predecessors]]),";",",")," ",""),",",REPT(" ",99)),199,99)))</f>
        <v/>
      </c>
      <c r="DD150" s="43" t="str">
        <f aca="false">IF(Tasks[[#This Row],[_Pred3Text]]="","",IFERROR(VALUE(LEFT(Tasks[[#This Row],[_Pred3Text]],MIN(FIND("F",Tasks[[#This Row],[_Pred3Text]]&amp;"F"),FIND("S",Tasks[[#This Row],[_Pred3Text]]&amp;"S"),FIND("+",Tasks[[#This Row],[_Pred3Text]]&amp;"+"),FIND("-",Tasks[[#This Row],[_Pred3Text]]&amp;"-"))-1)),""))</f>
        <v/>
      </c>
      <c r="DE15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0" s="43" t="str">
        <f aca="false">IF(Tasks[[#This Row],[_Pred3Text]]="","",TRIM(MID(SUBSTITUTE(SUBSTITUTE(SUBSTITUTE(UPPER(Tasks[[#This Row],[_Predecessors]]),";",",")," ",""),",",REPT(" ",99)),298,99)))</f>
        <v/>
      </c>
      <c r="DH150" s="43" t="str">
        <f aca="false">IF(Tasks[[#This Row],[_Pred4Text]]="","",IFERROR(VALUE(LEFT(Tasks[[#This Row],[_Pred4Text]],MIN(FIND("F",Tasks[[#This Row],[_Pred4Text]]&amp;"F"),FIND("S",Tasks[[#This Row],[_Pred4Text]]&amp;"S"),FIND("+",Tasks[[#This Row],[_Pred4Text]]&amp;"+"),FIND("-",Tasks[[#This Row],[_Pred4Text]]&amp;"-"))-1)),""))</f>
        <v/>
      </c>
      <c r="DI15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0" s="43" t="str">
        <f aca="false">IF(OR(Tasks[[#This Row],[Task Name]]="",Tasks[[#This Row],[_Resources]]=""),"",TRIM(MID(SUBSTITUTE(Tasks[[#This Row],[_Resources]],",",REPT(" ",99)),1,99)))</f>
        <v/>
      </c>
      <c r="DL150" s="43" t="str">
        <f aca="false">IF(Tasks[[#This Row],[_Res1Text]]="","",TRIM(MID(SUBSTITUTE(Tasks[[#This Row],[_Resources]],",",REPT(" ",99)),100,99)))</f>
        <v/>
      </c>
      <c r="DM150" s="43" t="str">
        <f aca="false">IF(Tasks[[#This Row],[_Res2Text]]="","",TRIM(MID(SUBSTITUTE(Tasks[[#This Row],[_Resources]],",",REPT(" ",99)),199,99)))</f>
        <v/>
      </c>
      <c r="DN150" s="43" t="str">
        <f aca="false">IF(Tasks[[#This Row],[_Res3Text]]="","",TRIM(MID(SUBSTITUTE(Tasks[[#This Row],[_Resources]],",",REPT(" ",99)),298,99)))</f>
        <v/>
      </c>
      <c r="DO150" s="43" t="n">
        <f aca="false">IF(Tasks[[#This Row],[_Res1Text]]="",0,IFERROR(MATCH(TRIM(LEFT(Tasks[[#This Row],[_Res1Text]],FIND("[",Tasks[[#This Row],[_Res1Text]]&amp;"[")-1)),res_Name,0),IFERROR(MATCH(TRIM(LEFT(Tasks[[#This Row],[_Res1Text]],FIND("[",Tasks[[#This Row],[_Res1Text]]&amp;"[")-1)),res_Initials,0),0)))</f>
        <v>0</v>
      </c>
      <c r="DP150" s="43" t="n">
        <f aca="false">IF(Tasks[[#This Row],[_Res2Text]]="",0,IFERROR(MATCH(TRIM(LEFT(Tasks[[#This Row],[_Res2Text]],FIND("[",Tasks[[#This Row],[_Res2Text]]&amp;"[")-1)),res_Name,0),IFERROR(MATCH(TRIM(LEFT(Tasks[[#This Row],[_Res2Text]],FIND("[",Tasks[[#This Row],[_Res2Text]]&amp;"[")-1)),res_Initials,0),0)))</f>
        <v>0</v>
      </c>
      <c r="DQ150" s="43" t="n">
        <f aca="false">IF(Tasks[[#This Row],[_Res3Text]]="",0,IFERROR(MATCH(TRIM(LEFT(Tasks[[#This Row],[_Res3Text]],FIND("[",Tasks[[#This Row],[_Res3Text]]&amp;"[")-1)),res_Name,0),IFERROR(MATCH(TRIM(LEFT(Tasks[[#This Row],[_Res3Text]],FIND("[",Tasks[[#This Row],[_Res3Text]]&amp;"[")-1)),res_Initials,0),0)))</f>
        <v>0</v>
      </c>
      <c r="DR150" s="43" t="n">
        <f aca="false">IF(Tasks[[#This Row],[_Res4Text]]="",0,IFERROR(MATCH(TRIM(LEFT(Tasks[[#This Row],[_Res4Text]],FIND("[",Tasks[[#This Row],[_Res4Text]]&amp;"[")-1)),res_Name,0),IFERROR(MATCH(TRIM(LEFT(Tasks[[#This Row],[_Res4Text]],FIND("[",Tasks[[#This Row],[_Res4Text]]&amp;"[")-1)),res_Initials,0),0)))</f>
        <v>0</v>
      </c>
      <c r="DS150" s="43" t="str">
        <f aca="false">IF(Tasks[[#This Row],[_Res1Text]]="","",IF(Tasks[[#This Row],[_Res1Row]]&gt;0,INDEX(res_Name,Tasks[[#This Row],[_Res1Row]]),TRIM(LEFT(Tasks[[#This Row],[_Res1Text]],FIND("[",Tasks[[#This Row],[_Res1Text]]&amp;"[")-1))))</f>
        <v/>
      </c>
      <c r="DT15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0" s="43" t="n">
        <f aca="false">IF(NOT(Tasks[[#This Row],[_IsLeaf]]=1),0,(Tasks[[#This Row],[_Resource1]]&lt;&gt;"")+(Tasks[[#This Row],[_Res2]]&lt;&gt;"")+(Tasks[[#This Row],[_Res3]]&lt;&gt;"")+(Tasks[[#This Row],[_Res4]]&lt;&gt;""))</f>
        <v>0</v>
      </c>
      <c r="DV150" s="43" t="str">
        <f aca="false">IF(Tasks[[#This Row],[_Res2Text]]="","",IF(Tasks[[#This Row],[_Res2Row]]&gt;0,INDEX(res_Name,Tasks[[#This Row],[_Res2Row]]),TRIM(LEFT(Tasks[[#This Row],[_Res2Text]],FIND("[",Tasks[[#This Row],[_Res2Text]]&amp;"[")-1))))</f>
        <v/>
      </c>
      <c r="DW15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0" s="43" t="n">
        <f aca="false">IF(OR(NOT(Tasks[[#This Row],[_IsLeaf]]=1),Tasks[[#This Row],[_Res2Row]]=0),0,N(Tasks[[#This Row],[_Days]])*HoursPerDay*IF(Tasks[[#This Row],[_Res2Units]]="",DefaultUnits,Tasks[[#This Row],[_Res2Units]]))</f>
        <v>0</v>
      </c>
      <c r="DY150" s="43" t="n">
        <f aca="false">IF(AND(AND(Tasks[[#This Row],[_IsLeaf]]=1,Tasks[[#This Row],[_LeafTotalWork]]&gt;0),Tasks[[#This Row],[_Res2Work]]&gt;0),Tasks[[#This Row],[_Res2Work]]/(Tasks[[#This Row],[_FinishWorkday]]-Tasks[[#This Row],[_StartWorkday]]+1),0)</f>
        <v>0</v>
      </c>
      <c r="DZ150" s="43" t="n">
        <f aca="false">Tasks[[#This Row],[_Res2WorkPerWD]]*MAX(0,Tasks[[#This Row],[_StartWorkday]]-1)</f>
        <v>0</v>
      </c>
      <c r="EA150" s="43" t="n">
        <f aca="false">Tasks[[#This Row],[_Res2Work]]*Tasks[[#This Row],[_LeafProgress]]</f>
        <v>0</v>
      </c>
      <c r="EB150" s="43" t="str">
        <f aca="false">IF(Tasks[[#This Row],[_Res3Text]]="","",IF(Tasks[[#This Row],[_Res3Row]]&gt;0,INDEX(res_Name,Tasks[[#This Row],[_Res3Row]]),TRIM(LEFT(Tasks[[#This Row],[_Res3Text]],FIND("[",Tasks[[#This Row],[_Res3Text]]&amp;"[")-1))))</f>
        <v/>
      </c>
      <c r="EC15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0" s="43" t="n">
        <f aca="false">IF(OR(NOT(Tasks[[#This Row],[_IsLeaf]]=1),Tasks[[#This Row],[_Res3Row]]=0),0,N(Tasks[[#This Row],[_Days]])*HoursPerDay*IF(Tasks[[#This Row],[_Res3Units]]="",DefaultUnits,Tasks[[#This Row],[_Res3Units]]))</f>
        <v>0</v>
      </c>
      <c r="EE150" s="43" t="n">
        <f aca="false">IF(AND(AND(Tasks[[#This Row],[_IsLeaf]]=1,Tasks[[#This Row],[_LeafTotalWork]]&gt;0),Tasks[[#This Row],[_Res3Work]]&gt;0),Tasks[[#This Row],[_Res3Work]]/(Tasks[[#This Row],[_FinishWorkday]]-Tasks[[#This Row],[_StartWorkday]]+1),0)</f>
        <v>0</v>
      </c>
      <c r="EF150" s="43" t="n">
        <f aca="false">Tasks[[#This Row],[_Res3WorkPerWD]]*MAX(0,Tasks[[#This Row],[_StartWorkday]]-1)</f>
        <v>0</v>
      </c>
      <c r="EG150" s="43" t="n">
        <f aca="false">Tasks[[#This Row],[_Res3Work]]*Tasks[[#This Row],[_LeafProgress]]</f>
        <v>0</v>
      </c>
      <c r="EH150" s="43" t="str">
        <f aca="false">IF(Tasks[[#This Row],[_Res4Text]]="","",IF(Tasks[[#This Row],[_Res4Row]]&gt;0,INDEX(res_Name,Tasks[[#This Row],[_Res4Row]]),TRIM(LEFT(Tasks[[#This Row],[_Res4Text]],FIND("[",Tasks[[#This Row],[_Res4Text]]&amp;"[")-1))))</f>
        <v/>
      </c>
      <c r="EI15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0" s="43" t="n">
        <f aca="false">IF(OR(NOT(Tasks[[#This Row],[_IsLeaf]]=1),Tasks[[#This Row],[_Res4Row]]=0),0,N(Tasks[[#This Row],[_Days]])*HoursPerDay*IF(Tasks[[#This Row],[_Res4Units]]="",DefaultUnits,Tasks[[#This Row],[_Res4Units]]))</f>
        <v>0</v>
      </c>
      <c r="EK150" s="43" t="n">
        <f aca="false">IF(AND(AND(Tasks[[#This Row],[_IsLeaf]]=1,Tasks[[#This Row],[_LeafTotalWork]]&gt;0),Tasks[[#This Row],[_Res4Work]]&gt;0),Tasks[[#This Row],[_Res4Work]]/(Tasks[[#This Row],[_FinishWorkday]]-Tasks[[#This Row],[_StartWorkday]]+1),0)</f>
        <v>0</v>
      </c>
      <c r="EL150" s="43" t="n">
        <f aca="false">Tasks[[#This Row],[_Res4WorkPerWD]]*MAX(0,Tasks[[#This Row],[_StartWorkday]]-1)</f>
        <v>0</v>
      </c>
      <c r="EM150" s="43" t="n">
        <f aca="false">Tasks[[#This Row],[_Res4Work]]*Tasks[[#This Row],[_LeafProgress]]</f>
        <v>0</v>
      </c>
      <c r="EN150" s="43" t="n">
        <f aca="false">IF(ISNUMBER(Tasks[[#This Row],[% Complete]]),Tasks[[#This Row],[% Complete]],IF(Tasks[[#This Row],[Stage]]="",0,IFERROR(INDEX(stg_Pct,MATCH(Tasks[[#This Row],[Stage]],stg_Name,0)),0)))</f>
        <v>0</v>
      </c>
      <c r="EO150" s="43" t="n">
        <f aca="false">IF(NOT(Tasks[[#This Row],[_IsLeaf]]=1),0,IF(N(Tasks[[#This Row],[Actual Finish]])&gt;0,1,MIN(1,Tasks[[#This Row],[_Pct]])))</f>
        <v>0</v>
      </c>
      <c r="EP150" s="43" t="n">
        <f aca="false">IF(OR(NOT(Tasks[[#This Row],[_IsLeaf]]=1),Tasks[[#This Row],[_Res1Row]]=0),0,N(Tasks[[#This Row],[_Days]])*HoursPerDay*IF(Tasks[[#This Row],[_Units1]]="",DefaultUnits,Tasks[[#This Row],[_Units1]]))</f>
        <v>0</v>
      </c>
      <c r="EQ150" s="43" t="n">
        <f aca="false">Tasks[[#This Row],[_LeafWork]]+Tasks[[#This Row],[_Res2Work]]+Tasks[[#This Row],[_Res3Work]]+Tasks[[#This Row],[_Res4Work]]</f>
        <v>0</v>
      </c>
      <c r="ER15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0" s="43" t="n">
        <f aca="false">IF(NOT(Tasks[[#This Row],[_IsLeaf]]=1),0,MAX(_xlfn.MAXIFS(Tasks[_Row],Tasks[_Pred1UID],Tasks[[#This Row],[UID]]),_xlfn.MAXIFS(Tasks[_Row],Tasks[_Pred2UID],Tasks[[#This Row],[UID]]),_xlfn.MAXIFS(Tasks[_Row],Tasks[_Pred3UID],Tasks[[#This Row],[UID]]),_xlfn.MAXIFS(Tasks[_Row],Tasks[_Pred4UID],Tasks[[#This Row],[UID]])))</f>
        <v>0</v>
      </c>
      <c r="FA15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0" s="91" t="str">
        <f aca="false">IF(NOT(Tasks[[#This Row],[_IsLeaf]]=1),"",IF(N(Tasks[[#This Row],[_Days]])&lt;=0,Tasks[[#This Row],[_LeafLateFinish]],WORKDAY.INTL(Tasks[[#This Row],[_LeafLateFinish]],-(Tasks[[#This Row],[_Days]]-1),WorkWeek,Holidays)))</f>
        <v/>
      </c>
      <c r="FD15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0" s="90" t="b">
        <f aca="false">AND(Tasks[[#This Row],[_IsLeaf]]=1,Tasks[[#This Row],[_LeafProgress]]&lt;1,N(Tasks[[#This Row],[_LeafTotalSlack]])&lt;=CriticalSlackDays)</f>
        <v>0</v>
      </c>
      <c r="FF150" s="43" t="n">
        <f aca="false">IF(AND(Tasks[[#This Row],[_IsLeaf]]=1,Tasks[[#This Row],[_ConstraintCode]]=1,Tasks[[#This Row],[Mode]]&lt;&gt;"Manual",N(Tasks[[#This Row],[Actual Start]])=0),MAX(0,N(Tasks[[#This Row],[Free Slack]])),0)</f>
        <v>0</v>
      </c>
      <c r="FG150" s="91" t="str">
        <f aca="false">IF(NOT(Tasks[[#This Row],[_IsLeaf]]=1),"",IF(Tasks[[#This Row],[_AlapShift]]=0,Tasks[[#This Row],[_LeafCalcStart]],WORKDAY.INTL(Tasks[[#This Row],[_LeafCalcStart]],Tasks[[#This Row],[_AlapShift]],WorkWeek,Holidays)))</f>
        <v/>
      </c>
      <c r="FH150" s="91" t="str">
        <f aca="false">IF(NOT(Tasks[[#This Row],[_IsLeaf]]=1),"",IF(Tasks[[#This Row],[_AlapShift]]=0,Tasks[[#This Row],[_LeafCalcFinish]],WORKDAY.INTL(Tasks[[#This Row],[_LeafCalcFinish]],Tasks[[#This Row],[_AlapShift]],WorkWeek,Holidays)))</f>
        <v/>
      </c>
      <c r="FI150" s="91" t="str">
        <f aca="false">IF(NOT(Tasks[[#This Row],[_IsLeaf]]=1),"",IF(Tasks[[#This Row],[_AlapShift]]=0,Tasks[[#This Row],[_LeafFcstStart]],WORKDAY.INTL(Tasks[[#This Row],[_LeafFcstStart]],Tasks[[#This Row],[_AlapShift]],WorkWeek,Holidays)))</f>
        <v/>
      </c>
      <c r="FJ150" s="91" t="str">
        <f aca="false">IF(NOT(Tasks[[#This Row],[_IsLeaf]]=1),"",IF(Tasks[[#This Row],[_AlapShift]]=0,Tasks[[#This Row],[_LeafFcstFinish]],WORKDAY.INTL(Tasks[[#This Row],[_LeafFcstFinish]],Tasks[[#This Row],[_AlapShift]],WorkWeek,Holidays)))</f>
        <v/>
      </c>
      <c r="FK150" s="91" t="str">
        <f aca="false">IF(Tasks[[#This Row],[Task Name]]="","",IF(Tasks[[#This Row],[_IsSummary]],MIN(INDEX(Tasks[_ShownCalcStart],Tasks[[#This Row],[_Row]]+1):INDEX(Tasks[_ShownCalcStart],Tasks[[#This Row],[_Row]]+Tasks[[#This Row],[_Descendants]])),Tasks[[#This Row],[_ShownCalcStart]]))</f>
        <v/>
      </c>
      <c r="FL150" s="91" t="str">
        <f aca="false">IF(Tasks[[#This Row],[Task Name]]="","",IF(Tasks[[#This Row],[_IsSummary]],MAX(INDEX(Tasks[_ShownCalcFinish],Tasks[[#This Row],[_Row]]+1):INDEX(Tasks[_ShownCalcFinish],Tasks[[#This Row],[_Row]]+Tasks[[#This Row],[_Descendants]])),Tasks[[#This Row],[_ShownCalcFinish]]))</f>
        <v/>
      </c>
      <c r="FM15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0" s="43" t="n">
        <f aca="false">IF(AND(Tasks[[#This Row],[_IsLeaf]]=1,Tasks[[#This Row],[_LeafTotalWork]]&gt;0),NETWORKDAYS.INTL(ProjectStart,Tasks[[#This Row],[_ShownFcstStart]],WorkWeek,Holidays),0)</f>
        <v>0</v>
      </c>
      <c r="FZ150" s="43" t="n">
        <f aca="false">IF(AND(Tasks[[#This Row],[_IsLeaf]]=1,Tasks[[#This Row],[_LeafTotalWork]]&gt;0),MAX(Tasks[[#This Row],[_StartWorkday]],NETWORKDAYS.INTL(ProjectStart,Tasks[[#This Row],[_ShownFcstFinish]],WorkWeek,Holidays)),0)</f>
        <v>0</v>
      </c>
      <c r="GA150" s="43" t="n">
        <f aca="false">IF(AND(Tasks[[#This Row],[_IsLeaf]]=1,Tasks[[#This Row],[_LeafTotalWork]]&gt;0),Tasks[[#This Row],[_LeafWork]]/(Tasks[[#This Row],[_FinishWorkday]]-Tasks[[#This Row],[_StartWorkday]]+1),0)</f>
        <v>0</v>
      </c>
      <c r="GB150" s="43" t="n">
        <f aca="false">Tasks[[#This Row],[_WorkPerWorkday]]*(Tasks[[#This Row],[_StartWorkday]]-1)</f>
        <v>-0</v>
      </c>
      <c r="GC150" s="43" t="n">
        <f aca="false">IF(Tasks[[#This Row],[_IsLeaf]]=1,MAX(N(Tasks[[#This Row],[_Days]]),0.1),0)</f>
        <v>0</v>
      </c>
      <c r="GD150" s="43" t="n">
        <f aca="false">Tasks[[#This Row],[_WeightDur]]*Tasks[[#This Row],[_LeafProgress]]</f>
        <v>0</v>
      </c>
      <c r="GE150" s="43" t="n">
        <f aca="false">Tasks[[#This Row],[_WeightDur]]*Tasks[[#This Row],[_PlannedPct]]</f>
        <v>0</v>
      </c>
      <c r="GF15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0" s="43" t="str">
        <f aca="false">IF(AND(Tasks[[#This Row],[_IsLeaf]]=1,N(Tasks[[#This Row],[_Days]])=0,Tasks[[#This Row],[_LeafProgress]]&lt;1),Tasks[[#This Row],[_ShownFcstFinish]]+Tasks[[#This Row],[_Row]]/100000,"")</f>
        <v/>
      </c>
      <c r="GH15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0" s="43" t="str">
        <f aca="false">IF(Tasks[[#This Row],[Task Name]]="","",LEFT(Tasks[[#This Row],[WBS]],FIND(".",Tasks[[#This Row],[WBS]]&amp;".")-1))</f>
        <v/>
      </c>
      <c r="GJ150" s="43" t="str">
        <f aca="false">IF(AND(Tasks[[#This Row],[Task Name]]&lt;&gt;"",Tasks[[#This Row],[_Level]]=1),Tasks[[#This Row],[_Row]],"")</f>
        <v/>
      </c>
      <c r="GK150" s="43" t="str">
        <f aca="false">IF(AND(Tasks[[#This Row],[_IsLeaf]]=1,N(Tasks[[#This Row],[_Days]])=0),Tasks[[#This Row],[Planned Finish]]+Tasks[[#This Row],[_Row]]/100000,"")</f>
        <v/>
      </c>
      <c r="GL150" s="43" t="str">
        <f aca="false">IF(AND(Tasks[[#This Row],[_IsLeaf]]=1,Tasks[[#This Row],[_LeafProgress]]&lt;1,OR(N(Tasks[[#This Row],[Finish Var]])&gt;0,Tasks[[#This Row],[Status]]="Late Start")),MAX(0,Tasks[[#This Row],[Finish Var]])+1-Tasks[[#This Row],[_Row]]/1000000,"")</f>
        <v/>
      </c>
      <c r="GM150" s="43" t="str">
        <f aca="false">IF(AND(Tasks[[#This Row],[_IsLeaf]]=1,N(Tasks[[#This Row],[Actual Start]])=0,Tasks[[#This Row],[_ShownFcstStart]]&gt;=StatusDate,Tasks[[#This Row],[_ShownFcstStart]]&lt;=LookaheadEnd),Tasks[[#This Row],[_ShownFcstStart]]+Tasks[[#This Row],[_Row]]/100000,"")</f>
        <v/>
      </c>
      <c r="GN150" s="43" t="str">
        <f aca="false">IF(AND(Tasks[[#This Row],[_IsLeaf]]=1,Tasks[[#This Row],[_LeafProgress]]&lt;1,Tasks[[#This Row],[_ShownFcstFinish]]&gt;=StatusDate,Tasks[[#This Row],[_ShownFcstFinish]]&lt;=LookaheadEnd),Tasks[[#This Row],[_ShownFcstFinish]]+Tasks[[#This Row],[_Row]]/100000,"")</f>
        <v/>
      </c>
      <c r="GO150" s="43" t="str">
        <f aca="false">IF(Tasks[[#This Row],[_LeafCritical]],Tasks[[#This Row],[_ShownFcstStart]]+Tasks[[#This Row],[_Row]]/100000,"")</f>
        <v/>
      </c>
      <c r="GP150" s="43" t="n">
        <f aca="false">Tasks[[#This Row],[_LeafWork]]*Tasks[[#This Row],[_LeafProgress]]</f>
        <v>0</v>
      </c>
      <c r="GQ150" s="91" t="str">
        <f aca="false">IF(AND(Tasks[[#This Row],[_IsLeaf]]=1,Tasks[[#This Row],[_LeafProgress]]&gt;=1),IF(N(Tasks[[#This Row],[Actual Finish]])&gt;0,Tasks[[#This Row],[Actual Finish]],Tasks[[#This Row],[_ShownFcstFinish]]),"")</f>
        <v/>
      </c>
      <c r="GR150" s="43" t="n">
        <f aca="false">IF(Tasks[[#This Row],[_IsLeaf]]=1,N(Tasks[[#This Row],[Story Points]]),0)</f>
        <v>0</v>
      </c>
      <c r="GS150" s="43" t="str">
        <f aca="false">""</f>
        <v/>
      </c>
      <c r="GT150" s="90" t="b">
        <f aca="false">IF(Tasks[[#This Row],[Task Name]]="",FALSE(),AND(Tasks[[#This Row],[_IsLeaf]]=1,N(Tasks[[#This Row],[_Days]])=0))</f>
        <v>0</v>
      </c>
      <c r="GU150" s="91" t="n">
        <f aca="false">IF(Tasks[[#This Row],[Task Name]]="",0,IF(AND(Tasks[[#This Row],[_IsLeaf]]=1,NOT(Tasks[[#This Row],[_IsMilestone]]),N(Tasks[[#This Row],[Progress]])&gt;0),Tasks[[#This Row],[Start]],0))</f>
        <v>0</v>
      </c>
      <c r="GV150" s="91" t="n">
        <f aca="false">IF(Tasks[[#This Row],[_DoneFrom]]=0,0,IF(Tasks[[#This Row],[Progress]]&gt;=1,Tasks[[#This Row],[Finish]],MAX(Tasks[[#This Row],[_DoneFrom]],Tasks[[#This Row],[Start]]+ROUND((Tasks[[#This Row],[Finish]]-Tasks[[#This Row],[Start]]+1)*Tasks[[#This Row],[Progress]],0)-1)))</f>
        <v>0</v>
      </c>
      <c r="GW150" s="91" t="n">
        <f aca="false">IF(Tasks[[#This Row],[Task Name]]="",0,IF(OR(NOT(Tasks[[#This Row],[_IsLeaf]]=1),Tasks[[#This Row],[_IsMilestone]],N(Tasks[[#This Row],[Progress]])&gt;=1),0,IF(Tasks[[#This Row],[_DoneTo]]&gt;0,Tasks[[#This Row],[_DoneTo]]+1,Tasks[[#This Row],[Start]])))</f>
        <v>0</v>
      </c>
      <c r="GX150" s="91" t="n">
        <f aca="false">IF(Tasks[[#This Row],[_RemFrom]]=0,0,Tasks[[#This Row],[Finish]])</f>
        <v>0</v>
      </c>
      <c r="GY150" s="90" t="b">
        <f aca="false">IF(Tasks[[#This Row],[Task Name]]="",FALSE(),OR(NOT(BaselineSet),N(Tasks[[#This Row],[Baseline Start]])&gt;0))</f>
        <v>0</v>
      </c>
      <c r="GZ15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0" s="92" t="str">
        <f aca="false">IF(Tasks[[#This Row],[_IsLeaf]]=1,Tasks[[#This Row],[_Row]],"")</f>
        <v/>
      </c>
      <c r="HD150" s="92" t="str">
        <f aca="false">IFERROR(INDEX(Tasks[UID],SMALL(Tasks[_PickKey],Tasks[[#This Row],[_Row]]))&amp;" "&amp;INDEX(Tasks[Task Name],SMALL(Tasks[_PickKey],Tasks[[#This Row],[_Row]])),"")</f>
        <v/>
      </c>
      <c r="HE150" s="43" t="str">
        <f aca="false">IF(Tasks[[#This Row],[Task Name]]="","",IF(Tasks[[#This Row],[_IsSummary]],NETWORKDAYS.INTL(Tasks[[#This Row],[Start]],Tasks[[#This Row],[Finish]],WorkWeek,Holidays),N(Tasks[[#This Row],[_Days]])))</f>
        <v/>
      </c>
      <c r="HF150" s="43" t="n">
        <f aca="false">IF(Tasks[[#This Row],[Expected]]="",0,((Tasks[[#This Row],[Pessimistic]]-Tasks[[#This Row],[Optimistic]])/6)^2)</f>
        <v>0</v>
      </c>
      <c r="HG150" s="43" t="n">
        <f aca="false">IF(Tasks[[#This Row],[Expected]]="",0,Tasks[[#This Row],[Expected]]-N(Tasks[[#This Row],[_Days]]))</f>
        <v>0</v>
      </c>
    </row>
    <row r="151" customFormat="false" ht="15" hidden="false" customHeight="false" outlineLevel="0" collapsed="false">
      <c r="A151" s="21" t="str">
        <f aca="false">IF(Tasks[[#This Row],[Task Name]]="","",COUNTA(Tasks[[#Headers],[Task Name]]:Tasks[[#This Row],[Task Name]])-1)</f>
        <v/>
      </c>
      <c r="B151" s="22" t="n">
        <v>159</v>
      </c>
      <c r="C151" s="22"/>
      <c r="D151" s="23"/>
      <c r="E151" s="22"/>
      <c r="F151" s="23"/>
      <c r="G151" s="22"/>
      <c r="H151" s="22"/>
      <c r="I151" s="23"/>
      <c r="J151" s="22"/>
      <c r="K151" s="22"/>
      <c r="L151" s="23"/>
      <c r="M151" s="22"/>
      <c r="N151" s="22"/>
      <c r="O151" s="23"/>
      <c r="P151" s="22"/>
      <c r="Q151" s="22"/>
      <c r="R151" s="23"/>
      <c r="S151" s="23"/>
      <c r="T151" s="84"/>
      <c r="U151" s="23"/>
      <c r="V151" s="84"/>
      <c r="W151" s="23"/>
      <c r="X151" s="84"/>
      <c r="Y151" s="23"/>
      <c r="Z151" s="84"/>
      <c r="AA151" s="23"/>
      <c r="AB151" s="23"/>
      <c r="AC151" s="7"/>
      <c r="AD151" s="7"/>
      <c r="AE151" s="63" t="str">
        <f aca="false">IF(Tasks[[#This Row],[Task Name]]="","",IF(Tasks[[#This Row],[_IsSummary]],MIN(INDEX(Tasks[_ShownFcstStart],Tasks[[#This Row],[_Row]]+1):INDEX(Tasks[_ShownFcstStart],Tasks[[#This Row],[_Row]]+Tasks[[#This Row],[_Descendants]])),Tasks[[#This Row],[_ShownFcstStart]]))</f>
        <v/>
      </c>
      <c r="AF151" s="63" t="str">
        <f aca="false">IF(Tasks[[#This Row],[Task Name]]="","",IF(Tasks[[#This Row],[_IsSummary]],MAX(INDEX(Tasks[_ShownFcstFinish],Tasks[[#This Row],[_Row]]+1):INDEX(Tasks[_ShownFcstFinish],Tasks[[#This Row],[_Row]]+Tasks[[#This Row],[_Descendants]])),Tasks[[#This Row],[_ShownFcstFinish]]))</f>
        <v/>
      </c>
      <c r="AG151" s="21" t="str">
        <f aca="false">""</f>
        <v/>
      </c>
      <c r="AH151" s="23"/>
      <c r="AI1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1" s="7"/>
      <c r="AK151" s="22"/>
      <c r="AL151" s="23"/>
      <c r="AM151" s="7"/>
      <c r="AN151" s="47" t="str">
        <f aca="false">IF(Tasks[[#This Row],[Task Name]]="","",IF(Tasks[[#This Row],[Finish]]&gt;=Tasks[[#This Row],[Planned Finish]],NETWORKDAYS.INTL(Tasks[[#This Row],[Planned Finish]],Tasks[[#This Row],[Finish]],WorkWeek,Holidays)-1,1-NETWORKDAYS.INTL(Tasks[[#This Row],[Finish]],Tasks[[#This Row],[Planned Finish]],WorkWeek,Holidays)))</f>
        <v/>
      </c>
      <c r="AO151" s="21" t="str">
        <f aca="false">IF(Tasks[[#This Row],[Task Name]]="","",IF(Tasks[[#This Row],[Progress]]&gt;=1,"Complete",IF(OR(N(Tasks[[#This Row],[Actual Start]])&gt;0,Tasks[[#This Row],[Progress]]&gt;0),IF(Tasks[[#This Row],[Finish Var]]&gt;0,"Behind","In Progress"),IF(Tasks[[#This Row],[Planned Start]]&lt;StatusDate,"Late Start","Not Started"))))</f>
        <v/>
      </c>
      <c r="AP151" s="21" t="str">
        <f aca="false">IF(Tasks[[#This Row],[Task Name]]="","",IF(IF(Tasks[[#This Row],[_IsSummary]],COUNTIF(INDEX(Tasks[_LeafCritical],Tasks[[#This Row],[_Row]]+1):INDEX(Tasks[_LeafCritical],Tasks[[#This Row],[_Row]]+Tasks[[#This Row],[_Descendants]]),TRUE())&gt;0,Tasks[[#This Row],[_LeafCritical]]),"Yes",""))</f>
        <v/>
      </c>
      <c r="AQ151" s="63" t="str">
        <f aca="false">IF(Tasks[[#This Row],[Task Name]]="","",IF(N(Tasks[[#This Row],[Baseline Start]])&gt;0,Tasks[[#This Row],[Baseline Start]],Tasks[[#This Row],[_CalcStart]]))</f>
        <v/>
      </c>
      <c r="AR151" s="63" t="str">
        <f aca="false">IF(Tasks[[#This Row],[Task Name]]="","",IF(N(Tasks[[#This Row],[Baseline Finish]])&gt;0,Tasks[[#This Row],[Baseline Finish]],Tasks[[#This Row],[_CalcFinish]]))</f>
        <v/>
      </c>
      <c r="AS151" s="47" t="str">
        <f aca="false">IF(Tasks[[#This Row],[Task Name]]="","",IF(Tasks[[#This Row],[Start]]&gt;=Tasks[[#This Row],[Planned Start]],NETWORKDAYS.INTL(Tasks[[#This Row],[Planned Start]],Tasks[[#This Row],[Start]],WorkWeek,Holidays)-1,1-NETWORKDAYS.INTL(Tasks[[#This Row],[Start]],Tasks[[#This Row],[Planned Start]],WorkWeek,Holidays)))</f>
        <v/>
      </c>
      <c r="AT151" s="63" t="str">
        <f aca="false">IF(Tasks[[#This Row],[Task Name]]="","",IF(Tasks[[#This Row],[_IsSummary]],MIN(INDEX(Tasks[_LeafLateStart],Tasks[[#This Row],[_Row]]+1):INDEX(Tasks[_LeafLateStart],Tasks[[#This Row],[_Row]]+Tasks[[#This Row],[_Descendants]])),Tasks[[#This Row],[_LeafLateStart]]))</f>
        <v/>
      </c>
      <c r="AU151" s="63" t="str">
        <f aca="false">IF(Tasks[[#This Row],[Task Name]]="","",IF(Tasks[[#This Row],[_IsSummary]],MAX(INDEX(Tasks[_LeafLateFinish],Tasks[[#This Row],[_Row]]+1):INDEX(Tasks[_LeafLateFinish],Tasks[[#This Row],[_Row]]+Tasks[[#This Row],[_Descendants]])),Tasks[[#This Row],[_LeafLateFinish]]))</f>
        <v/>
      </c>
      <c r="AV151" s="47" t="str">
        <f aca="false">IF(Tasks[[#This Row],[Task Name]]="","",IF(Tasks[[#This Row],[_IsSummary]],MIN(INDEX(Tasks[_LeafTotalSlack],Tasks[[#This Row],[_Row]]+1):INDEX(Tasks[_LeafTotalSlack],Tasks[[#This Row],[_Row]]+Tasks[[#This Row],[_Descendants]])),Tasks[[#This Row],[_LeafTotalSlack]]))</f>
        <v/>
      </c>
      <c r="AW1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5"/>
      <c r="BA15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1" t="str">
        <f aca="false">IF(Tasks[[#This Row],[Task Name]]="","",IF(Tasks[[#This Row],[_Level]]&lt;=OutlineShowLevel,"Yes","No"))</f>
        <v/>
      </c>
      <c r="BE151" s="86" t="str">
        <f aca="false">IF(Tasks[[#This Row],[Task Name]]="","",IF(Tasks[[#This Row],[_IsSummary]],SUM(INDEX(Tasks[_LeafTotalWork],Tasks[[#This Row],[_Row]]+1):INDEX(Tasks[_LeafTotalWork],Tasks[[#This Row],[_Row]]+Tasks[[#This Row],[_Descendants]])),Tasks[[#This Row],[_LeafTotalWork]]))</f>
        <v/>
      </c>
      <c r="BF151" s="23"/>
      <c r="BG1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1" s="21" t="str">
        <f aca="false">""</f>
        <v/>
      </c>
      <c r="BI151" s="87"/>
      <c r="BJ151" s="22"/>
      <c r="BK151" s="47" t="str">
        <f aca="false">IF(OR(Tasks[[#This Row],[Task Name]]="",Tasks[[#This Row],[Baseline Duration]]=""),"",Tasks[[#This Row],[_SpanDays]]-N(Tasks[[#This Row],[Baseline Duration]]))</f>
        <v/>
      </c>
      <c r="BL151" s="86" t="str">
        <f aca="false">IF(OR(Tasks[[#This Row],[Task Name]]="",Tasks[[#This Row],[Baseline Work]]=""),"",Tasks[[#This Row],[Work]]-N(Tasks[[#This Row],[Baseline Work]]))</f>
        <v/>
      </c>
      <c r="BM151" s="63" t="str">
        <f aca="false">IF(Tasks[[#This Row],[Task Name]]="","",IF(OR(TakeBaseline="Yes",N(Tasks[[#This Row],[Baseline Start]])=0),Tasks[[#This Row],[Start]],Tasks[[#This Row],[Baseline Start]]))</f>
        <v/>
      </c>
      <c r="BN151" s="63" t="str">
        <f aca="false">IF(Tasks[[#This Row],[Task Name]]="","",IF(OR(TakeBaseline="Yes",N(Tasks[[#This Row],[Baseline Finish]])=0),Tasks[[#This Row],[Finish]],Tasks[[#This Row],[Baseline Finish]]))</f>
        <v/>
      </c>
      <c r="BO151" s="21" t="str">
        <f aca="false">IF(Tasks[[#This Row],[Task Name]]="","",IF(OR(TakeBaseline="Yes",N(Tasks[[#This Row],[Baseline Duration]])=0),Tasks[[#This Row],[_SpanDays]],Tasks[[#This Row],[Baseline Duration]]))</f>
        <v/>
      </c>
      <c r="BP151" s="86" t="str">
        <f aca="false">IF(Tasks[[#This Row],[Task Name]]="","",IF(OR(TakeBaseline="Yes",N(Tasks[[#This Row],[Baseline Work]])=0),Tasks[[#This Row],[Work]],Tasks[[#This Row],[Baseline Work]]))</f>
        <v/>
      </c>
      <c r="BQ151" s="7"/>
      <c r="BR151" s="7"/>
      <c r="BS151" s="22"/>
      <c r="BT151" s="88"/>
      <c r="BU151" s="23"/>
      <c r="BV151" s="23"/>
      <c r="BW151" s="23"/>
      <c r="BX151" s="89" t="str">
        <f aca="false">IF(AND(Tasks[[#This Row],[_IsLeaf]]=1,ISNUMBER(Tasks[[#This Row],[Optimistic]]),ISNUMBER(Tasks[[#This Row],[Pessimistic]])),ROUND((Tasks[[#This Row],[Optimistic]]+4*N(Tasks[[#This Row],[_Days]])+Tasks[[#This Row],[Pessimistic]])/6,1),"")</f>
        <v/>
      </c>
      <c r="BY151" s="87"/>
      <c r="BZ151" s="87"/>
      <c r="CA151" s="22"/>
      <c r="CB151" s="43" t="str">
        <f aca="false">IF(Tasks[[#This Row],[Task Name]]="","",MAX(1,N(Tasks[[#This Row],[Level]])))</f>
        <v/>
      </c>
      <c r="CC151" s="43" t="n">
        <f aca="false">ROW()-ROW(Tasks[[#Headers],[ID]])</f>
        <v>146</v>
      </c>
      <c r="CD151" s="43" t="n">
        <f aca="false">IF(OR(Tasks[[#This Row],[Task Name]]="",Tasks[[#This Row],[_Level]]&lt;=1),0,IFERROR(LOOKUP(2,1/(Tasks[[#Headers],[_Level]]:Tasks[[#This Row],[_Level]]=Tasks[[#This Row],[_Level]]-1),ROW(Tasks[[#Headers],[_Level]]:Tasks[[#This Row],[_Level]])),0))</f>
        <v>0</v>
      </c>
      <c r="CE151" s="43" t="n">
        <f aca="false">IFERROR(N(INDEX(Tasks[_Level],Tasks[[#This Row],[_Row]]+1)),0)</f>
        <v>0</v>
      </c>
      <c r="CF151" s="90" t="b">
        <f aca="false">AND(Tasks[[#This Row],[Task Name]]&lt;&gt;"",Tasks[[#This Row],[_NextLevel]]&gt;Tasks[[#This Row],[_Level]])</f>
        <v>0</v>
      </c>
      <c r="CG151" s="43" t="n">
        <f aca="false">IF(Tasks[[#This Row],[_IsSummary]],COUNTIF(Tasks[WBS],Tasks[[#This Row],[WBS]]&amp;".*"),0)</f>
        <v>0</v>
      </c>
      <c r="CH151" s="43" t="n">
        <f aca="false">IF(AND(Tasks[[#This Row],[Task Name]]&lt;&gt;"",NOT(Tasks[[#This Row],[_IsSummary]])),1,0)</f>
        <v>0</v>
      </c>
      <c r="CI151" s="43" t="n">
        <f aca="false">IF(N(Tasks[[#This Row],[_Pred1UID]])=0,0,IFERROR(MATCH(Tasks[[#This Row],[_Pred1UID]],Tasks[UID],0),-1))</f>
        <v>0</v>
      </c>
      <c r="CJ151" s="43" t="n">
        <f aca="false">IF(N(Tasks[[#This Row],[_Pred2UID]])=0,0,IFERROR(MATCH(Tasks[[#This Row],[_Pred2UID]],Tasks[UID],0),-1))</f>
        <v>0</v>
      </c>
      <c r="CK151" s="43" t="n">
        <f aca="false">IF(N(Tasks[[#This Row],[_Pred3UID]])=0,0,IFERROR(MATCH(Tasks[[#This Row],[_Pred3UID]],Tasks[UID],0),-1))</f>
        <v>0</v>
      </c>
      <c r="CL151" s="43" t="n">
        <f aca="false">IF(N(Tasks[[#This Row],[_Pred4UID]])=0,0,IFERROR(MATCH(Tasks[[#This Row],[_Pred4UID]],Tasks[UID],0),-1))</f>
        <v>0</v>
      </c>
      <c r="CM15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1" s="91" t="n">
        <f aca="false">IF(OR(Tasks[[#This Row],[_ConstraintCode]]=2,Tasks[[#This Row],[_ConstraintCode]]=3,Tasks[[#This Row],[_ConstraintCode]]=4,Tasks[[#This Row],[_ConstraintCode]]=6),Tasks[[#This Row],[_ConstraintStart]],0)</f>
        <v>0</v>
      </c>
      <c r="CP151" s="91" t="n">
        <f aca="false">IF(OR(Tasks[[#This Row],[_ConstraintCode]]=2,Tasks[[#This Row],[_ConstraintCode]]=3,Tasks[[#This Row],[_ConstraintCode]]=5,Tasks[[#This Row],[_ConstraintCode]]=7),Tasks[[#This Row],[_ConstraintStart]],2958465)</f>
        <v>2958465</v>
      </c>
      <c r="CQ15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1" s="91" t="str">
        <f aca="false">IF(NOT(Tasks[[#This Row],[_IsLeaf]]=1),"",IF(N(Tasks[[#This Row],[_Days]])&lt;=0,Tasks[[#This Row],[_LeafCalcStart]],WORKDAY.INTL(Tasks[[#This Row],[_LeafCalcStart]],Tasks[[#This Row],[_Days]]-1,WorkWeek,Holidays)))</f>
        <v/>
      </c>
      <c r="CS15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1" s="43" t="str">
        <f aca="false">IF(Tasks[[#This Row],[_Predecessors]]="","",TRIM(MID(SUBSTITUTE(SUBSTITUTE(SUBSTITUTE(UPPER(Tasks[[#This Row],[_Predecessors]]),";",",")," ",""),",",REPT(" ",99)),1,99)))</f>
        <v/>
      </c>
      <c r="CV151" s="43" t="str">
        <f aca="false">IF(Tasks[[#This Row],[_Pred1Text]]="","",IFERROR(VALUE(LEFT(Tasks[[#This Row],[_Pred1Text]],MIN(FIND("F",Tasks[[#This Row],[_Pred1Text]]&amp;"F"),FIND("S",Tasks[[#This Row],[_Pred1Text]]&amp;"S"),FIND("+",Tasks[[#This Row],[_Pred1Text]]&amp;"+"),FIND("-",Tasks[[#This Row],[_Pred1Text]]&amp;"-"))-1)),""))</f>
        <v/>
      </c>
      <c r="CW15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1" s="43" t="str">
        <f aca="false">IF(Tasks[[#This Row],[_Pred1Text]]="","",TRIM(MID(SUBSTITUTE(SUBSTITUTE(SUBSTITUTE(UPPER(Tasks[[#This Row],[_Predecessors]]),";",",")," ",""),",",REPT(" ",99)),100,99)))</f>
        <v/>
      </c>
      <c r="CZ151" s="43" t="str">
        <f aca="false">IF(Tasks[[#This Row],[_Pred2Text]]="","",IFERROR(VALUE(LEFT(Tasks[[#This Row],[_Pred2Text]],MIN(FIND("F",Tasks[[#This Row],[_Pred2Text]]&amp;"F"),FIND("S",Tasks[[#This Row],[_Pred2Text]]&amp;"S"),FIND("+",Tasks[[#This Row],[_Pred2Text]]&amp;"+"),FIND("-",Tasks[[#This Row],[_Pred2Text]]&amp;"-"))-1)),""))</f>
        <v/>
      </c>
      <c r="DA15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1" s="43" t="str">
        <f aca="false">IF(Tasks[[#This Row],[_Pred2Text]]="","",TRIM(MID(SUBSTITUTE(SUBSTITUTE(SUBSTITUTE(UPPER(Tasks[[#This Row],[_Predecessors]]),";",",")," ",""),",",REPT(" ",99)),199,99)))</f>
        <v/>
      </c>
      <c r="DD151" s="43" t="str">
        <f aca="false">IF(Tasks[[#This Row],[_Pred3Text]]="","",IFERROR(VALUE(LEFT(Tasks[[#This Row],[_Pred3Text]],MIN(FIND("F",Tasks[[#This Row],[_Pred3Text]]&amp;"F"),FIND("S",Tasks[[#This Row],[_Pred3Text]]&amp;"S"),FIND("+",Tasks[[#This Row],[_Pred3Text]]&amp;"+"),FIND("-",Tasks[[#This Row],[_Pred3Text]]&amp;"-"))-1)),""))</f>
        <v/>
      </c>
      <c r="DE15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1" s="43" t="str">
        <f aca="false">IF(Tasks[[#This Row],[_Pred3Text]]="","",TRIM(MID(SUBSTITUTE(SUBSTITUTE(SUBSTITUTE(UPPER(Tasks[[#This Row],[_Predecessors]]),";",",")," ",""),",",REPT(" ",99)),298,99)))</f>
        <v/>
      </c>
      <c r="DH151" s="43" t="str">
        <f aca="false">IF(Tasks[[#This Row],[_Pred4Text]]="","",IFERROR(VALUE(LEFT(Tasks[[#This Row],[_Pred4Text]],MIN(FIND("F",Tasks[[#This Row],[_Pred4Text]]&amp;"F"),FIND("S",Tasks[[#This Row],[_Pred4Text]]&amp;"S"),FIND("+",Tasks[[#This Row],[_Pred4Text]]&amp;"+"),FIND("-",Tasks[[#This Row],[_Pred4Text]]&amp;"-"))-1)),""))</f>
        <v/>
      </c>
      <c r="DI15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1" s="43" t="str">
        <f aca="false">IF(OR(Tasks[[#This Row],[Task Name]]="",Tasks[[#This Row],[_Resources]]=""),"",TRIM(MID(SUBSTITUTE(Tasks[[#This Row],[_Resources]],",",REPT(" ",99)),1,99)))</f>
        <v/>
      </c>
      <c r="DL151" s="43" t="str">
        <f aca="false">IF(Tasks[[#This Row],[_Res1Text]]="","",TRIM(MID(SUBSTITUTE(Tasks[[#This Row],[_Resources]],",",REPT(" ",99)),100,99)))</f>
        <v/>
      </c>
      <c r="DM151" s="43" t="str">
        <f aca="false">IF(Tasks[[#This Row],[_Res2Text]]="","",TRIM(MID(SUBSTITUTE(Tasks[[#This Row],[_Resources]],",",REPT(" ",99)),199,99)))</f>
        <v/>
      </c>
      <c r="DN151" s="43" t="str">
        <f aca="false">IF(Tasks[[#This Row],[_Res3Text]]="","",TRIM(MID(SUBSTITUTE(Tasks[[#This Row],[_Resources]],",",REPT(" ",99)),298,99)))</f>
        <v/>
      </c>
      <c r="DO151" s="43" t="n">
        <f aca="false">IF(Tasks[[#This Row],[_Res1Text]]="",0,IFERROR(MATCH(TRIM(LEFT(Tasks[[#This Row],[_Res1Text]],FIND("[",Tasks[[#This Row],[_Res1Text]]&amp;"[")-1)),res_Name,0),IFERROR(MATCH(TRIM(LEFT(Tasks[[#This Row],[_Res1Text]],FIND("[",Tasks[[#This Row],[_Res1Text]]&amp;"[")-1)),res_Initials,0),0)))</f>
        <v>0</v>
      </c>
      <c r="DP151" s="43" t="n">
        <f aca="false">IF(Tasks[[#This Row],[_Res2Text]]="",0,IFERROR(MATCH(TRIM(LEFT(Tasks[[#This Row],[_Res2Text]],FIND("[",Tasks[[#This Row],[_Res2Text]]&amp;"[")-1)),res_Name,0),IFERROR(MATCH(TRIM(LEFT(Tasks[[#This Row],[_Res2Text]],FIND("[",Tasks[[#This Row],[_Res2Text]]&amp;"[")-1)),res_Initials,0),0)))</f>
        <v>0</v>
      </c>
      <c r="DQ151" s="43" t="n">
        <f aca="false">IF(Tasks[[#This Row],[_Res3Text]]="",0,IFERROR(MATCH(TRIM(LEFT(Tasks[[#This Row],[_Res3Text]],FIND("[",Tasks[[#This Row],[_Res3Text]]&amp;"[")-1)),res_Name,0),IFERROR(MATCH(TRIM(LEFT(Tasks[[#This Row],[_Res3Text]],FIND("[",Tasks[[#This Row],[_Res3Text]]&amp;"[")-1)),res_Initials,0),0)))</f>
        <v>0</v>
      </c>
      <c r="DR151" s="43" t="n">
        <f aca="false">IF(Tasks[[#This Row],[_Res4Text]]="",0,IFERROR(MATCH(TRIM(LEFT(Tasks[[#This Row],[_Res4Text]],FIND("[",Tasks[[#This Row],[_Res4Text]]&amp;"[")-1)),res_Name,0),IFERROR(MATCH(TRIM(LEFT(Tasks[[#This Row],[_Res4Text]],FIND("[",Tasks[[#This Row],[_Res4Text]]&amp;"[")-1)),res_Initials,0),0)))</f>
        <v>0</v>
      </c>
      <c r="DS151" s="43" t="str">
        <f aca="false">IF(Tasks[[#This Row],[_Res1Text]]="","",IF(Tasks[[#This Row],[_Res1Row]]&gt;0,INDEX(res_Name,Tasks[[#This Row],[_Res1Row]]),TRIM(LEFT(Tasks[[#This Row],[_Res1Text]],FIND("[",Tasks[[#This Row],[_Res1Text]]&amp;"[")-1))))</f>
        <v/>
      </c>
      <c r="DT15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1" s="43" t="n">
        <f aca="false">IF(NOT(Tasks[[#This Row],[_IsLeaf]]=1),0,(Tasks[[#This Row],[_Resource1]]&lt;&gt;"")+(Tasks[[#This Row],[_Res2]]&lt;&gt;"")+(Tasks[[#This Row],[_Res3]]&lt;&gt;"")+(Tasks[[#This Row],[_Res4]]&lt;&gt;""))</f>
        <v>0</v>
      </c>
      <c r="DV151" s="43" t="str">
        <f aca="false">IF(Tasks[[#This Row],[_Res2Text]]="","",IF(Tasks[[#This Row],[_Res2Row]]&gt;0,INDEX(res_Name,Tasks[[#This Row],[_Res2Row]]),TRIM(LEFT(Tasks[[#This Row],[_Res2Text]],FIND("[",Tasks[[#This Row],[_Res2Text]]&amp;"[")-1))))</f>
        <v/>
      </c>
      <c r="DW15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1" s="43" t="n">
        <f aca="false">IF(OR(NOT(Tasks[[#This Row],[_IsLeaf]]=1),Tasks[[#This Row],[_Res2Row]]=0),0,N(Tasks[[#This Row],[_Days]])*HoursPerDay*IF(Tasks[[#This Row],[_Res2Units]]="",DefaultUnits,Tasks[[#This Row],[_Res2Units]]))</f>
        <v>0</v>
      </c>
      <c r="DY151" s="43" t="n">
        <f aca="false">IF(AND(AND(Tasks[[#This Row],[_IsLeaf]]=1,Tasks[[#This Row],[_LeafTotalWork]]&gt;0),Tasks[[#This Row],[_Res2Work]]&gt;0),Tasks[[#This Row],[_Res2Work]]/(Tasks[[#This Row],[_FinishWorkday]]-Tasks[[#This Row],[_StartWorkday]]+1),0)</f>
        <v>0</v>
      </c>
      <c r="DZ151" s="43" t="n">
        <f aca="false">Tasks[[#This Row],[_Res2WorkPerWD]]*MAX(0,Tasks[[#This Row],[_StartWorkday]]-1)</f>
        <v>0</v>
      </c>
      <c r="EA151" s="43" t="n">
        <f aca="false">Tasks[[#This Row],[_Res2Work]]*Tasks[[#This Row],[_LeafProgress]]</f>
        <v>0</v>
      </c>
      <c r="EB151" s="43" t="str">
        <f aca="false">IF(Tasks[[#This Row],[_Res3Text]]="","",IF(Tasks[[#This Row],[_Res3Row]]&gt;0,INDEX(res_Name,Tasks[[#This Row],[_Res3Row]]),TRIM(LEFT(Tasks[[#This Row],[_Res3Text]],FIND("[",Tasks[[#This Row],[_Res3Text]]&amp;"[")-1))))</f>
        <v/>
      </c>
      <c r="EC15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1" s="43" t="n">
        <f aca="false">IF(OR(NOT(Tasks[[#This Row],[_IsLeaf]]=1),Tasks[[#This Row],[_Res3Row]]=0),0,N(Tasks[[#This Row],[_Days]])*HoursPerDay*IF(Tasks[[#This Row],[_Res3Units]]="",DefaultUnits,Tasks[[#This Row],[_Res3Units]]))</f>
        <v>0</v>
      </c>
      <c r="EE151" s="43" t="n">
        <f aca="false">IF(AND(AND(Tasks[[#This Row],[_IsLeaf]]=1,Tasks[[#This Row],[_LeafTotalWork]]&gt;0),Tasks[[#This Row],[_Res3Work]]&gt;0),Tasks[[#This Row],[_Res3Work]]/(Tasks[[#This Row],[_FinishWorkday]]-Tasks[[#This Row],[_StartWorkday]]+1),0)</f>
        <v>0</v>
      </c>
      <c r="EF151" s="43" t="n">
        <f aca="false">Tasks[[#This Row],[_Res3WorkPerWD]]*MAX(0,Tasks[[#This Row],[_StartWorkday]]-1)</f>
        <v>0</v>
      </c>
      <c r="EG151" s="43" t="n">
        <f aca="false">Tasks[[#This Row],[_Res3Work]]*Tasks[[#This Row],[_LeafProgress]]</f>
        <v>0</v>
      </c>
      <c r="EH151" s="43" t="str">
        <f aca="false">IF(Tasks[[#This Row],[_Res4Text]]="","",IF(Tasks[[#This Row],[_Res4Row]]&gt;0,INDEX(res_Name,Tasks[[#This Row],[_Res4Row]]),TRIM(LEFT(Tasks[[#This Row],[_Res4Text]],FIND("[",Tasks[[#This Row],[_Res4Text]]&amp;"[")-1))))</f>
        <v/>
      </c>
      <c r="EI15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1" s="43" t="n">
        <f aca="false">IF(OR(NOT(Tasks[[#This Row],[_IsLeaf]]=1),Tasks[[#This Row],[_Res4Row]]=0),0,N(Tasks[[#This Row],[_Days]])*HoursPerDay*IF(Tasks[[#This Row],[_Res4Units]]="",DefaultUnits,Tasks[[#This Row],[_Res4Units]]))</f>
        <v>0</v>
      </c>
      <c r="EK151" s="43" t="n">
        <f aca="false">IF(AND(AND(Tasks[[#This Row],[_IsLeaf]]=1,Tasks[[#This Row],[_LeafTotalWork]]&gt;0),Tasks[[#This Row],[_Res4Work]]&gt;0),Tasks[[#This Row],[_Res4Work]]/(Tasks[[#This Row],[_FinishWorkday]]-Tasks[[#This Row],[_StartWorkday]]+1),0)</f>
        <v>0</v>
      </c>
      <c r="EL151" s="43" t="n">
        <f aca="false">Tasks[[#This Row],[_Res4WorkPerWD]]*MAX(0,Tasks[[#This Row],[_StartWorkday]]-1)</f>
        <v>0</v>
      </c>
      <c r="EM151" s="43" t="n">
        <f aca="false">Tasks[[#This Row],[_Res4Work]]*Tasks[[#This Row],[_LeafProgress]]</f>
        <v>0</v>
      </c>
      <c r="EN151" s="43" t="n">
        <f aca="false">IF(ISNUMBER(Tasks[[#This Row],[% Complete]]),Tasks[[#This Row],[% Complete]],IF(Tasks[[#This Row],[Stage]]="",0,IFERROR(INDEX(stg_Pct,MATCH(Tasks[[#This Row],[Stage]],stg_Name,0)),0)))</f>
        <v>0</v>
      </c>
      <c r="EO151" s="43" t="n">
        <f aca="false">IF(NOT(Tasks[[#This Row],[_IsLeaf]]=1),0,IF(N(Tasks[[#This Row],[Actual Finish]])&gt;0,1,MIN(1,Tasks[[#This Row],[_Pct]])))</f>
        <v>0</v>
      </c>
      <c r="EP151" s="43" t="n">
        <f aca="false">IF(OR(NOT(Tasks[[#This Row],[_IsLeaf]]=1),Tasks[[#This Row],[_Res1Row]]=0),0,N(Tasks[[#This Row],[_Days]])*HoursPerDay*IF(Tasks[[#This Row],[_Units1]]="",DefaultUnits,Tasks[[#This Row],[_Units1]]))</f>
        <v>0</v>
      </c>
      <c r="EQ151" s="43" t="n">
        <f aca="false">Tasks[[#This Row],[_LeafWork]]+Tasks[[#This Row],[_Res2Work]]+Tasks[[#This Row],[_Res3Work]]+Tasks[[#This Row],[_Res4Work]]</f>
        <v>0</v>
      </c>
      <c r="ER15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1" s="43" t="n">
        <f aca="false">IF(NOT(Tasks[[#This Row],[_IsLeaf]]=1),0,MAX(_xlfn.MAXIFS(Tasks[_Row],Tasks[_Pred1UID],Tasks[[#This Row],[UID]]),_xlfn.MAXIFS(Tasks[_Row],Tasks[_Pred2UID],Tasks[[#This Row],[UID]]),_xlfn.MAXIFS(Tasks[_Row],Tasks[_Pred3UID],Tasks[[#This Row],[UID]]),_xlfn.MAXIFS(Tasks[_Row],Tasks[_Pred4UID],Tasks[[#This Row],[UID]])))</f>
        <v>0</v>
      </c>
      <c r="FA15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1" s="91" t="str">
        <f aca="false">IF(NOT(Tasks[[#This Row],[_IsLeaf]]=1),"",IF(N(Tasks[[#This Row],[_Days]])&lt;=0,Tasks[[#This Row],[_LeafLateFinish]],WORKDAY.INTL(Tasks[[#This Row],[_LeafLateFinish]],-(Tasks[[#This Row],[_Days]]-1),WorkWeek,Holidays)))</f>
        <v/>
      </c>
      <c r="FD15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1" s="90" t="b">
        <f aca="false">AND(Tasks[[#This Row],[_IsLeaf]]=1,Tasks[[#This Row],[_LeafProgress]]&lt;1,N(Tasks[[#This Row],[_LeafTotalSlack]])&lt;=CriticalSlackDays)</f>
        <v>0</v>
      </c>
      <c r="FF151" s="43" t="n">
        <f aca="false">IF(AND(Tasks[[#This Row],[_IsLeaf]]=1,Tasks[[#This Row],[_ConstraintCode]]=1,Tasks[[#This Row],[Mode]]&lt;&gt;"Manual",N(Tasks[[#This Row],[Actual Start]])=0),MAX(0,N(Tasks[[#This Row],[Free Slack]])),0)</f>
        <v>0</v>
      </c>
      <c r="FG151" s="91" t="str">
        <f aca="false">IF(NOT(Tasks[[#This Row],[_IsLeaf]]=1),"",IF(Tasks[[#This Row],[_AlapShift]]=0,Tasks[[#This Row],[_LeafCalcStart]],WORKDAY.INTL(Tasks[[#This Row],[_LeafCalcStart]],Tasks[[#This Row],[_AlapShift]],WorkWeek,Holidays)))</f>
        <v/>
      </c>
      <c r="FH151" s="91" t="str">
        <f aca="false">IF(NOT(Tasks[[#This Row],[_IsLeaf]]=1),"",IF(Tasks[[#This Row],[_AlapShift]]=0,Tasks[[#This Row],[_LeafCalcFinish]],WORKDAY.INTL(Tasks[[#This Row],[_LeafCalcFinish]],Tasks[[#This Row],[_AlapShift]],WorkWeek,Holidays)))</f>
        <v/>
      </c>
      <c r="FI151" s="91" t="str">
        <f aca="false">IF(NOT(Tasks[[#This Row],[_IsLeaf]]=1),"",IF(Tasks[[#This Row],[_AlapShift]]=0,Tasks[[#This Row],[_LeafFcstStart]],WORKDAY.INTL(Tasks[[#This Row],[_LeafFcstStart]],Tasks[[#This Row],[_AlapShift]],WorkWeek,Holidays)))</f>
        <v/>
      </c>
      <c r="FJ151" s="91" t="str">
        <f aca="false">IF(NOT(Tasks[[#This Row],[_IsLeaf]]=1),"",IF(Tasks[[#This Row],[_AlapShift]]=0,Tasks[[#This Row],[_LeafFcstFinish]],WORKDAY.INTL(Tasks[[#This Row],[_LeafFcstFinish]],Tasks[[#This Row],[_AlapShift]],WorkWeek,Holidays)))</f>
        <v/>
      </c>
      <c r="FK151" s="91" t="str">
        <f aca="false">IF(Tasks[[#This Row],[Task Name]]="","",IF(Tasks[[#This Row],[_IsSummary]],MIN(INDEX(Tasks[_ShownCalcStart],Tasks[[#This Row],[_Row]]+1):INDEX(Tasks[_ShownCalcStart],Tasks[[#This Row],[_Row]]+Tasks[[#This Row],[_Descendants]])),Tasks[[#This Row],[_ShownCalcStart]]))</f>
        <v/>
      </c>
      <c r="FL151" s="91" t="str">
        <f aca="false">IF(Tasks[[#This Row],[Task Name]]="","",IF(Tasks[[#This Row],[_IsSummary]],MAX(INDEX(Tasks[_ShownCalcFinish],Tasks[[#This Row],[_Row]]+1):INDEX(Tasks[_ShownCalcFinish],Tasks[[#This Row],[_Row]]+Tasks[[#This Row],[_Descendants]])),Tasks[[#This Row],[_ShownCalcFinish]]))</f>
        <v/>
      </c>
      <c r="FM15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1" s="43" t="n">
        <f aca="false">IF(AND(Tasks[[#This Row],[_IsLeaf]]=1,Tasks[[#This Row],[_LeafTotalWork]]&gt;0),NETWORKDAYS.INTL(ProjectStart,Tasks[[#This Row],[_ShownFcstStart]],WorkWeek,Holidays),0)</f>
        <v>0</v>
      </c>
      <c r="FZ151" s="43" t="n">
        <f aca="false">IF(AND(Tasks[[#This Row],[_IsLeaf]]=1,Tasks[[#This Row],[_LeafTotalWork]]&gt;0),MAX(Tasks[[#This Row],[_StartWorkday]],NETWORKDAYS.INTL(ProjectStart,Tasks[[#This Row],[_ShownFcstFinish]],WorkWeek,Holidays)),0)</f>
        <v>0</v>
      </c>
      <c r="GA151" s="43" t="n">
        <f aca="false">IF(AND(Tasks[[#This Row],[_IsLeaf]]=1,Tasks[[#This Row],[_LeafTotalWork]]&gt;0),Tasks[[#This Row],[_LeafWork]]/(Tasks[[#This Row],[_FinishWorkday]]-Tasks[[#This Row],[_StartWorkday]]+1),0)</f>
        <v>0</v>
      </c>
      <c r="GB151" s="43" t="n">
        <f aca="false">Tasks[[#This Row],[_WorkPerWorkday]]*(Tasks[[#This Row],[_StartWorkday]]-1)</f>
        <v>-0</v>
      </c>
      <c r="GC151" s="43" t="n">
        <f aca="false">IF(Tasks[[#This Row],[_IsLeaf]]=1,MAX(N(Tasks[[#This Row],[_Days]]),0.1),0)</f>
        <v>0</v>
      </c>
      <c r="GD151" s="43" t="n">
        <f aca="false">Tasks[[#This Row],[_WeightDur]]*Tasks[[#This Row],[_LeafProgress]]</f>
        <v>0</v>
      </c>
      <c r="GE151" s="43" t="n">
        <f aca="false">Tasks[[#This Row],[_WeightDur]]*Tasks[[#This Row],[_PlannedPct]]</f>
        <v>0</v>
      </c>
      <c r="GF15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1" s="43" t="str">
        <f aca="false">IF(AND(Tasks[[#This Row],[_IsLeaf]]=1,N(Tasks[[#This Row],[_Days]])=0,Tasks[[#This Row],[_LeafProgress]]&lt;1),Tasks[[#This Row],[_ShownFcstFinish]]+Tasks[[#This Row],[_Row]]/100000,"")</f>
        <v/>
      </c>
      <c r="GH15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1" s="43" t="str">
        <f aca="false">IF(Tasks[[#This Row],[Task Name]]="","",LEFT(Tasks[[#This Row],[WBS]],FIND(".",Tasks[[#This Row],[WBS]]&amp;".")-1))</f>
        <v/>
      </c>
      <c r="GJ151" s="43" t="str">
        <f aca="false">IF(AND(Tasks[[#This Row],[Task Name]]&lt;&gt;"",Tasks[[#This Row],[_Level]]=1),Tasks[[#This Row],[_Row]],"")</f>
        <v/>
      </c>
      <c r="GK151" s="43" t="str">
        <f aca="false">IF(AND(Tasks[[#This Row],[_IsLeaf]]=1,N(Tasks[[#This Row],[_Days]])=0),Tasks[[#This Row],[Planned Finish]]+Tasks[[#This Row],[_Row]]/100000,"")</f>
        <v/>
      </c>
      <c r="GL151" s="43" t="str">
        <f aca="false">IF(AND(Tasks[[#This Row],[_IsLeaf]]=1,Tasks[[#This Row],[_LeafProgress]]&lt;1,OR(N(Tasks[[#This Row],[Finish Var]])&gt;0,Tasks[[#This Row],[Status]]="Late Start")),MAX(0,Tasks[[#This Row],[Finish Var]])+1-Tasks[[#This Row],[_Row]]/1000000,"")</f>
        <v/>
      </c>
      <c r="GM151" s="43" t="str">
        <f aca="false">IF(AND(Tasks[[#This Row],[_IsLeaf]]=1,N(Tasks[[#This Row],[Actual Start]])=0,Tasks[[#This Row],[_ShownFcstStart]]&gt;=StatusDate,Tasks[[#This Row],[_ShownFcstStart]]&lt;=LookaheadEnd),Tasks[[#This Row],[_ShownFcstStart]]+Tasks[[#This Row],[_Row]]/100000,"")</f>
        <v/>
      </c>
      <c r="GN151" s="43" t="str">
        <f aca="false">IF(AND(Tasks[[#This Row],[_IsLeaf]]=1,Tasks[[#This Row],[_LeafProgress]]&lt;1,Tasks[[#This Row],[_ShownFcstFinish]]&gt;=StatusDate,Tasks[[#This Row],[_ShownFcstFinish]]&lt;=LookaheadEnd),Tasks[[#This Row],[_ShownFcstFinish]]+Tasks[[#This Row],[_Row]]/100000,"")</f>
        <v/>
      </c>
      <c r="GO151" s="43" t="str">
        <f aca="false">IF(Tasks[[#This Row],[_LeafCritical]],Tasks[[#This Row],[_ShownFcstStart]]+Tasks[[#This Row],[_Row]]/100000,"")</f>
        <v/>
      </c>
      <c r="GP151" s="43" t="n">
        <f aca="false">Tasks[[#This Row],[_LeafWork]]*Tasks[[#This Row],[_LeafProgress]]</f>
        <v>0</v>
      </c>
      <c r="GQ151" s="91" t="str">
        <f aca="false">IF(AND(Tasks[[#This Row],[_IsLeaf]]=1,Tasks[[#This Row],[_LeafProgress]]&gt;=1),IF(N(Tasks[[#This Row],[Actual Finish]])&gt;0,Tasks[[#This Row],[Actual Finish]],Tasks[[#This Row],[_ShownFcstFinish]]),"")</f>
        <v/>
      </c>
      <c r="GR151" s="43" t="n">
        <f aca="false">IF(Tasks[[#This Row],[_IsLeaf]]=1,N(Tasks[[#This Row],[Story Points]]),0)</f>
        <v>0</v>
      </c>
      <c r="GS151" s="43" t="str">
        <f aca="false">""</f>
        <v/>
      </c>
      <c r="GT151" s="90" t="b">
        <f aca="false">IF(Tasks[[#This Row],[Task Name]]="",FALSE(),AND(Tasks[[#This Row],[_IsLeaf]]=1,N(Tasks[[#This Row],[_Days]])=0))</f>
        <v>0</v>
      </c>
      <c r="GU151" s="91" t="n">
        <f aca="false">IF(Tasks[[#This Row],[Task Name]]="",0,IF(AND(Tasks[[#This Row],[_IsLeaf]]=1,NOT(Tasks[[#This Row],[_IsMilestone]]),N(Tasks[[#This Row],[Progress]])&gt;0),Tasks[[#This Row],[Start]],0))</f>
        <v>0</v>
      </c>
      <c r="GV151" s="91" t="n">
        <f aca="false">IF(Tasks[[#This Row],[_DoneFrom]]=0,0,IF(Tasks[[#This Row],[Progress]]&gt;=1,Tasks[[#This Row],[Finish]],MAX(Tasks[[#This Row],[_DoneFrom]],Tasks[[#This Row],[Start]]+ROUND((Tasks[[#This Row],[Finish]]-Tasks[[#This Row],[Start]]+1)*Tasks[[#This Row],[Progress]],0)-1)))</f>
        <v>0</v>
      </c>
      <c r="GW151" s="91" t="n">
        <f aca="false">IF(Tasks[[#This Row],[Task Name]]="",0,IF(OR(NOT(Tasks[[#This Row],[_IsLeaf]]=1),Tasks[[#This Row],[_IsMilestone]],N(Tasks[[#This Row],[Progress]])&gt;=1),0,IF(Tasks[[#This Row],[_DoneTo]]&gt;0,Tasks[[#This Row],[_DoneTo]]+1,Tasks[[#This Row],[Start]])))</f>
        <v>0</v>
      </c>
      <c r="GX151" s="91" t="n">
        <f aca="false">IF(Tasks[[#This Row],[_RemFrom]]=0,0,Tasks[[#This Row],[Finish]])</f>
        <v>0</v>
      </c>
      <c r="GY151" s="90" t="b">
        <f aca="false">IF(Tasks[[#This Row],[Task Name]]="",FALSE(),OR(NOT(BaselineSet),N(Tasks[[#This Row],[Baseline Start]])&gt;0))</f>
        <v>0</v>
      </c>
      <c r="GZ15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1" s="92" t="str">
        <f aca="false">IF(Tasks[[#This Row],[_IsLeaf]]=1,Tasks[[#This Row],[_Row]],"")</f>
        <v/>
      </c>
      <c r="HD151" s="92" t="str">
        <f aca="false">IFERROR(INDEX(Tasks[UID],SMALL(Tasks[_PickKey],Tasks[[#This Row],[_Row]]))&amp;" "&amp;INDEX(Tasks[Task Name],SMALL(Tasks[_PickKey],Tasks[[#This Row],[_Row]])),"")</f>
        <v/>
      </c>
      <c r="HE151" s="43" t="str">
        <f aca="false">IF(Tasks[[#This Row],[Task Name]]="","",IF(Tasks[[#This Row],[_IsSummary]],NETWORKDAYS.INTL(Tasks[[#This Row],[Start]],Tasks[[#This Row],[Finish]],WorkWeek,Holidays),N(Tasks[[#This Row],[_Days]])))</f>
        <v/>
      </c>
      <c r="HF151" s="43" t="n">
        <f aca="false">IF(Tasks[[#This Row],[Expected]]="",0,((Tasks[[#This Row],[Pessimistic]]-Tasks[[#This Row],[Optimistic]])/6)^2)</f>
        <v>0</v>
      </c>
      <c r="HG151" s="43" t="n">
        <f aca="false">IF(Tasks[[#This Row],[Expected]]="",0,Tasks[[#This Row],[Expected]]-N(Tasks[[#This Row],[_Days]]))</f>
        <v>0</v>
      </c>
    </row>
    <row r="152" customFormat="false" ht="15" hidden="false" customHeight="false" outlineLevel="0" collapsed="false">
      <c r="A152" s="21" t="str">
        <f aca="false">IF(Tasks[[#This Row],[Task Name]]="","",COUNTA(Tasks[[#Headers],[Task Name]]:Tasks[[#This Row],[Task Name]])-1)</f>
        <v/>
      </c>
      <c r="B152" s="22" t="n">
        <v>160</v>
      </c>
      <c r="C152" s="22"/>
      <c r="D152" s="23"/>
      <c r="E152" s="22"/>
      <c r="F152" s="23"/>
      <c r="G152" s="22"/>
      <c r="H152" s="22"/>
      <c r="I152" s="23"/>
      <c r="J152" s="22"/>
      <c r="K152" s="22"/>
      <c r="L152" s="23"/>
      <c r="M152" s="22"/>
      <c r="N152" s="22"/>
      <c r="O152" s="23"/>
      <c r="P152" s="22"/>
      <c r="Q152" s="22"/>
      <c r="R152" s="23"/>
      <c r="S152" s="23"/>
      <c r="T152" s="84"/>
      <c r="U152" s="23"/>
      <c r="V152" s="84"/>
      <c r="W152" s="23"/>
      <c r="X152" s="84"/>
      <c r="Y152" s="23"/>
      <c r="Z152" s="84"/>
      <c r="AA152" s="23"/>
      <c r="AB152" s="23"/>
      <c r="AC152" s="7"/>
      <c r="AD152" s="7"/>
      <c r="AE152" s="63" t="str">
        <f aca="false">IF(Tasks[[#This Row],[Task Name]]="","",IF(Tasks[[#This Row],[_IsSummary]],MIN(INDEX(Tasks[_ShownFcstStart],Tasks[[#This Row],[_Row]]+1):INDEX(Tasks[_ShownFcstStart],Tasks[[#This Row],[_Row]]+Tasks[[#This Row],[_Descendants]])),Tasks[[#This Row],[_ShownFcstStart]]))</f>
        <v/>
      </c>
      <c r="AF152" s="63" t="str">
        <f aca="false">IF(Tasks[[#This Row],[Task Name]]="","",IF(Tasks[[#This Row],[_IsSummary]],MAX(INDEX(Tasks[_ShownFcstFinish],Tasks[[#This Row],[_Row]]+1):INDEX(Tasks[_ShownFcstFinish],Tasks[[#This Row],[_Row]]+Tasks[[#This Row],[_Descendants]])),Tasks[[#This Row],[_ShownFcstFinish]]))</f>
        <v/>
      </c>
      <c r="AG152" s="21" t="str">
        <f aca="false">""</f>
        <v/>
      </c>
      <c r="AH152" s="23"/>
      <c r="AI1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2" s="7"/>
      <c r="AK152" s="22"/>
      <c r="AL152" s="23"/>
      <c r="AM152" s="7"/>
      <c r="AN152" s="47" t="str">
        <f aca="false">IF(Tasks[[#This Row],[Task Name]]="","",IF(Tasks[[#This Row],[Finish]]&gt;=Tasks[[#This Row],[Planned Finish]],NETWORKDAYS.INTL(Tasks[[#This Row],[Planned Finish]],Tasks[[#This Row],[Finish]],WorkWeek,Holidays)-1,1-NETWORKDAYS.INTL(Tasks[[#This Row],[Finish]],Tasks[[#This Row],[Planned Finish]],WorkWeek,Holidays)))</f>
        <v/>
      </c>
      <c r="AO152" s="21" t="str">
        <f aca="false">IF(Tasks[[#This Row],[Task Name]]="","",IF(Tasks[[#This Row],[Progress]]&gt;=1,"Complete",IF(OR(N(Tasks[[#This Row],[Actual Start]])&gt;0,Tasks[[#This Row],[Progress]]&gt;0),IF(Tasks[[#This Row],[Finish Var]]&gt;0,"Behind","In Progress"),IF(Tasks[[#This Row],[Planned Start]]&lt;StatusDate,"Late Start","Not Started"))))</f>
        <v/>
      </c>
      <c r="AP152" s="21" t="str">
        <f aca="false">IF(Tasks[[#This Row],[Task Name]]="","",IF(IF(Tasks[[#This Row],[_IsSummary]],COUNTIF(INDEX(Tasks[_LeafCritical],Tasks[[#This Row],[_Row]]+1):INDEX(Tasks[_LeafCritical],Tasks[[#This Row],[_Row]]+Tasks[[#This Row],[_Descendants]]),TRUE())&gt;0,Tasks[[#This Row],[_LeafCritical]]),"Yes",""))</f>
        <v/>
      </c>
      <c r="AQ152" s="63" t="str">
        <f aca="false">IF(Tasks[[#This Row],[Task Name]]="","",IF(N(Tasks[[#This Row],[Baseline Start]])&gt;0,Tasks[[#This Row],[Baseline Start]],Tasks[[#This Row],[_CalcStart]]))</f>
        <v/>
      </c>
      <c r="AR152" s="63" t="str">
        <f aca="false">IF(Tasks[[#This Row],[Task Name]]="","",IF(N(Tasks[[#This Row],[Baseline Finish]])&gt;0,Tasks[[#This Row],[Baseline Finish]],Tasks[[#This Row],[_CalcFinish]]))</f>
        <v/>
      </c>
      <c r="AS152" s="47" t="str">
        <f aca="false">IF(Tasks[[#This Row],[Task Name]]="","",IF(Tasks[[#This Row],[Start]]&gt;=Tasks[[#This Row],[Planned Start]],NETWORKDAYS.INTL(Tasks[[#This Row],[Planned Start]],Tasks[[#This Row],[Start]],WorkWeek,Holidays)-1,1-NETWORKDAYS.INTL(Tasks[[#This Row],[Start]],Tasks[[#This Row],[Planned Start]],WorkWeek,Holidays)))</f>
        <v/>
      </c>
      <c r="AT152" s="63" t="str">
        <f aca="false">IF(Tasks[[#This Row],[Task Name]]="","",IF(Tasks[[#This Row],[_IsSummary]],MIN(INDEX(Tasks[_LeafLateStart],Tasks[[#This Row],[_Row]]+1):INDEX(Tasks[_LeafLateStart],Tasks[[#This Row],[_Row]]+Tasks[[#This Row],[_Descendants]])),Tasks[[#This Row],[_LeafLateStart]]))</f>
        <v/>
      </c>
      <c r="AU152" s="63" t="str">
        <f aca="false">IF(Tasks[[#This Row],[Task Name]]="","",IF(Tasks[[#This Row],[_IsSummary]],MAX(INDEX(Tasks[_LeafLateFinish],Tasks[[#This Row],[_Row]]+1):INDEX(Tasks[_LeafLateFinish],Tasks[[#This Row],[_Row]]+Tasks[[#This Row],[_Descendants]])),Tasks[[#This Row],[_LeafLateFinish]]))</f>
        <v/>
      </c>
      <c r="AV152" s="47" t="str">
        <f aca="false">IF(Tasks[[#This Row],[Task Name]]="","",IF(Tasks[[#This Row],[_IsSummary]],MIN(INDEX(Tasks[_LeafTotalSlack],Tasks[[#This Row],[_Row]]+1):INDEX(Tasks[_LeafTotalSlack],Tasks[[#This Row],[_Row]]+Tasks[[#This Row],[_Descendants]])),Tasks[[#This Row],[_LeafTotalSlack]]))</f>
        <v/>
      </c>
      <c r="AW1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5"/>
      <c r="BA15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1" t="str">
        <f aca="false">IF(Tasks[[#This Row],[Task Name]]="","",IF(Tasks[[#This Row],[_Level]]&lt;=OutlineShowLevel,"Yes","No"))</f>
        <v/>
      </c>
      <c r="BE152" s="86" t="str">
        <f aca="false">IF(Tasks[[#This Row],[Task Name]]="","",IF(Tasks[[#This Row],[_IsSummary]],SUM(INDEX(Tasks[_LeafTotalWork],Tasks[[#This Row],[_Row]]+1):INDEX(Tasks[_LeafTotalWork],Tasks[[#This Row],[_Row]]+Tasks[[#This Row],[_Descendants]])),Tasks[[#This Row],[_LeafTotalWork]]))</f>
        <v/>
      </c>
      <c r="BF152" s="23"/>
      <c r="BG1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2" s="21" t="str">
        <f aca="false">""</f>
        <v/>
      </c>
      <c r="BI152" s="87"/>
      <c r="BJ152" s="22"/>
      <c r="BK152" s="47" t="str">
        <f aca="false">IF(OR(Tasks[[#This Row],[Task Name]]="",Tasks[[#This Row],[Baseline Duration]]=""),"",Tasks[[#This Row],[_SpanDays]]-N(Tasks[[#This Row],[Baseline Duration]]))</f>
        <v/>
      </c>
      <c r="BL152" s="86" t="str">
        <f aca="false">IF(OR(Tasks[[#This Row],[Task Name]]="",Tasks[[#This Row],[Baseline Work]]=""),"",Tasks[[#This Row],[Work]]-N(Tasks[[#This Row],[Baseline Work]]))</f>
        <v/>
      </c>
      <c r="BM152" s="63" t="str">
        <f aca="false">IF(Tasks[[#This Row],[Task Name]]="","",IF(OR(TakeBaseline="Yes",N(Tasks[[#This Row],[Baseline Start]])=0),Tasks[[#This Row],[Start]],Tasks[[#This Row],[Baseline Start]]))</f>
        <v/>
      </c>
      <c r="BN152" s="63" t="str">
        <f aca="false">IF(Tasks[[#This Row],[Task Name]]="","",IF(OR(TakeBaseline="Yes",N(Tasks[[#This Row],[Baseline Finish]])=0),Tasks[[#This Row],[Finish]],Tasks[[#This Row],[Baseline Finish]]))</f>
        <v/>
      </c>
      <c r="BO152" s="21" t="str">
        <f aca="false">IF(Tasks[[#This Row],[Task Name]]="","",IF(OR(TakeBaseline="Yes",N(Tasks[[#This Row],[Baseline Duration]])=0),Tasks[[#This Row],[_SpanDays]],Tasks[[#This Row],[Baseline Duration]]))</f>
        <v/>
      </c>
      <c r="BP152" s="86" t="str">
        <f aca="false">IF(Tasks[[#This Row],[Task Name]]="","",IF(OR(TakeBaseline="Yes",N(Tasks[[#This Row],[Baseline Work]])=0),Tasks[[#This Row],[Work]],Tasks[[#This Row],[Baseline Work]]))</f>
        <v/>
      </c>
      <c r="BQ152" s="7"/>
      <c r="BR152" s="7"/>
      <c r="BS152" s="22"/>
      <c r="BT152" s="88"/>
      <c r="BU152" s="23"/>
      <c r="BV152" s="23"/>
      <c r="BW152" s="23"/>
      <c r="BX152" s="89" t="str">
        <f aca="false">IF(AND(Tasks[[#This Row],[_IsLeaf]]=1,ISNUMBER(Tasks[[#This Row],[Optimistic]]),ISNUMBER(Tasks[[#This Row],[Pessimistic]])),ROUND((Tasks[[#This Row],[Optimistic]]+4*N(Tasks[[#This Row],[_Days]])+Tasks[[#This Row],[Pessimistic]])/6,1),"")</f>
        <v/>
      </c>
      <c r="BY152" s="87"/>
      <c r="BZ152" s="87"/>
      <c r="CA152" s="22"/>
      <c r="CB152" s="43" t="str">
        <f aca="false">IF(Tasks[[#This Row],[Task Name]]="","",MAX(1,N(Tasks[[#This Row],[Level]])))</f>
        <v/>
      </c>
      <c r="CC152" s="43" t="n">
        <f aca="false">ROW()-ROW(Tasks[[#Headers],[ID]])</f>
        <v>147</v>
      </c>
      <c r="CD152" s="43" t="n">
        <f aca="false">IF(OR(Tasks[[#This Row],[Task Name]]="",Tasks[[#This Row],[_Level]]&lt;=1),0,IFERROR(LOOKUP(2,1/(Tasks[[#Headers],[_Level]]:Tasks[[#This Row],[_Level]]=Tasks[[#This Row],[_Level]]-1),ROW(Tasks[[#Headers],[_Level]]:Tasks[[#This Row],[_Level]])),0))</f>
        <v>0</v>
      </c>
      <c r="CE152" s="43" t="n">
        <f aca="false">IFERROR(N(INDEX(Tasks[_Level],Tasks[[#This Row],[_Row]]+1)),0)</f>
        <v>0</v>
      </c>
      <c r="CF152" s="90" t="b">
        <f aca="false">AND(Tasks[[#This Row],[Task Name]]&lt;&gt;"",Tasks[[#This Row],[_NextLevel]]&gt;Tasks[[#This Row],[_Level]])</f>
        <v>0</v>
      </c>
      <c r="CG152" s="43" t="n">
        <f aca="false">IF(Tasks[[#This Row],[_IsSummary]],COUNTIF(Tasks[WBS],Tasks[[#This Row],[WBS]]&amp;".*"),0)</f>
        <v>0</v>
      </c>
      <c r="CH152" s="43" t="n">
        <f aca="false">IF(AND(Tasks[[#This Row],[Task Name]]&lt;&gt;"",NOT(Tasks[[#This Row],[_IsSummary]])),1,0)</f>
        <v>0</v>
      </c>
      <c r="CI152" s="43" t="n">
        <f aca="false">IF(N(Tasks[[#This Row],[_Pred1UID]])=0,0,IFERROR(MATCH(Tasks[[#This Row],[_Pred1UID]],Tasks[UID],0),-1))</f>
        <v>0</v>
      </c>
      <c r="CJ152" s="43" t="n">
        <f aca="false">IF(N(Tasks[[#This Row],[_Pred2UID]])=0,0,IFERROR(MATCH(Tasks[[#This Row],[_Pred2UID]],Tasks[UID],0),-1))</f>
        <v>0</v>
      </c>
      <c r="CK152" s="43" t="n">
        <f aca="false">IF(N(Tasks[[#This Row],[_Pred3UID]])=0,0,IFERROR(MATCH(Tasks[[#This Row],[_Pred3UID]],Tasks[UID],0),-1))</f>
        <v>0</v>
      </c>
      <c r="CL152" s="43" t="n">
        <f aca="false">IF(N(Tasks[[#This Row],[_Pred4UID]])=0,0,IFERROR(MATCH(Tasks[[#This Row],[_Pred4UID]],Tasks[UID],0),-1))</f>
        <v>0</v>
      </c>
      <c r="CM15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2" s="91" t="n">
        <f aca="false">IF(OR(Tasks[[#This Row],[_ConstraintCode]]=2,Tasks[[#This Row],[_ConstraintCode]]=3,Tasks[[#This Row],[_ConstraintCode]]=4,Tasks[[#This Row],[_ConstraintCode]]=6),Tasks[[#This Row],[_ConstraintStart]],0)</f>
        <v>0</v>
      </c>
      <c r="CP152" s="91" t="n">
        <f aca="false">IF(OR(Tasks[[#This Row],[_ConstraintCode]]=2,Tasks[[#This Row],[_ConstraintCode]]=3,Tasks[[#This Row],[_ConstraintCode]]=5,Tasks[[#This Row],[_ConstraintCode]]=7),Tasks[[#This Row],[_ConstraintStart]],2958465)</f>
        <v>2958465</v>
      </c>
      <c r="CQ15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2" s="91" t="str">
        <f aca="false">IF(NOT(Tasks[[#This Row],[_IsLeaf]]=1),"",IF(N(Tasks[[#This Row],[_Days]])&lt;=0,Tasks[[#This Row],[_LeafCalcStart]],WORKDAY.INTL(Tasks[[#This Row],[_LeafCalcStart]],Tasks[[#This Row],[_Days]]-1,WorkWeek,Holidays)))</f>
        <v/>
      </c>
      <c r="CS15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2" s="43" t="str">
        <f aca="false">IF(Tasks[[#This Row],[_Predecessors]]="","",TRIM(MID(SUBSTITUTE(SUBSTITUTE(SUBSTITUTE(UPPER(Tasks[[#This Row],[_Predecessors]]),";",",")," ",""),",",REPT(" ",99)),1,99)))</f>
        <v/>
      </c>
      <c r="CV152" s="43" t="str">
        <f aca="false">IF(Tasks[[#This Row],[_Pred1Text]]="","",IFERROR(VALUE(LEFT(Tasks[[#This Row],[_Pred1Text]],MIN(FIND("F",Tasks[[#This Row],[_Pred1Text]]&amp;"F"),FIND("S",Tasks[[#This Row],[_Pred1Text]]&amp;"S"),FIND("+",Tasks[[#This Row],[_Pred1Text]]&amp;"+"),FIND("-",Tasks[[#This Row],[_Pred1Text]]&amp;"-"))-1)),""))</f>
        <v/>
      </c>
      <c r="CW15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2" s="43" t="str">
        <f aca="false">IF(Tasks[[#This Row],[_Pred1Text]]="","",TRIM(MID(SUBSTITUTE(SUBSTITUTE(SUBSTITUTE(UPPER(Tasks[[#This Row],[_Predecessors]]),";",",")," ",""),",",REPT(" ",99)),100,99)))</f>
        <v/>
      </c>
      <c r="CZ152" s="43" t="str">
        <f aca="false">IF(Tasks[[#This Row],[_Pred2Text]]="","",IFERROR(VALUE(LEFT(Tasks[[#This Row],[_Pred2Text]],MIN(FIND("F",Tasks[[#This Row],[_Pred2Text]]&amp;"F"),FIND("S",Tasks[[#This Row],[_Pred2Text]]&amp;"S"),FIND("+",Tasks[[#This Row],[_Pred2Text]]&amp;"+"),FIND("-",Tasks[[#This Row],[_Pred2Text]]&amp;"-"))-1)),""))</f>
        <v/>
      </c>
      <c r="DA15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2" s="43" t="str">
        <f aca="false">IF(Tasks[[#This Row],[_Pred2Text]]="","",TRIM(MID(SUBSTITUTE(SUBSTITUTE(SUBSTITUTE(UPPER(Tasks[[#This Row],[_Predecessors]]),";",",")," ",""),",",REPT(" ",99)),199,99)))</f>
        <v/>
      </c>
      <c r="DD152" s="43" t="str">
        <f aca="false">IF(Tasks[[#This Row],[_Pred3Text]]="","",IFERROR(VALUE(LEFT(Tasks[[#This Row],[_Pred3Text]],MIN(FIND("F",Tasks[[#This Row],[_Pred3Text]]&amp;"F"),FIND("S",Tasks[[#This Row],[_Pred3Text]]&amp;"S"),FIND("+",Tasks[[#This Row],[_Pred3Text]]&amp;"+"),FIND("-",Tasks[[#This Row],[_Pred3Text]]&amp;"-"))-1)),""))</f>
        <v/>
      </c>
      <c r="DE15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2" s="43" t="str">
        <f aca="false">IF(Tasks[[#This Row],[_Pred3Text]]="","",TRIM(MID(SUBSTITUTE(SUBSTITUTE(SUBSTITUTE(UPPER(Tasks[[#This Row],[_Predecessors]]),";",",")," ",""),",",REPT(" ",99)),298,99)))</f>
        <v/>
      </c>
      <c r="DH152" s="43" t="str">
        <f aca="false">IF(Tasks[[#This Row],[_Pred4Text]]="","",IFERROR(VALUE(LEFT(Tasks[[#This Row],[_Pred4Text]],MIN(FIND("F",Tasks[[#This Row],[_Pred4Text]]&amp;"F"),FIND("S",Tasks[[#This Row],[_Pred4Text]]&amp;"S"),FIND("+",Tasks[[#This Row],[_Pred4Text]]&amp;"+"),FIND("-",Tasks[[#This Row],[_Pred4Text]]&amp;"-"))-1)),""))</f>
        <v/>
      </c>
      <c r="DI15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2" s="43" t="str">
        <f aca="false">IF(OR(Tasks[[#This Row],[Task Name]]="",Tasks[[#This Row],[_Resources]]=""),"",TRIM(MID(SUBSTITUTE(Tasks[[#This Row],[_Resources]],",",REPT(" ",99)),1,99)))</f>
        <v/>
      </c>
      <c r="DL152" s="43" t="str">
        <f aca="false">IF(Tasks[[#This Row],[_Res1Text]]="","",TRIM(MID(SUBSTITUTE(Tasks[[#This Row],[_Resources]],",",REPT(" ",99)),100,99)))</f>
        <v/>
      </c>
      <c r="DM152" s="43" t="str">
        <f aca="false">IF(Tasks[[#This Row],[_Res2Text]]="","",TRIM(MID(SUBSTITUTE(Tasks[[#This Row],[_Resources]],",",REPT(" ",99)),199,99)))</f>
        <v/>
      </c>
      <c r="DN152" s="43" t="str">
        <f aca="false">IF(Tasks[[#This Row],[_Res3Text]]="","",TRIM(MID(SUBSTITUTE(Tasks[[#This Row],[_Resources]],",",REPT(" ",99)),298,99)))</f>
        <v/>
      </c>
      <c r="DO152" s="43" t="n">
        <f aca="false">IF(Tasks[[#This Row],[_Res1Text]]="",0,IFERROR(MATCH(TRIM(LEFT(Tasks[[#This Row],[_Res1Text]],FIND("[",Tasks[[#This Row],[_Res1Text]]&amp;"[")-1)),res_Name,0),IFERROR(MATCH(TRIM(LEFT(Tasks[[#This Row],[_Res1Text]],FIND("[",Tasks[[#This Row],[_Res1Text]]&amp;"[")-1)),res_Initials,0),0)))</f>
        <v>0</v>
      </c>
      <c r="DP152" s="43" t="n">
        <f aca="false">IF(Tasks[[#This Row],[_Res2Text]]="",0,IFERROR(MATCH(TRIM(LEFT(Tasks[[#This Row],[_Res2Text]],FIND("[",Tasks[[#This Row],[_Res2Text]]&amp;"[")-1)),res_Name,0),IFERROR(MATCH(TRIM(LEFT(Tasks[[#This Row],[_Res2Text]],FIND("[",Tasks[[#This Row],[_Res2Text]]&amp;"[")-1)),res_Initials,0),0)))</f>
        <v>0</v>
      </c>
      <c r="DQ152" s="43" t="n">
        <f aca="false">IF(Tasks[[#This Row],[_Res3Text]]="",0,IFERROR(MATCH(TRIM(LEFT(Tasks[[#This Row],[_Res3Text]],FIND("[",Tasks[[#This Row],[_Res3Text]]&amp;"[")-1)),res_Name,0),IFERROR(MATCH(TRIM(LEFT(Tasks[[#This Row],[_Res3Text]],FIND("[",Tasks[[#This Row],[_Res3Text]]&amp;"[")-1)),res_Initials,0),0)))</f>
        <v>0</v>
      </c>
      <c r="DR152" s="43" t="n">
        <f aca="false">IF(Tasks[[#This Row],[_Res4Text]]="",0,IFERROR(MATCH(TRIM(LEFT(Tasks[[#This Row],[_Res4Text]],FIND("[",Tasks[[#This Row],[_Res4Text]]&amp;"[")-1)),res_Name,0),IFERROR(MATCH(TRIM(LEFT(Tasks[[#This Row],[_Res4Text]],FIND("[",Tasks[[#This Row],[_Res4Text]]&amp;"[")-1)),res_Initials,0),0)))</f>
        <v>0</v>
      </c>
      <c r="DS152" s="43" t="str">
        <f aca="false">IF(Tasks[[#This Row],[_Res1Text]]="","",IF(Tasks[[#This Row],[_Res1Row]]&gt;0,INDEX(res_Name,Tasks[[#This Row],[_Res1Row]]),TRIM(LEFT(Tasks[[#This Row],[_Res1Text]],FIND("[",Tasks[[#This Row],[_Res1Text]]&amp;"[")-1))))</f>
        <v/>
      </c>
      <c r="DT15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2" s="43" t="n">
        <f aca="false">IF(NOT(Tasks[[#This Row],[_IsLeaf]]=1),0,(Tasks[[#This Row],[_Resource1]]&lt;&gt;"")+(Tasks[[#This Row],[_Res2]]&lt;&gt;"")+(Tasks[[#This Row],[_Res3]]&lt;&gt;"")+(Tasks[[#This Row],[_Res4]]&lt;&gt;""))</f>
        <v>0</v>
      </c>
      <c r="DV152" s="43" t="str">
        <f aca="false">IF(Tasks[[#This Row],[_Res2Text]]="","",IF(Tasks[[#This Row],[_Res2Row]]&gt;0,INDEX(res_Name,Tasks[[#This Row],[_Res2Row]]),TRIM(LEFT(Tasks[[#This Row],[_Res2Text]],FIND("[",Tasks[[#This Row],[_Res2Text]]&amp;"[")-1))))</f>
        <v/>
      </c>
      <c r="DW15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2" s="43" t="n">
        <f aca="false">IF(OR(NOT(Tasks[[#This Row],[_IsLeaf]]=1),Tasks[[#This Row],[_Res2Row]]=0),0,N(Tasks[[#This Row],[_Days]])*HoursPerDay*IF(Tasks[[#This Row],[_Res2Units]]="",DefaultUnits,Tasks[[#This Row],[_Res2Units]]))</f>
        <v>0</v>
      </c>
      <c r="DY152" s="43" t="n">
        <f aca="false">IF(AND(AND(Tasks[[#This Row],[_IsLeaf]]=1,Tasks[[#This Row],[_LeafTotalWork]]&gt;0),Tasks[[#This Row],[_Res2Work]]&gt;0),Tasks[[#This Row],[_Res2Work]]/(Tasks[[#This Row],[_FinishWorkday]]-Tasks[[#This Row],[_StartWorkday]]+1),0)</f>
        <v>0</v>
      </c>
      <c r="DZ152" s="43" t="n">
        <f aca="false">Tasks[[#This Row],[_Res2WorkPerWD]]*MAX(0,Tasks[[#This Row],[_StartWorkday]]-1)</f>
        <v>0</v>
      </c>
      <c r="EA152" s="43" t="n">
        <f aca="false">Tasks[[#This Row],[_Res2Work]]*Tasks[[#This Row],[_LeafProgress]]</f>
        <v>0</v>
      </c>
      <c r="EB152" s="43" t="str">
        <f aca="false">IF(Tasks[[#This Row],[_Res3Text]]="","",IF(Tasks[[#This Row],[_Res3Row]]&gt;0,INDEX(res_Name,Tasks[[#This Row],[_Res3Row]]),TRIM(LEFT(Tasks[[#This Row],[_Res3Text]],FIND("[",Tasks[[#This Row],[_Res3Text]]&amp;"[")-1))))</f>
        <v/>
      </c>
      <c r="EC15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2" s="43" t="n">
        <f aca="false">IF(OR(NOT(Tasks[[#This Row],[_IsLeaf]]=1),Tasks[[#This Row],[_Res3Row]]=0),0,N(Tasks[[#This Row],[_Days]])*HoursPerDay*IF(Tasks[[#This Row],[_Res3Units]]="",DefaultUnits,Tasks[[#This Row],[_Res3Units]]))</f>
        <v>0</v>
      </c>
      <c r="EE152" s="43" t="n">
        <f aca="false">IF(AND(AND(Tasks[[#This Row],[_IsLeaf]]=1,Tasks[[#This Row],[_LeafTotalWork]]&gt;0),Tasks[[#This Row],[_Res3Work]]&gt;0),Tasks[[#This Row],[_Res3Work]]/(Tasks[[#This Row],[_FinishWorkday]]-Tasks[[#This Row],[_StartWorkday]]+1),0)</f>
        <v>0</v>
      </c>
      <c r="EF152" s="43" t="n">
        <f aca="false">Tasks[[#This Row],[_Res3WorkPerWD]]*MAX(0,Tasks[[#This Row],[_StartWorkday]]-1)</f>
        <v>0</v>
      </c>
      <c r="EG152" s="43" t="n">
        <f aca="false">Tasks[[#This Row],[_Res3Work]]*Tasks[[#This Row],[_LeafProgress]]</f>
        <v>0</v>
      </c>
      <c r="EH152" s="43" t="str">
        <f aca="false">IF(Tasks[[#This Row],[_Res4Text]]="","",IF(Tasks[[#This Row],[_Res4Row]]&gt;0,INDEX(res_Name,Tasks[[#This Row],[_Res4Row]]),TRIM(LEFT(Tasks[[#This Row],[_Res4Text]],FIND("[",Tasks[[#This Row],[_Res4Text]]&amp;"[")-1))))</f>
        <v/>
      </c>
      <c r="EI15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2" s="43" t="n">
        <f aca="false">IF(OR(NOT(Tasks[[#This Row],[_IsLeaf]]=1),Tasks[[#This Row],[_Res4Row]]=0),0,N(Tasks[[#This Row],[_Days]])*HoursPerDay*IF(Tasks[[#This Row],[_Res4Units]]="",DefaultUnits,Tasks[[#This Row],[_Res4Units]]))</f>
        <v>0</v>
      </c>
      <c r="EK152" s="43" t="n">
        <f aca="false">IF(AND(AND(Tasks[[#This Row],[_IsLeaf]]=1,Tasks[[#This Row],[_LeafTotalWork]]&gt;0),Tasks[[#This Row],[_Res4Work]]&gt;0),Tasks[[#This Row],[_Res4Work]]/(Tasks[[#This Row],[_FinishWorkday]]-Tasks[[#This Row],[_StartWorkday]]+1),0)</f>
        <v>0</v>
      </c>
      <c r="EL152" s="43" t="n">
        <f aca="false">Tasks[[#This Row],[_Res4WorkPerWD]]*MAX(0,Tasks[[#This Row],[_StartWorkday]]-1)</f>
        <v>0</v>
      </c>
      <c r="EM152" s="43" t="n">
        <f aca="false">Tasks[[#This Row],[_Res4Work]]*Tasks[[#This Row],[_LeafProgress]]</f>
        <v>0</v>
      </c>
      <c r="EN152" s="43" t="n">
        <f aca="false">IF(ISNUMBER(Tasks[[#This Row],[% Complete]]),Tasks[[#This Row],[% Complete]],IF(Tasks[[#This Row],[Stage]]="",0,IFERROR(INDEX(stg_Pct,MATCH(Tasks[[#This Row],[Stage]],stg_Name,0)),0)))</f>
        <v>0</v>
      </c>
      <c r="EO152" s="43" t="n">
        <f aca="false">IF(NOT(Tasks[[#This Row],[_IsLeaf]]=1),0,IF(N(Tasks[[#This Row],[Actual Finish]])&gt;0,1,MIN(1,Tasks[[#This Row],[_Pct]])))</f>
        <v>0</v>
      </c>
      <c r="EP152" s="43" t="n">
        <f aca="false">IF(OR(NOT(Tasks[[#This Row],[_IsLeaf]]=1),Tasks[[#This Row],[_Res1Row]]=0),0,N(Tasks[[#This Row],[_Days]])*HoursPerDay*IF(Tasks[[#This Row],[_Units1]]="",DefaultUnits,Tasks[[#This Row],[_Units1]]))</f>
        <v>0</v>
      </c>
      <c r="EQ152" s="43" t="n">
        <f aca="false">Tasks[[#This Row],[_LeafWork]]+Tasks[[#This Row],[_Res2Work]]+Tasks[[#This Row],[_Res3Work]]+Tasks[[#This Row],[_Res4Work]]</f>
        <v>0</v>
      </c>
      <c r="ER15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2" s="43" t="n">
        <f aca="false">IF(NOT(Tasks[[#This Row],[_IsLeaf]]=1),0,MAX(_xlfn.MAXIFS(Tasks[_Row],Tasks[_Pred1UID],Tasks[[#This Row],[UID]]),_xlfn.MAXIFS(Tasks[_Row],Tasks[_Pred2UID],Tasks[[#This Row],[UID]]),_xlfn.MAXIFS(Tasks[_Row],Tasks[_Pred3UID],Tasks[[#This Row],[UID]]),_xlfn.MAXIFS(Tasks[_Row],Tasks[_Pred4UID],Tasks[[#This Row],[UID]])))</f>
        <v>0</v>
      </c>
      <c r="FA15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2" s="91" t="str">
        <f aca="false">IF(NOT(Tasks[[#This Row],[_IsLeaf]]=1),"",IF(N(Tasks[[#This Row],[_Days]])&lt;=0,Tasks[[#This Row],[_LeafLateFinish]],WORKDAY.INTL(Tasks[[#This Row],[_LeafLateFinish]],-(Tasks[[#This Row],[_Days]]-1),WorkWeek,Holidays)))</f>
        <v/>
      </c>
      <c r="FD15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2" s="90" t="b">
        <f aca="false">AND(Tasks[[#This Row],[_IsLeaf]]=1,Tasks[[#This Row],[_LeafProgress]]&lt;1,N(Tasks[[#This Row],[_LeafTotalSlack]])&lt;=CriticalSlackDays)</f>
        <v>0</v>
      </c>
      <c r="FF152" s="43" t="n">
        <f aca="false">IF(AND(Tasks[[#This Row],[_IsLeaf]]=1,Tasks[[#This Row],[_ConstraintCode]]=1,Tasks[[#This Row],[Mode]]&lt;&gt;"Manual",N(Tasks[[#This Row],[Actual Start]])=0),MAX(0,N(Tasks[[#This Row],[Free Slack]])),0)</f>
        <v>0</v>
      </c>
      <c r="FG152" s="91" t="str">
        <f aca="false">IF(NOT(Tasks[[#This Row],[_IsLeaf]]=1),"",IF(Tasks[[#This Row],[_AlapShift]]=0,Tasks[[#This Row],[_LeafCalcStart]],WORKDAY.INTL(Tasks[[#This Row],[_LeafCalcStart]],Tasks[[#This Row],[_AlapShift]],WorkWeek,Holidays)))</f>
        <v/>
      </c>
      <c r="FH152" s="91" t="str">
        <f aca="false">IF(NOT(Tasks[[#This Row],[_IsLeaf]]=1),"",IF(Tasks[[#This Row],[_AlapShift]]=0,Tasks[[#This Row],[_LeafCalcFinish]],WORKDAY.INTL(Tasks[[#This Row],[_LeafCalcFinish]],Tasks[[#This Row],[_AlapShift]],WorkWeek,Holidays)))</f>
        <v/>
      </c>
      <c r="FI152" s="91" t="str">
        <f aca="false">IF(NOT(Tasks[[#This Row],[_IsLeaf]]=1),"",IF(Tasks[[#This Row],[_AlapShift]]=0,Tasks[[#This Row],[_LeafFcstStart]],WORKDAY.INTL(Tasks[[#This Row],[_LeafFcstStart]],Tasks[[#This Row],[_AlapShift]],WorkWeek,Holidays)))</f>
        <v/>
      </c>
      <c r="FJ152" s="91" t="str">
        <f aca="false">IF(NOT(Tasks[[#This Row],[_IsLeaf]]=1),"",IF(Tasks[[#This Row],[_AlapShift]]=0,Tasks[[#This Row],[_LeafFcstFinish]],WORKDAY.INTL(Tasks[[#This Row],[_LeafFcstFinish]],Tasks[[#This Row],[_AlapShift]],WorkWeek,Holidays)))</f>
        <v/>
      </c>
      <c r="FK152" s="91" t="str">
        <f aca="false">IF(Tasks[[#This Row],[Task Name]]="","",IF(Tasks[[#This Row],[_IsSummary]],MIN(INDEX(Tasks[_ShownCalcStart],Tasks[[#This Row],[_Row]]+1):INDEX(Tasks[_ShownCalcStart],Tasks[[#This Row],[_Row]]+Tasks[[#This Row],[_Descendants]])),Tasks[[#This Row],[_ShownCalcStart]]))</f>
        <v/>
      </c>
      <c r="FL152" s="91" t="str">
        <f aca="false">IF(Tasks[[#This Row],[Task Name]]="","",IF(Tasks[[#This Row],[_IsSummary]],MAX(INDEX(Tasks[_ShownCalcFinish],Tasks[[#This Row],[_Row]]+1):INDEX(Tasks[_ShownCalcFinish],Tasks[[#This Row],[_Row]]+Tasks[[#This Row],[_Descendants]])),Tasks[[#This Row],[_ShownCalcFinish]]))</f>
        <v/>
      </c>
      <c r="FM15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2" s="43" t="n">
        <f aca="false">IF(AND(Tasks[[#This Row],[_IsLeaf]]=1,Tasks[[#This Row],[_LeafTotalWork]]&gt;0),NETWORKDAYS.INTL(ProjectStart,Tasks[[#This Row],[_ShownFcstStart]],WorkWeek,Holidays),0)</f>
        <v>0</v>
      </c>
      <c r="FZ152" s="43" t="n">
        <f aca="false">IF(AND(Tasks[[#This Row],[_IsLeaf]]=1,Tasks[[#This Row],[_LeafTotalWork]]&gt;0),MAX(Tasks[[#This Row],[_StartWorkday]],NETWORKDAYS.INTL(ProjectStart,Tasks[[#This Row],[_ShownFcstFinish]],WorkWeek,Holidays)),0)</f>
        <v>0</v>
      </c>
      <c r="GA152" s="43" t="n">
        <f aca="false">IF(AND(Tasks[[#This Row],[_IsLeaf]]=1,Tasks[[#This Row],[_LeafTotalWork]]&gt;0),Tasks[[#This Row],[_LeafWork]]/(Tasks[[#This Row],[_FinishWorkday]]-Tasks[[#This Row],[_StartWorkday]]+1),0)</f>
        <v>0</v>
      </c>
      <c r="GB152" s="43" t="n">
        <f aca="false">Tasks[[#This Row],[_WorkPerWorkday]]*(Tasks[[#This Row],[_StartWorkday]]-1)</f>
        <v>-0</v>
      </c>
      <c r="GC152" s="43" t="n">
        <f aca="false">IF(Tasks[[#This Row],[_IsLeaf]]=1,MAX(N(Tasks[[#This Row],[_Days]]),0.1),0)</f>
        <v>0</v>
      </c>
      <c r="GD152" s="43" t="n">
        <f aca="false">Tasks[[#This Row],[_WeightDur]]*Tasks[[#This Row],[_LeafProgress]]</f>
        <v>0</v>
      </c>
      <c r="GE152" s="43" t="n">
        <f aca="false">Tasks[[#This Row],[_WeightDur]]*Tasks[[#This Row],[_PlannedPct]]</f>
        <v>0</v>
      </c>
      <c r="GF15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2" s="43" t="str">
        <f aca="false">IF(AND(Tasks[[#This Row],[_IsLeaf]]=1,N(Tasks[[#This Row],[_Days]])=0,Tasks[[#This Row],[_LeafProgress]]&lt;1),Tasks[[#This Row],[_ShownFcstFinish]]+Tasks[[#This Row],[_Row]]/100000,"")</f>
        <v/>
      </c>
      <c r="GH15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2" s="43" t="str">
        <f aca="false">IF(Tasks[[#This Row],[Task Name]]="","",LEFT(Tasks[[#This Row],[WBS]],FIND(".",Tasks[[#This Row],[WBS]]&amp;".")-1))</f>
        <v/>
      </c>
      <c r="GJ152" s="43" t="str">
        <f aca="false">IF(AND(Tasks[[#This Row],[Task Name]]&lt;&gt;"",Tasks[[#This Row],[_Level]]=1),Tasks[[#This Row],[_Row]],"")</f>
        <v/>
      </c>
      <c r="GK152" s="43" t="str">
        <f aca="false">IF(AND(Tasks[[#This Row],[_IsLeaf]]=1,N(Tasks[[#This Row],[_Days]])=0),Tasks[[#This Row],[Planned Finish]]+Tasks[[#This Row],[_Row]]/100000,"")</f>
        <v/>
      </c>
      <c r="GL152" s="43" t="str">
        <f aca="false">IF(AND(Tasks[[#This Row],[_IsLeaf]]=1,Tasks[[#This Row],[_LeafProgress]]&lt;1,OR(N(Tasks[[#This Row],[Finish Var]])&gt;0,Tasks[[#This Row],[Status]]="Late Start")),MAX(0,Tasks[[#This Row],[Finish Var]])+1-Tasks[[#This Row],[_Row]]/1000000,"")</f>
        <v/>
      </c>
      <c r="GM152" s="43" t="str">
        <f aca="false">IF(AND(Tasks[[#This Row],[_IsLeaf]]=1,N(Tasks[[#This Row],[Actual Start]])=0,Tasks[[#This Row],[_ShownFcstStart]]&gt;=StatusDate,Tasks[[#This Row],[_ShownFcstStart]]&lt;=LookaheadEnd),Tasks[[#This Row],[_ShownFcstStart]]+Tasks[[#This Row],[_Row]]/100000,"")</f>
        <v/>
      </c>
      <c r="GN152" s="43" t="str">
        <f aca="false">IF(AND(Tasks[[#This Row],[_IsLeaf]]=1,Tasks[[#This Row],[_LeafProgress]]&lt;1,Tasks[[#This Row],[_ShownFcstFinish]]&gt;=StatusDate,Tasks[[#This Row],[_ShownFcstFinish]]&lt;=LookaheadEnd),Tasks[[#This Row],[_ShownFcstFinish]]+Tasks[[#This Row],[_Row]]/100000,"")</f>
        <v/>
      </c>
      <c r="GO152" s="43" t="str">
        <f aca="false">IF(Tasks[[#This Row],[_LeafCritical]],Tasks[[#This Row],[_ShownFcstStart]]+Tasks[[#This Row],[_Row]]/100000,"")</f>
        <v/>
      </c>
      <c r="GP152" s="43" t="n">
        <f aca="false">Tasks[[#This Row],[_LeafWork]]*Tasks[[#This Row],[_LeafProgress]]</f>
        <v>0</v>
      </c>
      <c r="GQ152" s="91" t="str">
        <f aca="false">IF(AND(Tasks[[#This Row],[_IsLeaf]]=1,Tasks[[#This Row],[_LeafProgress]]&gt;=1),IF(N(Tasks[[#This Row],[Actual Finish]])&gt;0,Tasks[[#This Row],[Actual Finish]],Tasks[[#This Row],[_ShownFcstFinish]]),"")</f>
        <v/>
      </c>
      <c r="GR152" s="43" t="n">
        <f aca="false">IF(Tasks[[#This Row],[_IsLeaf]]=1,N(Tasks[[#This Row],[Story Points]]),0)</f>
        <v>0</v>
      </c>
      <c r="GS152" s="43" t="str">
        <f aca="false">""</f>
        <v/>
      </c>
      <c r="GT152" s="90" t="b">
        <f aca="false">IF(Tasks[[#This Row],[Task Name]]="",FALSE(),AND(Tasks[[#This Row],[_IsLeaf]]=1,N(Tasks[[#This Row],[_Days]])=0))</f>
        <v>0</v>
      </c>
      <c r="GU152" s="91" t="n">
        <f aca="false">IF(Tasks[[#This Row],[Task Name]]="",0,IF(AND(Tasks[[#This Row],[_IsLeaf]]=1,NOT(Tasks[[#This Row],[_IsMilestone]]),N(Tasks[[#This Row],[Progress]])&gt;0),Tasks[[#This Row],[Start]],0))</f>
        <v>0</v>
      </c>
      <c r="GV152" s="91" t="n">
        <f aca="false">IF(Tasks[[#This Row],[_DoneFrom]]=0,0,IF(Tasks[[#This Row],[Progress]]&gt;=1,Tasks[[#This Row],[Finish]],MAX(Tasks[[#This Row],[_DoneFrom]],Tasks[[#This Row],[Start]]+ROUND((Tasks[[#This Row],[Finish]]-Tasks[[#This Row],[Start]]+1)*Tasks[[#This Row],[Progress]],0)-1)))</f>
        <v>0</v>
      </c>
      <c r="GW152" s="91" t="n">
        <f aca="false">IF(Tasks[[#This Row],[Task Name]]="",0,IF(OR(NOT(Tasks[[#This Row],[_IsLeaf]]=1),Tasks[[#This Row],[_IsMilestone]],N(Tasks[[#This Row],[Progress]])&gt;=1),0,IF(Tasks[[#This Row],[_DoneTo]]&gt;0,Tasks[[#This Row],[_DoneTo]]+1,Tasks[[#This Row],[Start]])))</f>
        <v>0</v>
      </c>
      <c r="GX152" s="91" t="n">
        <f aca="false">IF(Tasks[[#This Row],[_RemFrom]]=0,0,Tasks[[#This Row],[Finish]])</f>
        <v>0</v>
      </c>
      <c r="GY152" s="90" t="b">
        <f aca="false">IF(Tasks[[#This Row],[Task Name]]="",FALSE(),OR(NOT(BaselineSet),N(Tasks[[#This Row],[Baseline Start]])&gt;0))</f>
        <v>0</v>
      </c>
      <c r="GZ15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2" s="92" t="str">
        <f aca="false">IF(Tasks[[#This Row],[_IsLeaf]]=1,Tasks[[#This Row],[_Row]],"")</f>
        <v/>
      </c>
      <c r="HD152" s="92" t="str">
        <f aca="false">IFERROR(INDEX(Tasks[UID],SMALL(Tasks[_PickKey],Tasks[[#This Row],[_Row]]))&amp;" "&amp;INDEX(Tasks[Task Name],SMALL(Tasks[_PickKey],Tasks[[#This Row],[_Row]])),"")</f>
        <v/>
      </c>
      <c r="HE152" s="43" t="str">
        <f aca="false">IF(Tasks[[#This Row],[Task Name]]="","",IF(Tasks[[#This Row],[_IsSummary]],NETWORKDAYS.INTL(Tasks[[#This Row],[Start]],Tasks[[#This Row],[Finish]],WorkWeek,Holidays),N(Tasks[[#This Row],[_Days]])))</f>
        <v/>
      </c>
      <c r="HF152" s="43" t="n">
        <f aca="false">IF(Tasks[[#This Row],[Expected]]="",0,((Tasks[[#This Row],[Pessimistic]]-Tasks[[#This Row],[Optimistic]])/6)^2)</f>
        <v>0</v>
      </c>
      <c r="HG152" s="43" t="n">
        <f aca="false">IF(Tasks[[#This Row],[Expected]]="",0,Tasks[[#This Row],[Expected]]-N(Tasks[[#This Row],[_Days]]))</f>
        <v>0</v>
      </c>
    </row>
    <row r="153" customFormat="false" ht="15" hidden="false" customHeight="false" outlineLevel="0" collapsed="false">
      <c r="A153" s="21" t="str">
        <f aca="false">IF(Tasks[[#This Row],[Task Name]]="","",COUNTA(Tasks[[#Headers],[Task Name]]:Tasks[[#This Row],[Task Name]])-1)</f>
        <v/>
      </c>
      <c r="B153" s="22" t="n">
        <v>161</v>
      </c>
      <c r="C153" s="22"/>
      <c r="D153" s="23"/>
      <c r="E153" s="22"/>
      <c r="F153" s="23"/>
      <c r="G153" s="22"/>
      <c r="H153" s="22"/>
      <c r="I153" s="23"/>
      <c r="J153" s="22"/>
      <c r="K153" s="22"/>
      <c r="L153" s="23"/>
      <c r="M153" s="22"/>
      <c r="N153" s="22"/>
      <c r="O153" s="23"/>
      <c r="P153" s="22"/>
      <c r="Q153" s="22"/>
      <c r="R153" s="23"/>
      <c r="S153" s="23"/>
      <c r="T153" s="84"/>
      <c r="U153" s="23"/>
      <c r="V153" s="84"/>
      <c r="W153" s="23"/>
      <c r="X153" s="84"/>
      <c r="Y153" s="23"/>
      <c r="Z153" s="84"/>
      <c r="AA153" s="23"/>
      <c r="AB153" s="23"/>
      <c r="AC153" s="7"/>
      <c r="AD153" s="7"/>
      <c r="AE153" s="63" t="str">
        <f aca="false">IF(Tasks[[#This Row],[Task Name]]="","",IF(Tasks[[#This Row],[_IsSummary]],MIN(INDEX(Tasks[_ShownFcstStart],Tasks[[#This Row],[_Row]]+1):INDEX(Tasks[_ShownFcstStart],Tasks[[#This Row],[_Row]]+Tasks[[#This Row],[_Descendants]])),Tasks[[#This Row],[_ShownFcstStart]]))</f>
        <v/>
      </c>
      <c r="AF153" s="63" t="str">
        <f aca="false">IF(Tasks[[#This Row],[Task Name]]="","",IF(Tasks[[#This Row],[_IsSummary]],MAX(INDEX(Tasks[_ShownFcstFinish],Tasks[[#This Row],[_Row]]+1):INDEX(Tasks[_ShownFcstFinish],Tasks[[#This Row],[_Row]]+Tasks[[#This Row],[_Descendants]])),Tasks[[#This Row],[_ShownFcstFinish]]))</f>
        <v/>
      </c>
      <c r="AG153" s="21" t="str">
        <f aca="false">""</f>
        <v/>
      </c>
      <c r="AH153" s="23"/>
      <c r="AI1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3" s="7"/>
      <c r="AK153" s="22"/>
      <c r="AL153" s="23"/>
      <c r="AM153" s="7"/>
      <c r="AN153" s="47" t="str">
        <f aca="false">IF(Tasks[[#This Row],[Task Name]]="","",IF(Tasks[[#This Row],[Finish]]&gt;=Tasks[[#This Row],[Planned Finish]],NETWORKDAYS.INTL(Tasks[[#This Row],[Planned Finish]],Tasks[[#This Row],[Finish]],WorkWeek,Holidays)-1,1-NETWORKDAYS.INTL(Tasks[[#This Row],[Finish]],Tasks[[#This Row],[Planned Finish]],WorkWeek,Holidays)))</f>
        <v/>
      </c>
      <c r="AO153" s="21" t="str">
        <f aca="false">IF(Tasks[[#This Row],[Task Name]]="","",IF(Tasks[[#This Row],[Progress]]&gt;=1,"Complete",IF(OR(N(Tasks[[#This Row],[Actual Start]])&gt;0,Tasks[[#This Row],[Progress]]&gt;0),IF(Tasks[[#This Row],[Finish Var]]&gt;0,"Behind","In Progress"),IF(Tasks[[#This Row],[Planned Start]]&lt;StatusDate,"Late Start","Not Started"))))</f>
        <v/>
      </c>
      <c r="AP153" s="21" t="str">
        <f aca="false">IF(Tasks[[#This Row],[Task Name]]="","",IF(IF(Tasks[[#This Row],[_IsSummary]],COUNTIF(INDEX(Tasks[_LeafCritical],Tasks[[#This Row],[_Row]]+1):INDEX(Tasks[_LeafCritical],Tasks[[#This Row],[_Row]]+Tasks[[#This Row],[_Descendants]]),TRUE())&gt;0,Tasks[[#This Row],[_LeafCritical]]),"Yes",""))</f>
        <v/>
      </c>
      <c r="AQ153" s="63" t="str">
        <f aca="false">IF(Tasks[[#This Row],[Task Name]]="","",IF(N(Tasks[[#This Row],[Baseline Start]])&gt;0,Tasks[[#This Row],[Baseline Start]],Tasks[[#This Row],[_CalcStart]]))</f>
        <v/>
      </c>
      <c r="AR153" s="63" t="str">
        <f aca="false">IF(Tasks[[#This Row],[Task Name]]="","",IF(N(Tasks[[#This Row],[Baseline Finish]])&gt;0,Tasks[[#This Row],[Baseline Finish]],Tasks[[#This Row],[_CalcFinish]]))</f>
        <v/>
      </c>
      <c r="AS153" s="47" t="str">
        <f aca="false">IF(Tasks[[#This Row],[Task Name]]="","",IF(Tasks[[#This Row],[Start]]&gt;=Tasks[[#This Row],[Planned Start]],NETWORKDAYS.INTL(Tasks[[#This Row],[Planned Start]],Tasks[[#This Row],[Start]],WorkWeek,Holidays)-1,1-NETWORKDAYS.INTL(Tasks[[#This Row],[Start]],Tasks[[#This Row],[Planned Start]],WorkWeek,Holidays)))</f>
        <v/>
      </c>
      <c r="AT153" s="63" t="str">
        <f aca="false">IF(Tasks[[#This Row],[Task Name]]="","",IF(Tasks[[#This Row],[_IsSummary]],MIN(INDEX(Tasks[_LeafLateStart],Tasks[[#This Row],[_Row]]+1):INDEX(Tasks[_LeafLateStart],Tasks[[#This Row],[_Row]]+Tasks[[#This Row],[_Descendants]])),Tasks[[#This Row],[_LeafLateStart]]))</f>
        <v/>
      </c>
      <c r="AU153" s="63" t="str">
        <f aca="false">IF(Tasks[[#This Row],[Task Name]]="","",IF(Tasks[[#This Row],[_IsSummary]],MAX(INDEX(Tasks[_LeafLateFinish],Tasks[[#This Row],[_Row]]+1):INDEX(Tasks[_LeafLateFinish],Tasks[[#This Row],[_Row]]+Tasks[[#This Row],[_Descendants]])),Tasks[[#This Row],[_LeafLateFinish]]))</f>
        <v/>
      </c>
      <c r="AV153" s="47" t="str">
        <f aca="false">IF(Tasks[[#This Row],[Task Name]]="","",IF(Tasks[[#This Row],[_IsSummary]],MIN(INDEX(Tasks[_LeafTotalSlack],Tasks[[#This Row],[_Row]]+1):INDEX(Tasks[_LeafTotalSlack],Tasks[[#This Row],[_Row]]+Tasks[[#This Row],[_Descendants]])),Tasks[[#This Row],[_LeafTotalSlack]]))</f>
        <v/>
      </c>
      <c r="AW1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5"/>
      <c r="BA15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1" t="str">
        <f aca="false">IF(Tasks[[#This Row],[Task Name]]="","",IF(Tasks[[#This Row],[_Level]]&lt;=OutlineShowLevel,"Yes","No"))</f>
        <v/>
      </c>
      <c r="BE153" s="86" t="str">
        <f aca="false">IF(Tasks[[#This Row],[Task Name]]="","",IF(Tasks[[#This Row],[_IsSummary]],SUM(INDEX(Tasks[_LeafTotalWork],Tasks[[#This Row],[_Row]]+1):INDEX(Tasks[_LeafTotalWork],Tasks[[#This Row],[_Row]]+Tasks[[#This Row],[_Descendants]])),Tasks[[#This Row],[_LeafTotalWork]]))</f>
        <v/>
      </c>
      <c r="BF153" s="23"/>
      <c r="BG1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3" s="21" t="str">
        <f aca="false">""</f>
        <v/>
      </c>
      <c r="BI153" s="87"/>
      <c r="BJ153" s="22"/>
      <c r="BK153" s="47" t="str">
        <f aca="false">IF(OR(Tasks[[#This Row],[Task Name]]="",Tasks[[#This Row],[Baseline Duration]]=""),"",Tasks[[#This Row],[_SpanDays]]-N(Tasks[[#This Row],[Baseline Duration]]))</f>
        <v/>
      </c>
      <c r="BL153" s="86" t="str">
        <f aca="false">IF(OR(Tasks[[#This Row],[Task Name]]="",Tasks[[#This Row],[Baseline Work]]=""),"",Tasks[[#This Row],[Work]]-N(Tasks[[#This Row],[Baseline Work]]))</f>
        <v/>
      </c>
      <c r="BM153" s="63" t="str">
        <f aca="false">IF(Tasks[[#This Row],[Task Name]]="","",IF(OR(TakeBaseline="Yes",N(Tasks[[#This Row],[Baseline Start]])=0),Tasks[[#This Row],[Start]],Tasks[[#This Row],[Baseline Start]]))</f>
        <v/>
      </c>
      <c r="BN153" s="63" t="str">
        <f aca="false">IF(Tasks[[#This Row],[Task Name]]="","",IF(OR(TakeBaseline="Yes",N(Tasks[[#This Row],[Baseline Finish]])=0),Tasks[[#This Row],[Finish]],Tasks[[#This Row],[Baseline Finish]]))</f>
        <v/>
      </c>
      <c r="BO153" s="21" t="str">
        <f aca="false">IF(Tasks[[#This Row],[Task Name]]="","",IF(OR(TakeBaseline="Yes",N(Tasks[[#This Row],[Baseline Duration]])=0),Tasks[[#This Row],[_SpanDays]],Tasks[[#This Row],[Baseline Duration]]))</f>
        <v/>
      </c>
      <c r="BP153" s="86" t="str">
        <f aca="false">IF(Tasks[[#This Row],[Task Name]]="","",IF(OR(TakeBaseline="Yes",N(Tasks[[#This Row],[Baseline Work]])=0),Tasks[[#This Row],[Work]],Tasks[[#This Row],[Baseline Work]]))</f>
        <v/>
      </c>
      <c r="BQ153" s="7"/>
      <c r="BR153" s="7"/>
      <c r="BS153" s="22"/>
      <c r="BT153" s="88"/>
      <c r="BU153" s="23"/>
      <c r="BV153" s="23"/>
      <c r="BW153" s="23"/>
      <c r="BX153" s="89" t="str">
        <f aca="false">IF(AND(Tasks[[#This Row],[_IsLeaf]]=1,ISNUMBER(Tasks[[#This Row],[Optimistic]]),ISNUMBER(Tasks[[#This Row],[Pessimistic]])),ROUND((Tasks[[#This Row],[Optimistic]]+4*N(Tasks[[#This Row],[_Days]])+Tasks[[#This Row],[Pessimistic]])/6,1),"")</f>
        <v/>
      </c>
      <c r="BY153" s="87"/>
      <c r="BZ153" s="87"/>
      <c r="CA153" s="22"/>
      <c r="CB153" s="43" t="str">
        <f aca="false">IF(Tasks[[#This Row],[Task Name]]="","",MAX(1,N(Tasks[[#This Row],[Level]])))</f>
        <v/>
      </c>
      <c r="CC153" s="43" t="n">
        <f aca="false">ROW()-ROW(Tasks[[#Headers],[ID]])</f>
        <v>148</v>
      </c>
      <c r="CD153" s="43" t="n">
        <f aca="false">IF(OR(Tasks[[#This Row],[Task Name]]="",Tasks[[#This Row],[_Level]]&lt;=1),0,IFERROR(LOOKUP(2,1/(Tasks[[#Headers],[_Level]]:Tasks[[#This Row],[_Level]]=Tasks[[#This Row],[_Level]]-1),ROW(Tasks[[#Headers],[_Level]]:Tasks[[#This Row],[_Level]])),0))</f>
        <v>0</v>
      </c>
      <c r="CE153" s="43" t="n">
        <f aca="false">IFERROR(N(INDEX(Tasks[_Level],Tasks[[#This Row],[_Row]]+1)),0)</f>
        <v>0</v>
      </c>
      <c r="CF153" s="90" t="b">
        <f aca="false">AND(Tasks[[#This Row],[Task Name]]&lt;&gt;"",Tasks[[#This Row],[_NextLevel]]&gt;Tasks[[#This Row],[_Level]])</f>
        <v>0</v>
      </c>
      <c r="CG153" s="43" t="n">
        <f aca="false">IF(Tasks[[#This Row],[_IsSummary]],COUNTIF(Tasks[WBS],Tasks[[#This Row],[WBS]]&amp;".*"),0)</f>
        <v>0</v>
      </c>
      <c r="CH153" s="43" t="n">
        <f aca="false">IF(AND(Tasks[[#This Row],[Task Name]]&lt;&gt;"",NOT(Tasks[[#This Row],[_IsSummary]])),1,0)</f>
        <v>0</v>
      </c>
      <c r="CI153" s="43" t="n">
        <f aca="false">IF(N(Tasks[[#This Row],[_Pred1UID]])=0,0,IFERROR(MATCH(Tasks[[#This Row],[_Pred1UID]],Tasks[UID],0),-1))</f>
        <v>0</v>
      </c>
      <c r="CJ153" s="43" t="n">
        <f aca="false">IF(N(Tasks[[#This Row],[_Pred2UID]])=0,0,IFERROR(MATCH(Tasks[[#This Row],[_Pred2UID]],Tasks[UID],0),-1))</f>
        <v>0</v>
      </c>
      <c r="CK153" s="43" t="n">
        <f aca="false">IF(N(Tasks[[#This Row],[_Pred3UID]])=0,0,IFERROR(MATCH(Tasks[[#This Row],[_Pred3UID]],Tasks[UID],0),-1))</f>
        <v>0</v>
      </c>
      <c r="CL153" s="43" t="n">
        <f aca="false">IF(N(Tasks[[#This Row],[_Pred4UID]])=0,0,IFERROR(MATCH(Tasks[[#This Row],[_Pred4UID]],Tasks[UID],0),-1))</f>
        <v>0</v>
      </c>
      <c r="CM15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3" s="91" t="n">
        <f aca="false">IF(OR(Tasks[[#This Row],[_ConstraintCode]]=2,Tasks[[#This Row],[_ConstraintCode]]=3,Tasks[[#This Row],[_ConstraintCode]]=4,Tasks[[#This Row],[_ConstraintCode]]=6),Tasks[[#This Row],[_ConstraintStart]],0)</f>
        <v>0</v>
      </c>
      <c r="CP153" s="91" t="n">
        <f aca="false">IF(OR(Tasks[[#This Row],[_ConstraintCode]]=2,Tasks[[#This Row],[_ConstraintCode]]=3,Tasks[[#This Row],[_ConstraintCode]]=5,Tasks[[#This Row],[_ConstraintCode]]=7),Tasks[[#This Row],[_ConstraintStart]],2958465)</f>
        <v>2958465</v>
      </c>
      <c r="CQ15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3" s="91" t="str">
        <f aca="false">IF(NOT(Tasks[[#This Row],[_IsLeaf]]=1),"",IF(N(Tasks[[#This Row],[_Days]])&lt;=0,Tasks[[#This Row],[_LeafCalcStart]],WORKDAY.INTL(Tasks[[#This Row],[_LeafCalcStart]],Tasks[[#This Row],[_Days]]-1,WorkWeek,Holidays)))</f>
        <v/>
      </c>
      <c r="CS15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3" s="43" t="str">
        <f aca="false">IF(Tasks[[#This Row],[_Predecessors]]="","",TRIM(MID(SUBSTITUTE(SUBSTITUTE(SUBSTITUTE(UPPER(Tasks[[#This Row],[_Predecessors]]),";",",")," ",""),",",REPT(" ",99)),1,99)))</f>
        <v/>
      </c>
      <c r="CV153" s="43" t="str">
        <f aca="false">IF(Tasks[[#This Row],[_Pred1Text]]="","",IFERROR(VALUE(LEFT(Tasks[[#This Row],[_Pred1Text]],MIN(FIND("F",Tasks[[#This Row],[_Pred1Text]]&amp;"F"),FIND("S",Tasks[[#This Row],[_Pred1Text]]&amp;"S"),FIND("+",Tasks[[#This Row],[_Pred1Text]]&amp;"+"),FIND("-",Tasks[[#This Row],[_Pred1Text]]&amp;"-"))-1)),""))</f>
        <v/>
      </c>
      <c r="CW15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3" s="43" t="str">
        <f aca="false">IF(Tasks[[#This Row],[_Pred1Text]]="","",TRIM(MID(SUBSTITUTE(SUBSTITUTE(SUBSTITUTE(UPPER(Tasks[[#This Row],[_Predecessors]]),";",",")," ",""),",",REPT(" ",99)),100,99)))</f>
        <v/>
      </c>
      <c r="CZ153" s="43" t="str">
        <f aca="false">IF(Tasks[[#This Row],[_Pred2Text]]="","",IFERROR(VALUE(LEFT(Tasks[[#This Row],[_Pred2Text]],MIN(FIND("F",Tasks[[#This Row],[_Pred2Text]]&amp;"F"),FIND("S",Tasks[[#This Row],[_Pred2Text]]&amp;"S"),FIND("+",Tasks[[#This Row],[_Pred2Text]]&amp;"+"),FIND("-",Tasks[[#This Row],[_Pred2Text]]&amp;"-"))-1)),""))</f>
        <v/>
      </c>
      <c r="DA15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3" s="43" t="str">
        <f aca="false">IF(Tasks[[#This Row],[_Pred2Text]]="","",TRIM(MID(SUBSTITUTE(SUBSTITUTE(SUBSTITUTE(UPPER(Tasks[[#This Row],[_Predecessors]]),";",",")," ",""),",",REPT(" ",99)),199,99)))</f>
        <v/>
      </c>
      <c r="DD153" s="43" t="str">
        <f aca="false">IF(Tasks[[#This Row],[_Pred3Text]]="","",IFERROR(VALUE(LEFT(Tasks[[#This Row],[_Pred3Text]],MIN(FIND("F",Tasks[[#This Row],[_Pred3Text]]&amp;"F"),FIND("S",Tasks[[#This Row],[_Pred3Text]]&amp;"S"),FIND("+",Tasks[[#This Row],[_Pred3Text]]&amp;"+"),FIND("-",Tasks[[#This Row],[_Pred3Text]]&amp;"-"))-1)),""))</f>
        <v/>
      </c>
      <c r="DE15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3" s="43" t="str">
        <f aca="false">IF(Tasks[[#This Row],[_Pred3Text]]="","",TRIM(MID(SUBSTITUTE(SUBSTITUTE(SUBSTITUTE(UPPER(Tasks[[#This Row],[_Predecessors]]),";",",")," ",""),",",REPT(" ",99)),298,99)))</f>
        <v/>
      </c>
      <c r="DH153" s="43" t="str">
        <f aca="false">IF(Tasks[[#This Row],[_Pred4Text]]="","",IFERROR(VALUE(LEFT(Tasks[[#This Row],[_Pred4Text]],MIN(FIND("F",Tasks[[#This Row],[_Pred4Text]]&amp;"F"),FIND("S",Tasks[[#This Row],[_Pred4Text]]&amp;"S"),FIND("+",Tasks[[#This Row],[_Pred4Text]]&amp;"+"),FIND("-",Tasks[[#This Row],[_Pred4Text]]&amp;"-"))-1)),""))</f>
        <v/>
      </c>
      <c r="DI15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3" s="43" t="str">
        <f aca="false">IF(OR(Tasks[[#This Row],[Task Name]]="",Tasks[[#This Row],[_Resources]]=""),"",TRIM(MID(SUBSTITUTE(Tasks[[#This Row],[_Resources]],",",REPT(" ",99)),1,99)))</f>
        <v/>
      </c>
      <c r="DL153" s="43" t="str">
        <f aca="false">IF(Tasks[[#This Row],[_Res1Text]]="","",TRIM(MID(SUBSTITUTE(Tasks[[#This Row],[_Resources]],",",REPT(" ",99)),100,99)))</f>
        <v/>
      </c>
      <c r="DM153" s="43" t="str">
        <f aca="false">IF(Tasks[[#This Row],[_Res2Text]]="","",TRIM(MID(SUBSTITUTE(Tasks[[#This Row],[_Resources]],",",REPT(" ",99)),199,99)))</f>
        <v/>
      </c>
      <c r="DN153" s="43" t="str">
        <f aca="false">IF(Tasks[[#This Row],[_Res3Text]]="","",TRIM(MID(SUBSTITUTE(Tasks[[#This Row],[_Resources]],",",REPT(" ",99)),298,99)))</f>
        <v/>
      </c>
      <c r="DO153" s="43" t="n">
        <f aca="false">IF(Tasks[[#This Row],[_Res1Text]]="",0,IFERROR(MATCH(TRIM(LEFT(Tasks[[#This Row],[_Res1Text]],FIND("[",Tasks[[#This Row],[_Res1Text]]&amp;"[")-1)),res_Name,0),IFERROR(MATCH(TRIM(LEFT(Tasks[[#This Row],[_Res1Text]],FIND("[",Tasks[[#This Row],[_Res1Text]]&amp;"[")-1)),res_Initials,0),0)))</f>
        <v>0</v>
      </c>
      <c r="DP153" s="43" t="n">
        <f aca="false">IF(Tasks[[#This Row],[_Res2Text]]="",0,IFERROR(MATCH(TRIM(LEFT(Tasks[[#This Row],[_Res2Text]],FIND("[",Tasks[[#This Row],[_Res2Text]]&amp;"[")-1)),res_Name,0),IFERROR(MATCH(TRIM(LEFT(Tasks[[#This Row],[_Res2Text]],FIND("[",Tasks[[#This Row],[_Res2Text]]&amp;"[")-1)),res_Initials,0),0)))</f>
        <v>0</v>
      </c>
      <c r="DQ153" s="43" t="n">
        <f aca="false">IF(Tasks[[#This Row],[_Res3Text]]="",0,IFERROR(MATCH(TRIM(LEFT(Tasks[[#This Row],[_Res3Text]],FIND("[",Tasks[[#This Row],[_Res3Text]]&amp;"[")-1)),res_Name,0),IFERROR(MATCH(TRIM(LEFT(Tasks[[#This Row],[_Res3Text]],FIND("[",Tasks[[#This Row],[_Res3Text]]&amp;"[")-1)),res_Initials,0),0)))</f>
        <v>0</v>
      </c>
      <c r="DR153" s="43" t="n">
        <f aca="false">IF(Tasks[[#This Row],[_Res4Text]]="",0,IFERROR(MATCH(TRIM(LEFT(Tasks[[#This Row],[_Res4Text]],FIND("[",Tasks[[#This Row],[_Res4Text]]&amp;"[")-1)),res_Name,0),IFERROR(MATCH(TRIM(LEFT(Tasks[[#This Row],[_Res4Text]],FIND("[",Tasks[[#This Row],[_Res4Text]]&amp;"[")-1)),res_Initials,0),0)))</f>
        <v>0</v>
      </c>
      <c r="DS153" s="43" t="str">
        <f aca="false">IF(Tasks[[#This Row],[_Res1Text]]="","",IF(Tasks[[#This Row],[_Res1Row]]&gt;0,INDEX(res_Name,Tasks[[#This Row],[_Res1Row]]),TRIM(LEFT(Tasks[[#This Row],[_Res1Text]],FIND("[",Tasks[[#This Row],[_Res1Text]]&amp;"[")-1))))</f>
        <v/>
      </c>
      <c r="DT15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3" s="43" t="n">
        <f aca="false">IF(NOT(Tasks[[#This Row],[_IsLeaf]]=1),0,(Tasks[[#This Row],[_Resource1]]&lt;&gt;"")+(Tasks[[#This Row],[_Res2]]&lt;&gt;"")+(Tasks[[#This Row],[_Res3]]&lt;&gt;"")+(Tasks[[#This Row],[_Res4]]&lt;&gt;""))</f>
        <v>0</v>
      </c>
      <c r="DV153" s="43" t="str">
        <f aca="false">IF(Tasks[[#This Row],[_Res2Text]]="","",IF(Tasks[[#This Row],[_Res2Row]]&gt;0,INDEX(res_Name,Tasks[[#This Row],[_Res2Row]]),TRIM(LEFT(Tasks[[#This Row],[_Res2Text]],FIND("[",Tasks[[#This Row],[_Res2Text]]&amp;"[")-1))))</f>
        <v/>
      </c>
      <c r="DW15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3" s="43" t="n">
        <f aca="false">IF(OR(NOT(Tasks[[#This Row],[_IsLeaf]]=1),Tasks[[#This Row],[_Res2Row]]=0),0,N(Tasks[[#This Row],[_Days]])*HoursPerDay*IF(Tasks[[#This Row],[_Res2Units]]="",DefaultUnits,Tasks[[#This Row],[_Res2Units]]))</f>
        <v>0</v>
      </c>
      <c r="DY153" s="43" t="n">
        <f aca="false">IF(AND(AND(Tasks[[#This Row],[_IsLeaf]]=1,Tasks[[#This Row],[_LeafTotalWork]]&gt;0),Tasks[[#This Row],[_Res2Work]]&gt;0),Tasks[[#This Row],[_Res2Work]]/(Tasks[[#This Row],[_FinishWorkday]]-Tasks[[#This Row],[_StartWorkday]]+1),0)</f>
        <v>0</v>
      </c>
      <c r="DZ153" s="43" t="n">
        <f aca="false">Tasks[[#This Row],[_Res2WorkPerWD]]*MAX(0,Tasks[[#This Row],[_StartWorkday]]-1)</f>
        <v>0</v>
      </c>
      <c r="EA153" s="43" t="n">
        <f aca="false">Tasks[[#This Row],[_Res2Work]]*Tasks[[#This Row],[_LeafProgress]]</f>
        <v>0</v>
      </c>
      <c r="EB153" s="43" t="str">
        <f aca="false">IF(Tasks[[#This Row],[_Res3Text]]="","",IF(Tasks[[#This Row],[_Res3Row]]&gt;0,INDEX(res_Name,Tasks[[#This Row],[_Res3Row]]),TRIM(LEFT(Tasks[[#This Row],[_Res3Text]],FIND("[",Tasks[[#This Row],[_Res3Text]]&amp;"[")-1))))</f>
        <v/>
      </c>
      <c r="EC15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3" s="43" t="n">
        <f aca="false">IF(OR(NOT(Tasks[[#This Row],[_IsLeaf]]=1),Tasks[[#This Row],[_Res3Row]]=0),0,N(Tasks[[#This Row],[_Days]])*HoursPerDay*IF(Tasks[[#This Row],[_Res3Units]]="",DefaultUnits,Tasks[[#This Row],[_Res3Units]]))</f>
        <v>0</v>
      </c>
      <c r="EE153" s="43" t="n">
        <f aca="false">IF(AND(AND(Tasks[[#This Row],[_IsLeaf]]=1,Tasks[[#This Row],[_LeafTotalWork]]&gt;0),Tasks[[#This Row],[_Res3Work]]&gt;0),Tasks[[#This Row],[_Res3Work]]/(Tasks[[#This Row],[_FinishWorkday]]-Tasks[[#This Row],[_StartWorkday]]+1),0)</f>
        <v>0</v>
      </c>
      <c r="EF153" s="43" t="n">
        <f aca="false">Tasks[[#This Row],[_Res3WorkPerWD]]*MAX(0,Tasks[[#This Row],[_StartWorkday]]-1)</f>
        <v>0</v>
      </c>
      <c r="EG153" s="43" t="n">
        <f aca="false">Tasks[[#This Row],[_Res3Work]]*Tasks[[#This Row],[_LeafProgress]]</f>
        <v>0</v>
      </c>
      <c r="EH153" s="43" t="str">
        <f aca="false">IF(Tasks[[#This Row],[_Res4Text]]="","",IF(Tasks[[#This Row],[_Res4Row]]&gt;0,INDEX(res_Name,Tasks[[#This Row],[_Res4Row]]),TRIM(LEFT(Tasks[[#This Row],[_Res4Text]],FIND("[",Tasks[[#This Row],[_Res4Text]]&amp;"[")-1))))</f>
        <v/>
      </c>
      <c r="EI15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3" s="43" t="n">
        <f aca="false">IF(OR(NOT(Tasks[[#This Row],[_IsLeaf]]=1),Tasks[[#This Row],[_Res4Row]]=0),0,N(Tasks[[#This Row],[_Days]])*HoursPerDay*IF(Tasks[[#This Row],[_Res4Units]]="",DefaultUnits,Tasks[[#This Row],[_Res4Units]]))</f>
        <v>0</v>
      </c>
      <c r="EK153" s="43" t="n">
        <f aca="false">IF(AND(AND(Tasks[[#This Row],[_IsLeaf]]=1,Tasks[[#This Row],[_LeafTotalWork]]&gt;0),Tasks[[#This Row],[_Res4Work]]&gt;0),Tasks[[#This Row],[_Res4Work]]/(Tasks[[#This Row],[_FinishWorkday]]-Tasks[[#This Row],[_StartWorkday]]+1),0)</f>
        <v>0</v>
      </c>
      <c r="EL153" s="43" t="n">
        <f aca="false">Tasks[[#This Row],[_Res4WorkPerWD]]*MAX(0,Tasks[[#This Row],[_StartWorkday]]-1)</f>
        <v>0</v>
      </c>
      <c r="EM153" s="43" t="n">
        <f aca="false">Tasks[[#This Row],[_Res4Work]]*Tasks[[#This Row],[_LeafProgress]]</f>
        <v>0</v>
      </c>
      <c r="EN153" s="43" t="n">
        <f aca="false">IF(ISNUMBER(Tasks[[#This Row],[% Complete]]),Tasks[[#This Row],[% Complete]],IF(Tasks[[#This Row],[Stage]]="",0,IFERROR(INDEX(stg_Pct,MATCH(Tasks[[#This Row],[Stage]],stg_Name,0)),0)))</f>
        <v>0</v>
      </c>
      <c r="EO153" s="43" t="n">
        <f aca="false">IF(NOT(Tasks[[#This Row],[_IsLeaf]]=1),0,IF(N(Tasks[[#This Row],[Actual Finish]])&gt;0,1,MIN(1,Tasks[[#This Row],[_Pct]])))</f>
        <v>0</v>
      </c>
      <c r="EP153" s="43" t="n">
        <f aca="false">IF(OR(NOT(Tasks[[#This Row],[_IsLeaf]]=1),Tasks[[#This Row],[_Res1Row]]=0),0,N(Tasks[[#This Row],[_Days]])*HoursPerDay*IF(Tasks[[#This Row],[_Units1]]="",DefaultUnits,Tasks[[#This Row],[_Units1]]))</f>
        <v>0</v>
      </c>
      <c r="EQ153" s="43" t="n">
        <f aca="false">Tasks[[#This Row],[_LeafWork]]+Tasks[[#This Row],[_Res2Work]]+Tasks[[#This Row],[_Res3Work]]+Tasks[[#This Row],[_Res4Work]]</f>
        <v>0</v>
      </c>
      <c r="ER15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3" s="43" t="n">
        <f aca="false">IF(NOT(Tasks[[#This Row],[_IsLeaf]]=1),0,MAX(_xlfn.MAXIFS(Tasks[_Row],Tasks[_Pred1UID],Tasks[[#This Row],[UID]]),_xlfn.MAXIFS(Tasks[_Row],Tasks[_Pred2UID],Tasks[[#This Row],[UID]]),_xlfn.MAXIFS(Tasks[_Row],Tasks[_Pred3UID],Tasks[[#This Row],[UID]]),_xlfn.MAXIFS(Tasks[_Row],Tasks[_Pred4UID],Tasks[[#This Row],[UID]])))</f>
        <v>0</v>
      </c>
      <c r="FA15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3" s="91" t="str">
        <f aca="false">IF(NOT(Tasks[[#This Row],[_IsLeaf]]=1),"",IF(N(Tasks[[#This Row],[_Days]])&lt;=0,Tasks[[#This Row],[_LeafLateFinish]],WORKDAY.INTL(Tasks[[#This Row],[_LeafLateFinish]],-(Tasks[[#This Row],[_Days]]-1),WorkWeek,Holidays)))</f>
        <v/>
      </c>
      <c r="FD15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3" s="90" t="b">
        <f aca="false">AND(Tasks[[#This Row],[_IsLeaf]]=1,Tasks[[#This Row],[_LeafProgress]]&lt;1,N(Tasks[[#This Row],[_LeafTotalSlack]])&lt;=CriticalSlackDays)</f>
        <v>0</v>
      </c>
      <c r="FF153" s="43" t="n">
        <f aca="false">IF(AND(Tasks[[#This Row],[_IsLeaf]]=1,Tasks[[#This Row],[_ConstraintCode]]=1,Tasks[[#This Row],[Mode]]&lt;&gt;"Manual",N(Tasks[[#This Row],[Actual Start]])=0),MAX(0,N(Tasks[[#This Row],[Free Slack]])),0)</f>
        <v>0</v>
      </c>
      <c r="FG153" s="91" t="str">
        <f aca="false">IF(NOT(Tasks[[#This Row],[_IsLeaf]]=1),"",IF(Tasks[[#This Row],[_AlapShift]]=0,Tasks[[#This Row],[_LeafCalcStart]],WORKDAY.INTL(Tasks[[#This Row],[_LeafCalcStart]],Tasks[[#This Row],[_AlapShift]],WorkWeek,Holidays)))</f>
        <v/>
      </c>
      <c r="FH153" s="91" t="str">
        <f aca="false">IF(NOT(Tasks[[#This Row],[_IsLeaf]]=1),"",IF(Tasks[[#This Row],[_AlapShift]]=0,Tasks[[#This Row],[_LeafCalcFinish]],WORKDAY.INTL(Tasks[[#This Row],[_LeafCalcFinish]],Tasks[[#This Row],[_AlapShift]],WorkWeek,Holidays)))</f>
        <v/>
      </c>
      <c r="FI153" s="91" t="str">
        <f aca="false">IF(NOT(Tasks[[#This Row],[_IsLeaf]]=1),"",IF(Tasks[[#This Row],[_AlapShift]]=0,Tasks[[#This Row],[_LeafFcstStart]],WORKDAY.INTL(Tasks[[#This Row],[_LeafFcstStart]],Tasks[[#This Row],[_AlapShift]],WorkWeek,Holidays)))</f>
        <v/>
      </c>
      <c r="FJ153" s="91" t="str">
        <f aca="false">IF(NOT(Tasks[[#This Row],[_IsLeaf]]=1),"",IF(Tasks[[#This Row],[_AlapShift]]=0,Tasks[[#This Row],[_LeafFcstFinish]],WORKDAY.INTL(Tasks[[#This Row],[_LeafFcstFinish]],Tasks[[#This Row],[_AlapShift]],WorkWeek,Holidays)))</f>
        <v/>
      </c>
      <c r="FK153" s="91" t="str">
        <f aca="false">IF(Tasks[[#This Row],[Task Name]]="","",IF(Tasks[[#This Row],[_IsSummary]],MIN(INDEX(Tasks[_ShownCalcStart],Tasks[[#This Row],[_Row]]+1):INDEX(Tasks[_ShownCalcStart],Tasks[[#This Row],[_Row]]+Tasks[[#This Row],[_Descendants]])),Tasks[[#This Row],[_ShownCalcStart]]))</f>
        <v/>
      </c>
      <c r="FL153" s="91" t="str">
        <f aca="false">IF(Tasks[[#This Row],[Task Name]]="","",IF(Tasks[[#This Row],[_IsSummary]],MAX(INDEX(Tasks[_ShownCalcFinish],Tasks[[#This Row],[_Row]]+1):INDEX(Tasks[_ShownCalcFinish],Tasks[[#This Row],[_Row]]+Tasks[[#This Row],[_Descendants]])),Tasks[[#This Row],[_ShownCalcFinish]]))</f>
        <v/>
      </c>
      <c r="FM15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3" s="43" t="n">
        <f aca="false">IF(AND(Tasks[[#This Row],[_IsLeaf]]=1,Tasks[[#This Row],[_LeafTotalWork]]&gt;0),NETWORKDAYS.INTL(ProjectStart,Tasks[[#This Row],[_ShownFcstStart]],WorkWeek,Holidays),0)</f>
        <v>0</v>
      </c>
      <c r="FZ153" s="43" t="n">
        <f aca="false">IF(AND(Tasks[[#This Row],[_IsLeaf]]=1,Tasks[[#This Row],[_LeafTotalWork]]&gt;0),MAX(Tasks[[#This Row],[_StartWorkday]],NETWORKDAYS.INTL(ProjectStart,Tasks[[#This Row],[_ShownFcstFinish]],WorkWeek,Holidays)),0)</f>
        <v>0</v>
      </c>
      <c r="GA153" s="43" t="n">
        <f aca="false">IF(AND(Tasks[[#This Row],[_IsLeaf]]=1,Tasks[[#This Row],[_LeafTotalWork]]&gt;0),Tasks[[#This Row],[_LeafWork]]/(Tasks[[#This Row],[_FinishWorkday]]-Tasks[[#This Row],[_StartWorkday]]+1),0)</f>
        <v>0</v>
      </c>
      <c r="GB153" s="43" t="n">
        <f aca="false">Tasks[[#This Row],[_WorkPerWorkday]]*(Tasks[[#This Row],[_StartWorkday]]-1)</f>
        <v>-0</v>
      </c>
      <c r="GC153" s="43" t="n">
        <f aca="false">IF(Tasks[[#This Row],[_IsLeaf]]=1,MAX(N(Tasks[[#This Row],[_Days]]),0.1),0)</f>
        <v>0</v>
      </c>
      <c r="GD153" s="43" t="n">
        <f aca="false">Tasks[[#This Row],[_WeightDur]]*Tasks[[#This Row],[_LeafProgress]]</f>
        <v>0</v>
      </c>
      <c r="GE153" s="43" t="n">
        <f aca="false">Tasks[[#This Row],[_WeightDur]]*Tasks[[#This Row],[_PlannedPct]]</f>
        <v>0</v>
      </c>
      <c r="GF15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3" s="43" t="str">
        <f aca="false">IF(AND(Tasks[[#This Row],[_IsLeaf]]=1,N(Tasks[[#This Row],[_Days]])=0,Tasks[[#This Row],[_LeafProgress]]&lt;1),Tasks[[#This Row],[_ShownFcstFinish]]+Tasks[[#This Row],[_Row]]/100000,"")</f>
        <v/>
      </c>
      <c r="GH15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3" s="43" t="str">
        <f aca="false">IF(Tasks[[#This Row],[Task Name]]="","",LEFT(Tasks[[#This Row],[WBS]],FIND(".",Tasks[[#This Row],[WBS]]&amp;".")-1))</f>
        <v/>
      </c>
      <c r="GJ153" s="43" t="str">
        <f aca="false">IF(AND(Tasks[[#This Row],[Task Name]]&lt;&gt;"",Tasks[[#This Row],[_Level]]=1),Tasks[[#This Row],[_Row]],"")</f>
        <v/>
      </c>
      <c r="GK153" s="43" t="str">
        <f aca="false">IF(AND(Tasks[[#This Row],[_IsLeaf]]=1,N(Tasks[[#This Row],[_Days]])=0),Tasks[[#This Row],[Planned Finish]]+Tasks[[#This Row],[_Row]]/100000,"")</f>
        <v/>
      </c>
      <c r="GL153" s="43" t="str">
        <f aca="false">IF(AND(Tasks[[#This Row],[_IsLeaf]]=1,Tasks[[#This Row],[_LeafProgress]]&lt;1,OR(N(Tasks[[#This Row],[Finish Var]])&gt;0,Tasks[[#This Row],[Status]]="Late Start")),MAX(0,Tasks[[#This Row],[Finish Var]])+1-Tasks[[#This Row],[_Row]]/1000000,"")</f>
        <v/>
      </c>
      <c r="GM153" s="43" t="str">
        <f aca="false">IF(AND(Tasks[[#This Row],[_IsLeaf]]=1,N(Tasks[[#This Row],[Actual Start]])=0,Tasks[[#This Row],[_ShownFcstStart]]&gt;=StatusDate,Tasks[[#This Row],[_ShownFcstStart]]&lt;=LookaheadEnd),Tasks[[#This Row],[_ShownFcstStart]]+Tasks[[#This Row],[_Row]]/100000,"")</f>
        <v/>
      </c>
      <c r="GN153" s="43" t="str">
        <f aca="false">IF(AND(Tasks[[#This Row],[_IsLeaf]]=1,Tasks[[#This Row],[_LeafProgress]]&lt;1,Tasks[[#This Row],[_ShownFcstFinish]]&gt;=StatusDate,Tasks[[#This Row],[_ShownFcstFinish]]&lt;=LookaheadEnd),Tasks[[#This Row],[_ShownFcstFinish]]+Tasks[[#This Row],[_Row]]/100000,"")</f>
        <v/>
      </c>
      <c r="GO153" s="43" t="str">
        <f aca="false">IF(Tasks[[#This Row],[_LeafCritical]],Tasks[[#This Row],[_ShownFcstStart]]+Tasks[[#This Row],[_Row]]/100000,"")</f>
        <v/>
      </c>
      <c r="GP153" s="43" t="n">
        <f aca="false">Tasks[[#This Row],[_LeafWork]]*Tasks[[#This Row],[_LeafProgress]]</f>
        <v>0</v>
      </c>
      <c r="GQ153" s="91" t="str">
        <f aca="false">IF(AND(Tasks[[#This Row],[_IsLeaf]]=1,Tasks[[#This Row],[_LeafProgress]]&gt;=1),IF(N(Tasks[[#This Row],[Actual Finish]])&gt;0,Tasks[[#This Row],[Actual Finish]],Tasks[[#This Row],[_ShownFcstFinish]]),"")</f>
        <v/>
      </c>
      <c r="GR153" s="43" t="n">
        <f aca="false">IF(Tasks[[#This Row],[_IsLeaf]]=1,N(Tasks[[#This Row],[Story Points]]),0)</f>
        <v>0</v>
      </c>
      <c r="GS153" s="43" t="str">
        <f aca="false">""</f>
        <v/>
      </c>
      <c r="GT153" s="90" t="b">
        <f aca="false">IF(Tasks[[#This Row],[Task Name]]="",FALSE(),AND(Tasks[[#This Row],[_IsLeaf]]=1,N(Tasks[[#This Row],[_Days]])=0))</f>
        <v>0</v>
      </c>
      <c r="GU153" s="91" t="n">
        <f aca="false">IF(Tasks[[#This Row],[Task Name]]="",0,IF(AND(Tasks[[#This Row],[_IsLeaf]]=1,NOT(Tasks[[#This Row],[_IsMilestone]]),N(Tasks[[#This Row],[Progress]])&gt;0),Tasks[[#This Row],[Start]],0))</f>
        <v>0</v>
      </c>
      <c r="GV153" s="91" t="n">
        <f aca="false">IF(Tasks[[#This Row],[_DoneFrom]]=0,0,IF(Tasks[[#This Row],[Progress]]&gt;=1,Tasks[[#This Row],[Finish]],MAX(Tasks[[#This Row],[_DoneFrom]],Tasks[[#This Row],[Start]]+ROUND((Tasks[[#This Row],[Finish]]-Tasks[[#This Row],[Start]]+1)*Tasks[[#This Row],[Progress]],0)-1)))</f>
        <v>0</v>
      </c>
      <c r="GW153" s="91" t="n">
        <f aca="false">IF(Tasks[[#This Row],[Task Name]]="",0,IF(OR(NOT(Tasks[[#This Row],[_IsLeaf]]=1),Tasks[[#This Row],[_IsMilestone]],N(Tasks[[#This Row],[Progress]])&gt;=1),0,IF(Tasks[[#This Row],[_DoneTo]]&gt;0,Tasks[[#This Row],[_DoneTo]]+1,Tasks[[#This Row],[Start]])))</f>
        <v>0</v>
      </c>
      <c r="GX153" s="91" t="n">
        <f aca="false">IF(Tasks[[#This Row],[_RemFrom]]=0,0,Tasks[[#This Row],[Finish]])</f>
        <v>0</v>
      </c>
      <c r="GY153" s="90" t="b">
        <f aca="false">IF(Tasks[[#This Row],[Task Name]]="",FALSE(),OR(NOT(BaselineSet),N(Tasks[[#This Row],[Baseline Start]])&gt;0))</f>
        <v>0</v>
      </c>
      <c r="GZ15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3" s="92" t="str">
        <f aca="false">IF(Tasks[[#This Row],[_IsLeaf]]=1,Tasks[[#This Row],[_Row]],"")</f>
        <v/>
      </c>
      <c r="HD153" s="92" t="str">
        <f aca="false">IFERROR(INDEX(Tasks[UID],SMALL(Tasks[_PickKey],Tasks[[#This Row],[_Row]]))&amp;" "&amp;INDEX(Tasks[Task Name],SMALL(Tasks[_PickKey],Tasks[[#This Row],[_Row]])),"")</f>
        <v/>
      </c>
      <c r="HE153" s="43" t="str">
        <f aca="false">IF(Tasks[[#This Row],[Task Name]]="","",IF(Tasks[[#This Row],[_IsSummary]],NETWORKDAYS.INTL(Tasks[[#This Row],[Start]],Tasks[[#This Row],[Finish]],WorkWeek,Holidays),N(Tasks[[#This Row],[_Days]])))</f>
        <v/>
      </c>
      <c r="HF153" s="43" t="n">
        <f aca="false">IF(Tasks[[#This Row],[Expected]]="",0,((Tasks[[#This Row],[Pessimistic]]-Tasks[[#This Row],[Optimistic]])/6)^2)</f>
        <v>0</v>
      </c>
      <c r="HG153" s="43" t="n">
        <f aca="false">IF(Tasks[[#This Row],[Expected]]="",0,Tasks[[#This Row],[Expected]]-N(Tasks[[#This Row],[_Days]]))</f>
        <v>0</v>
      </c>
    </row>
    <row r="154" customFormat="false" ht="15" hidden="false" customHeight="false" outlineLevel="0" collapsed="false">
      <c r="A154" s="21" t="str">
        <f aca="false">IF(Tasks[[#This Row],[Task Name]]="","",COUNTA(Tasks[[#Headers],[Task Name]]:Tasks[[#This Row],[Task Name]])-1)</f>
        <v/>
      </c>
      <c r="B154" s="22" t="n">
        <v>162</v>
      </c>
      <c r="C154" s="22"/>
      <c r="D154" s="23"/>
      <c r="E154" s="22"/>
      <c r="F154" s="23"/>
      <c r="G154" s="22"/>
      <c r="H154" s="22"/>
      <c r="I154" s="23"/>
      <c r="J154" s="22"/>
      <c r="K154" s="22"/>
      <c r="L154" s="23"/>
      <c r="M154" s="22"/>
      <c r="N154" s="22"/>
      <c r="O154" s="23"/>
      <c r="P154" s="22"/>
      <c r="Q154" s="22"/>
      <c r="R154" s="23"/>
      <c r="S154" s="23"/>
      <c r="T154" s="84"/>
      <c r="U154" s="23"/>
      <c r="V154" s="84"/>
      <c r="W154" s="23"/>
      <c r="X154" s="84"/>
      <c r="Y154" s="23"/>
      <c r="Z154" s="84"/>
      <c r="AA154" s="23"/>
      <c r="AB154" s="23"/>
      <c r="AC154" s="7"/>
      <c r="AD154" s="7"/>
      <c r="AE154" s="63" t="str">
        <f aca="false">IF(Tasks[[#This Row],[Task Name]]="","",IF(Tasks[[#This Row],[_IsSummary]],MIN(INDEX(Tasks[_ShownFcstStart],Tasks[[#This Row],[_Row]]+1):INDEX(Tasks[_ShownFcstStart],Tasks[[#This Row],[_Row]]+Tasks[[#This Row],[_Descendants]])),Tasks[[#This Row],[_ShownFcstStart]]))</f>
        <v/>
      </c>
      <c r="AF154" s="63" t="str">
        <f aca="false">IF(Tasks[[#This Row],[Task Name]]="","",IF(Tasks[[#This Row],[_IsSummary]],MAX(INDEX(Tasks[_ShownFcstFinish],Tasks[[#This Row],[_Row]]+1):INDEX(Tasks[_ShownFcstFinish],Tasks[[#This Row],[_Row]]+Tasks[[#This Row],[_Descendants]])),Tasks[[#This Row],[_ShownFcstFinish]]))</f>
        <v/>
      </c>
      <c r="AG154" s="21" t="str">
        <f aca="false">""</f>
        <v/>
      </c>
      <c r="AH154" s="23"/>
      <c r="AI1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4" s="7"/>
      <c r="AK154" s="22"/>
      <c r="AL154" s="23"/>
      <c r="AM154" s="7"/>
      <c r="AN154" s="47" t="str">
        <f aca="false">IF(Tasks[[#This Row],[Task Name]]="","",IF(Tasks[[#This Row],[Finish]]&gt;=Tasks[[#This Row],[Planned Finish]],NETWORKDAYS.INTL(Tasks[[#This Row],[Planned Finish]],Tasks[[#This Row],[Finish]],WorkWeek,Holidays)-1,1-NETWORKDAYS.INTL(Tasks[[#This Row],[Finish]],Tasks[[#This Row],[Planned Finish]],WorkWeek,Holidays)))</f>
        <v/>
      </c>
      <c r="AO154" s="21" t="str">
        <f aca="false">IF(Tasks[[#This Row],[Task Name]]="","",IF(Tasks[[#This Row],[Progress]]&gt;=1,"Complete",IF(OR(N(Tasks[[#This Row],[Actual Start]])&gt;0,Tasks[[#This Row],[Progress]]&gt;0),IF(Tasks[[#This Row],[Finish Var]]&gt;0,"Behind","In Progress"),IF(Tasks[[#This Row],[Planned Start]]&lt;StatusDate,"Late Start","Not Started"))))</f>
        <v/>
      </c>
      <c r="AP154" s="21" t="str">
        <f aca="false">IF(Tasks[[#This Row],[Task Name]]="","",IF(IF(Tasks[[#This Row],[_IsSummary]],COUNTIF(INDEX(Tasks[_LeafCritical],Tasks[[#This Row],[_Row]]+1):INDEX(Tasks[_LeafCritical],Tasks[[#This Row],[_Row]]+Tasks[[#This Row],[_Descendants]]),TRUE())&gt;0,Tasks[[#This Row],[_LeafCritical]]),"Yes",""))</f>
        <v/>
      </c>
      <c r="AQ154" s="63" t="str">
        <f aca="false">IF(Tasks[[#This Row],[Task Name]]="","",IF(N(Tasks[[#This Row],[Baseline Start]])&gt;0,Tasks[[#This Row],[Baseline Start]],Tasks[[#This Row],[_CalcStart]]))</f>
        <v/>
      </c>
      <c r="AR154" s="63" t="str">
        <f aca="false">IF(Tasks[[#This Row],[Task Name]]="","",IF(N(Tasks[[#This Row],[Baseline Finish]])&gt;0,Tasks[[#This Row],[Baseline Finish]],Tasks[[#This Row],[_CalcFinish]]))</f>
        <v/>
      </c>
      <c r="AS154" s="47" t="str">
        <f aca="false">IF(Tasks[[#This Row],[Task Name]]="","",IF(Tasks[[#This Row],[Start]]&gt;=Tasks[[#This Row],[Planned Start]],NETWORKDAYS.INTL(Tasks[[#This Row],[Planned Start]],Tasks[[#This Row],[Start]],WorkWeek,Holidays)-1,1-NETWORKDAYS.INTL(Tasks[[#This Row],[Start]],Tasks[[#This Row],[Planned Start]],WorkWeek,Holidays)))</f>
        <v/>
      </c>
      <c r="AT154" s="63" t="str">
        <f aca="false">IF(Tasks[[#This Row],[Task Name]]="","",IF(Tasks[[#This Row],[_IsSummary]],MIN(INDEX(Tasks[_LeafLateStart],Tasks[[#This Row],[_Row]]+1):INDEX(Tasks[_LeafLateStart],Tasks[[#This Row],[_Row]]+Tasks[[#This Row],[_Descendants]])),Tasks[[#This Row],[_LeafLateStart]]))</f>
        <v/>
      </c>
      <c r="AU154" s="63" t="str">
        <f aca="false">IF(Tasks[[#This Row],[Task Name]]="","",IF(Tasks[[#This Row],[_IsSummary]],MAX(INDEX(Tasks[_LeafLateFinish],Tasks[[#This Row],[_Row]]+1):INDEX(Tasks[_LeafLateFinish],Tasks[[#This Row],[_Row]]+Tasks[[#This Row],[_Descendants]])),Tasks[[#This Row],[_LeafLateFinish]]))</f>
        <v/>
      </c>
      <c r="AV154" s="47" t="str">
        <f aca="false">IF(Tasks[[#This Row],[Task Name]]="","",IF(Tasks[[#This Row],[_IsSummary]],MIN(INDEX(Tasks[_LeafTotalSlack],Tasks[[#This Row],[_Row]]+1):INDEX(Tasks[_LeafTotalSlack],Tasks[[#This Row],[_Row]]+Tasks[[#This Row],[_Descendants]])),Tasks[[#This Row],[_LeafTotalSlack]]))</f>
        <v/>
      </c>
      <c r="AW1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5"/>
      <c r="BA15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1" t="str">
        <f aca="false">IF(Tasks[[#This Row],[Task Name]]="","",IF(Tasks[[#This Row],[_Level]]&lt;=OutlineShowLevel,"Yes","No"))</f>
        <v/>
      </c>
      <c r="BE154" s="86" t="str">
        <f aca="false">IF(Tasks[[#This Row],[Task Name]]="","",IF(Tasks[[#This Row],[_IsSummary]],SUM(INDEX(Tasks[_LeafTotalWork],Tasks[[#This Row],[_Row]]+1):INDEX(Tasks[_LeafTotalWork],Tasks[[#This Row],[_Row]]+Tasks[[#This Row],[_Descendants]])),Tasks[[#This Row],[_LeafTotalWork]]))</f>
        <v/>
      </c>
      <c r="BF154" s="23"/>
      <c r="BG1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4" s="21" t="str">
        <f aca="false">""</f>
        <v/>
      </c>
      <c r="BI154" s="87"/>
      <c r="BJ154" s="22"/>
      <c r="BK154" s="47" t="str">
        <f aca="false">IF(OR(Tasks[[#This Row],[Task Name]]="",Tasks[[#This Row],[Baseline Duration]]=""),"",Tasks[[#This Row],[_SpanDays]]-N(Tasks[[#This Row],[Baseline Duration]]))</f>
        <v/>
      </c>
      <c r="BL154" s="86" t="str">
        <f aca="false">IF(OR(Tasks[[#This Row],[Task Name]]="",Tasks[[#This Row],[Baseline Work]]=""),"",Tasks[[#This Row],[Work]]-N(Tasks[[#This Row],[Baseline Work]]))</f>
        <v/>
      </c>
      <c r="BM154" s="63" t="str">
        <f aca="false">IF(Tasks[[#This Row],[Task Name]]="","",IF(OR(TakeBaseline="Yes",N(Tasks[[#This Row],[Baseline Start]])=0),Tasks[[#This Row],[Start]],Tasks[[#This Row],[Baseline Start]]))</f>
        <v/>
      </c>
      <c r="BN154" s="63" t="str">
        <f aca="false">IF(Tasks[[#This Row],[Task Name]]="","",IF(OR(TakeBaseline="Yes",N(Tasks[[#This Row],[Baseline Finish]])=0),Tasks[[#This Row],[Finish]],Tasks[[#This Row],[Baseline Finish]]))</f>
        <v/>
      </c>
      <c r="BO154" s="21" t="str">
        <f aca="false">IF(Tasks[[#This Row],[Task Name]]="","",IF(OR(TakeBaseline="Yes",N(Tasks[[#This Row],[Baseline Duration]])=0),Tasks[[#This Row],[_SpanDays]],Tasks[[#This Row],[Baseline Duration]]))</f>
        <v/>
      </c>
      <c r="BP154" s="86" t="str">
        <f aca="false">IF(Tasks[[#This Row],[Task Name]]="","",IF(OR(TakeBaseline="Yes",N(Tasks[[#This Row],[Baseline Work]])=0),Tasks[[#This Row],[Work]],Tasks[[#This Row],[Baseline Work]]))</f>
        <v/>
      </c>
      <c r="BQ154" s="7"/>
      <c r="BR154" s="7"/>
      <c r="BS154" s="22"/>
      <c r="BT154" s="88"/>
      <c r="BU154" s="23"/>
      <c r="BV154" s="23"/>
      <c r="BW154" s="23"/>
      <c r="BX154" s="89" t="str">
        <f aca="false">IF(AND(Tasks[[#This Row],[_IsLeaf]]=1,ISNUMBER(Tasks[[#This Row],[Optimistic]]),ISNUMBER(Tasks[[#This Row],[Pessimistic]])),ROUND((Tasks[[#This Row],[Optimistic]]+4*N(Tasks[[#This Row],[_Days]])+Tasks[[#This Row],[Pessimistic]])/6,1),"")</f>
        <v/>
      </c>
      <c r="BY154" s="87"/>
      <c r="BZ154" s="87"/>
      <c r="CA154" s="22"/>
      <c r="CB154" s="43" t="str">
        <f aca="false">IF(Tasks[[#This Row],[Task Name]]="","",MAX(1,N(Tasks[[#This Row],[Level]])))</f>
        <v/>
      </c>
      <c r="CC154" s="43" t="n">
        <f aca="false">ROW()-ROW(Tasks[[#Headers],[ID]])</f>
        <v>149</v>
      </c>
      <c r="CD154" s="43" t="n">
        <f aca="false">IF(OR(Tasks[[#This Row],[Task Name]]="",Tasks[[#This Row],[_Level]]&lt;=1),0,IFERROR(LOOKUP(2,1/(Tasks[[#Headers],[_Level]]:Tasks[[#This Row],[_Level]]=Tasks[[#This Row],[_Level]]-1),ROW(Tasks[[#Headers],[_Level]]:Tasks[[#This Row],[_Level]])),0))</f>
        <v>0</v>
      </c>
      <c r="CE154" s="43" t="n">
        <f aca="false">IFERROR(N(INDEX(Tasks[_Level],Tasks[[#This Row],[_Row]]+1)),0)</f>
        <v>0</v>
      </c>
      <c r="CF154" s="90" t="b">
        <f aca="false">AND(Tasks[[#This Row],[Task Name]]&lt;&gt;"",Tasks[[#This Row],[_NextLevel]]&gt;Tasks[[#This Row],[_Level]])</f>
        <v>0</v>
      </c>
      <c r="CG154" s="43" t="n">
        <f aca="false">IF(Tasks[[#This Row],[_IsSummary]],COUNTIF(Tasks[WBS],Tasks[[#This Row],[WBS]]&amp;".*"),0)</f>
        <v>0</v>
      </c>
      <c r="CH154" s="43" t="n">
        <f aca="false">IF(AND(Tasks[[#This Row],[Task Name]]&lt;&gt;"",NOT(Tasks[[#This Row],[_IsSummary]])),1,0)</f>
        <v>0</v>
      </c>
      <c r="CI154" s="43" t="n">
        <f aca="false">IF(N(Tasks[[#This Row],[_Pred1UID]])=0,0,IFERROR(MATCH(Tasks[[#This Row],[_Pred1UID]],Tasks[UID],0),-1))</f>
        <v>0</v>
      </c>
      <c r="CJ154" s="43" t="n">
        <f aca="false">IF(N(Tasks[[#This Row],[_Pred2UID]])=0,0,IFERROR(MATCH(Tasks[[#This Row],[_Pred2UID]],Tasks[UID],0),-1))</f>
        <v>0</v>
      </c>
      <c r="CK154" s="43" t="n">
        <f aca="false">IF(N(Tasks[[#This Row],[_Pred3UID]])=0,0,IFERROR(MATCH(Tasks[[#This Row],[_Pred3UID]],Tasks[UID],0),-1))</f>
        <v>0</v>
      </c>
      <c r="CL154" s="43" t="n">
        <f aca="false">IF(N(Tasks[[#This Row],[_Pred4UID]])=0,0,IFERROR(MATCH(Tasks[[#This Row],[_Pred4UID]],Tasks[UID],0),-1))</f>
        <v>0</v>
      </c>
      <c r="CM15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4" s="91" t="n">
        <f aca="false">IF(OR(Tasks[[#This Row],[_ConstraintCode]]=2,Tasks[[#This Row],[_ConstraintCode]]=3,Tasks[[#This Row],[_ConstraintCode]]=4,Tasks[[#This Row],[_ConstraintCode]]=6),Tasks[[#This Row],[_ConstraintStart]],0)</f>
        <v>0</v>
      </c>
      <c r="CP154" s="91" t="n">
        <f aca="false">IF(OR(Tasks[[#This Row],[_ConstraintCode]]=2,Tasks[[#This Row],[_ConstraintCode]]=3,Tasks[[#This Row],[_ConstraintCode]]=5,Tasks[[#This Row],[_ConstraintCode]]=7),Tasks[[#This Row],[_ConstraintStart]],2958465)</f>
        <v>2958465</v>
      </c>
      <c r="CQ15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4" s="91" t="str">
        <f aca="false">IF(NOT(Tasks[[#This Row],[_IsLeaf]]=1),"",IF(N(Tasks[[#This Row],[_Days]])&lt;=0,Tasks[[#This Row],[_LeafCalcStart]],WORKDAY.INTL(Tasks[[#This Row],[_LeafCalcStart]],Tasks[[#This Row],[_Days]]-1,WorkWeek,Holidays)))</f>
        <v/>
      </c>
      <c r="CS15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4" s="43" t="str">
        <f aca="false">IF(Tasks[[#This Row],[_Predecessors]]="","",TRIM(MID(SUBSTITUTE(SUBSTITUTE(SUBSTITUTE(UPPER(Tasks[[#This Row],[_Predecessors]]),";",",")," ",""),",",REPT(" ",99)),1,99)))</f>
        <v/>
      </c>
      <c r="CV154" s="43" t="str">
        <f aca="false">IF(Tasks[[#This Row],[_Pred1Text]]="","",IFERROR(VALUE(LEFT(Tasks[[#This Row],[_Pred1Text]],MIN(FIND("F",Tasks[[#This Row],[_Pred1Text]]&amp;"F"),FIND("S",Tasks[[#This Row],[_Pred1Text]]&amp;"S"),FIND("+",Tasks[[#This Row],[_Pred1Text]]&amp;"+"),FIND("-",Tasks[[#This Row],[_Pred1Text]]&amp;"-"))-1)),""))</f>
        <v/>
      </c>
      <c r="CW15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4" s="43" t="str">
        <f aca="false">IF(Tasks[[#This Row],[_Pred1Text]]="","",TRIM(MID(SUBSTITUTE(SUBSTITUTE(SUBSTITUTE(UPPER(Tasks[[#This Row],[_Predecessors]]),";",",")," ",""),",",REPT(" ",99)),100,99)))</f>
        <v/>
      </c>
      <c r="CZ154" s="43" t="str">
        <f aca="false">IF(Tasks[[#This Row],[_Pred2Text]]="","",IFERROR(VALUE(LEFT(Tasks[[#This Row],[_Pred2Text]],MIN(FIND("F",Tasks[[#This Row],[_Pred2Text]]&amp;"F"),FIND("S",Tasks[[#This Row],[_Pred2Text]]&amp;"S"),FIND("+",Tasks[[#This Row],[_Pred2Text]]&amp;"+"),FIND("-",Tasks[[#This Row],[_Pred2Text]]&amp;"-"))-1)),""))</f>
        <v/>
      </c>
      <c r="DA15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4" s="43" t="str">
        <f aca="false">IF(Tasks[[#This Row],[_Pred2Text]]="","",TRIM(MID(SUBSTITUTE(SUBSTITUTE(SUBSTITUTE(UPPER(Tasks[[#This Row],[_Predecessors]]),";",",")," ",""),",",REPT(" ",99)),199,99)))</f>
        <v/>
      </c>
      <c r="DD154" s="43" t="str">
        <f aca="false">IF(Tasks[[#This Row],[_Pred3Text]]="","",IFERROR(VALUE(LEFT(Tasks[[#This Row],[_Pred3Text]],MIN(FIND("F",Tasks[[#This Row],[_Pred3Text]]&amp;"F"),FIND("S",Tasks[[#This Row],[_Pred3Text]]&amp;"S"),FIND("+",Tasks[[#This Row],[_Pred3Text]]&amp;"+"),FIND("-",Tasks[[#This Row],[_Pred3Text]]&amp;"-"))-1)),""))</f>
        <v/>
      </c>
      <c r="DE15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4" s="43" t="str">
        <f aca="false">IF(Tasks[[#This Row],[_Pred3Text]]="","",TRIM(MID(SUBSTITUTE(SUBSTITUTE(SUBSTITUTE(UPPER(Tasks[[#This Row],[_Predecessors]]),";",",")," ",""),",",REPT(" ",99)),298,99)))</f>
        <v/>
      </c>
      <c r="DH154" s="43" t="str">
        <f aca="false">IF(Tasks[[#This Row],[_Pred4Text]]="","",IFERROR(VALUE(LEFT(Tasks[[#This Row],[_Pred4Text]],MIN(FIND("F",Tasks[[#This Row],[_Pred4Text]]&amp;"F"),FIND("S",Tasks[[#This Row],[_Pred4Text]]&amp;"S"),FIND("+",Tasks[[#This Row],[_Pred4Text]]&amp;"+"),FIND("-",Tasks[[#This Row],[_Pred4Text]]&amp;"-"))-1)),""))</f>
        <v/>
      </c>
      <c r="DI15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4" s="43" t="str">
        <f aca="false">IF(OR(Tasks[[#This Row],[Task Name]]="",Tasks[[#This Row],[_Resources]]=""),"",TRIM(MID(SUBSTITUTE(Tasks[[#This Row],[_Resources]],",",REPT(" ",99)),1,99)))</f>
        <v/>
      </c>
      <c r="DL154" s="43" t="str">
        <f aca="false">IF(Tasks[[#This Row],[_Res1Text]]="","",TRIM(MID(SUBSTITUTE(Tasks[[#This Row],[_Resources]],",",REPT(" ",99)),100,99)))</f>
        <v/>
      </c>
      <c r="DM154" s="43" t="str">
        <f aca="false">IF(Tasks[[#This Row],[_Res2Text]]="","",TRIM(MID(SUBSTITUTE(Tasks[[#This Row],[_Resources]],",",REPT(" ",99)),199,99)))</f>
        <v/>
      </c>
      <c r="DN154" s="43" t="str">
        <f aca="false">IF(Tasks[[#This Row],[_Res3Text]]="","",TRIM(MID(SUBSTITUTE(Tasks[[#This Row],[_Resources]],",",REPT(" ",99)),298,99)))</f>
        <v/>
      </c>
      <c r="DO154" s="43" t="n">
        <f aca="false">IF(Tasks[[#This Row],[_Res1Text]]="",0,IFERROR(MATCH(TRIM(LEFT(Tasks[[#This Row],[_Res1Text]],FIND("[",Tasks[[#This Row],[_Res1Text]]&amp;"[")-1)),res_Name,0),IFERROR(MATCH(TRIM(LEFT(Tasks[[#This Row],[_Res1Text]],FIND("[",Tasks[[#This Row],[_Res1Text]]&amp;"[")-1)),res_Initials,0),0)))</f>
        <v>0</v>
      </c>
      <c r="DP154" s="43" t="n">
        <f aca="false">IF(Tasks[[#This Row],[_Res2Text]]="",0,IFERROR(MATCH(TRIM(LEFT(Tasks[[#This Row],[_Res2Text]],FIND("[",Tasks[[#This Row],[_Res2Text]]&amp;"[")-1)),res_Name,0),IFERROR(MATCH(TRIM(LEFT(Tasks[[#This Row],[_Res2Text]],FIND("[",Tasks[[#This Row],[_Res2Text]]&amp;"[")-1)),res_Initials,0),0)))</f>
        <v>0</v>
      </c>
      <c r="DQ154" s="43" t="n">
        <f aca="false">IF(Tasks[[#This Row],[_Res3Text]]="",0,IFERROR(MATCH(TRIM(LEFT(Tasks[[#This Row],[_Res3Text]],FIND("[",Tasks[[#This Row],[_Res3Text]]&amp;"[")-1)),res_Name,0),IFERROR(MATCH(TRIM(LEFT(Tasks[[#This Row],[_Res3Text]],FIND("[",Tasks[[#This Row],[_Res3Text]]&amp;"[")-1)),res_Initials,0),0)))</f>
        <v>0</v>
      </c>
      <c r="DR154" s="43" t="n">
        <f aca="false">IF(Tasks[[#This Row],[_Res4Text]]="",0,IFERROR(MATCH(TRIM(LEFT(Tasks[[#This Row],[_Res4Text]],FIND("[",Tasks[[#This Row],[_Res4Text]]&amp;"[")-1)),res_Name,0),IFERROR(MATCH(TRIM(LEFT(Tasks[[#This Row],[_Res4Text]],FIND("[",Tasks[[#This Row],[_Res4Text]]&amp;"[")-1)),res_Initials,0),0)))</f>
        <v>0</v>
      </c>
      <c r="DS154" s="43" t="str">
        <f aca="false">IF(Tasks[[#This Row],[_Res1Text]]="","",IF(Tasks[[#This Row],[_Res1Row]]&gt;0,INDEX(res_Name,Tasks[[#This Row],[_Res1Row]]),TRIM(LEFT(Tasks[[#This Row],[_Res1Text]],FIND("[",Tasks[[#This Row],[_Res1Text]]&amp;"[")-1))))</f>
        <v/>
      </c>
      <c r="DT15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4" s="43" t="n">
        <f aca="false">IF(NOT(Tasks[[#This Row],[_IsLeaf]]=1),0,(Tasks[[#This Row],[_Resource1]]&lt;&gt;"")+(Tasks[[#This Row],[_Res2]]&lt;&gt;"")+(Tasks[[#This Row],[_Res3]]&lt;&gt;"")+(Tasks[[#This Row],[_Res4]]&lt;&gt;""))</f>
        <v>0</v>
      </c>
      <c r="DV154" s="43" t="str">
        <f aca="false">IF(Tasks[[#This Row],[_Res2Text]]="","",IF(Tasks[[#This Row],[_Res2Row]]&gt;0,INDEX(res_Name,Tasks[[#This Row],[_Res2Row]]),TRIM(LEFT(Tasks[[#This Row],[_Res2Text]],FIND("[",Tasks[[#This Row],[_Res2Text]]&amp;"[")-1))))</f>
        <v/>
      </c>
      <c r="DW15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4" s="43" t="n">
        <f aca="false">IF(OR(NOT(Tasks[[#This Row],[_IsLeaf]]=1),Tasks[[#This Row],[_Res2Row]]=0),0,N(Tasks[[#This Row],[_Days]])*HoursPerDay*IF(Tasks[[#This Row],[_Res2Units]]="",DefaultUnits,Tasks[[#This Row],[_Res2Units]]))</f>
        <v>0</v>
      </c>
      <c r="DY154" s="43" t="n">
        <f aca="false">IF(AND(AND(Tasks[[#This Row],[_IsLeaf]]=1,Tasks[[#This Row],[_LeafTotalWork]]&gt;0),Tasks[[#This Row],[_Res2Work]]&gt;0),Tasks[[#This Row],[_Res2Work]]/(Tasks[[#This Row],[_FinishWorkday]]-Tasks[[#This Row],[_StartWorkday]]+1),0)</f>
        <v>0</v>
      </c>
      <c r="DZ154" s="43" t="n">
        <f aca="false">Tasks[[#This Row],[_Res2WorkPerWD]]*MAX(0,Tasks[[#This Row],[_StartWorkday]]-1)</f>
        <v>0</v>
      </c>
      <c r="EA154" s="43" t="n">
        <f aca="false">Tasks[[#This Row],[_Res2Work]]*Tasks[[#This Row],[_LeafProgress]]</f>
        <v>0</v>
      </c>
      <c r="EB154" s="43" t="str">
        <f aca="false">IF(Tasks[[#This Row],[_Res3Text]]="","",IF(Tasks[[#This Row],[_Res3Row]]&gt;0,INDEX(res_Name,Tasks[[#This Row],[_Res3Row]]),TRIM(LEFT(Tasks[[#This Row],[_Res3Text]],FIND("[",Tasks[[#This Row],[_Res3Text]]&amp;"[")-1))))</f>
        <v/>
      </c>
      <c r="EC15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4" s="43" t="n">
        <f aca="false">IF(OR(NOT(Tasks[[#This Row],[_IsLeaf]]=1),Tasks[[#This Row],[_Res3Row]]=0),0,N(Tasks[[#This Row],[_Days]])*HoursPerDay*IF(Tasks[[#This Row],[_Res3Units]]="",DefaultUnits,Tasks[[#This Row],[_Res3Units]]))</f>
        <v>0</v>
      </c>
      <c r="EE154" s="43" t="n">
        <f aca="false">IF(AND(AND(Tasks[[#This Row],[_IsLeaf]]=1,Tasks[[#This Row],[_LeafTotalWork]]&gt;0),Tasks[[#This Row],[_Res3Work]]&gt;0),Tasks[[#This Row],[_Res3Work]]/(Tasks[[#This Row],[_FinishWorkday]]-Tasks[[#This Row],[_StartWorkday]]+1),0)</f>
        <v>0</v>
      </c>
      <c r="EF154" s="43" t="n">
        <f aca="false">Tasks[[#This Row],[_Res3WorkPerWD]]*MAX(0,Tasks[[#This Row],[_StartWorkday]]-1)</f>
        <v>0</v>
      </c>
      <c r="EG154" s="43" t="n">
        <f aca="false">Tasks[[#This Row],[_Res3Work]]*Tasks[[#This Row],[_LeafProgress]]</f>
        <v>0</v>
      </c>
      <c r="EH154" s="43" t="str">
        <f aca="false">IF(Tasks[[#This Row],[_Res4Text]]="","",IF(Tasks[[#This Row],[_Res4Row]]&gt;0,INDEX(res_Name,Tasks[[#This Row],[_Res4Row]]),TRIM(LEFT(Tasks[[#This Row],[_Res4Text]],FIND("[",Tasks[[#This Row],[_Res4Text]]&amp;"[")-1))))</f>
        <v/>
      </c>
      <c r="EI15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4" s="43" t="n">
        <f aca="false">IF(OR(NOT(Tasks[[#This Row],[_IsLeaf]]=1),Tasks[[#This Row],[_Res4Row]]=0),0,N(Tasks[[#This Row],[_Days]])*HoursPerDay*IF(Tasks[[#This Row],[_Res4Units]]="",DefaultUnits,Tasks[[#This Row],[_Res4Units]]))</f>
        <v>0</v>
      </c>
      <c r="EK154" s="43" t="n">
        <f aca="false">IF(AND(AND(Tasks[[#This Row],[_IsLeaf]]=1,Tasks[[#This Row],[_LeafTotalWork]]&gt;0),Tasks[[#This Row],[_Res4Work]]&gt;0),Tasks[[#This Row],[_Res4Work]]/(Tasks[[#This Row],[_FinishWorkday]]-Tasks[[#This Row],[_StartWorkday]]+1),0)</f>
        <v>0</v>
      </c>
      <c r="EL154" s="43" t="n">
        <f aca="false">Tasks[[#This Row],[_Res4WorkPerWD]]*MAX(0,Tasks[[#This Row],[_StartWorkday]]-1)</f>
        <v>0</v>
      </c>
      <c r="EM154" s="43" t="n">
        <f aca="false">Tasks[[#This Row],[_Res4Work]]*Tasks[[#This Row],[_LeafProgress]]</f>
        <v>0</v>
      </c>
      <c r="EN154" s="43" t="n">
        <f aca="false">IF(ISNUMBER(Tasks[[#This Row],[% Complete]]),Tasks[[#This Row],[% Complete]],IF(Tasks[[#This Row],[Stage]]="",0,IFERROR(INDEX(stg_Pct,MATCH(Tasks[[#This Row],[Stage]],stg_Name,0)),0)))</f>
        <v>0</v>
      </c>
      <c r="EO154" s="43" t="n">
        <f aca="false">IF(NOT(Tasks[[#This Row],[_IsLeaf]]=1),0,IF(N(Tasks[[#This Row],[Actual Finish]])&gt;0,1,MIN(1,Tasks[[#This Row],[_Pct]])))</f>
        <v>0</v>
      </c>
      <c r="EP154" s="43" t="n">
        <f aca="false">IF(OR(NOT(Tasks[[#This Row],[_IsLeaf]]=1),Tasks[[#This Row],[_Res1Row]]=0),0,N(Tasks[[#This Row],[_Days]])*HoursPerDay*IF(Tasks[[#This Row],[_Units1]]="",DefaultUnits,Tasks[[#This Row],[_Units1]]))</f>
        <v>0</v>
      </c>
      <c r="EQ154" s="43" t="n">
        <f aca="false">Tasks[[#This Row],[_LeafWork]]+Tasks[[#This Row],[_Res2Work]]+Tasks[[#This Row],[_Res3Work]]+Tasks[[#This Row],[_Res4Work]]</f>
        <v>0</v>
      </c>
      <c r="ER15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4" s="43" t="n">
        <f aca="false">IF(NOT(Tasks[[#This Row],[_IsLeaf]]=1),0,MAX(_xlfn.MAXIFS(Tasks[_Row],Tasks[_Pred1UID],Tasks[[#This Row],[UID]]),_xlfn.MAXIFS(Tasks[_Row],Tasks[_Pred2UID],Tasks[[#This Row],[UID]]),_xlfn.MAXIFS(Tasks[_Row],Tasks[_Pred3UID],Tasks[[#This Row],[UID]]),_xlfn.MAXIFS(Tasks[_Row],Tasks[_Pred4UID],Tasks[[#This Row],[UID]])))</f>
        <v>0</v>
      </c>
      <c r="FA15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4" s="91" t="str">
        <f aca="false">IF(NOT(Tasks[[#This Row],[_IsLeaf]]=1),"",IF(N(Tasks[[#This Row],[_Days]])&lt;=0,Tasks[[#This Row],[_LeafLateFinish]],WORKDAY.INTL(Tasks[[#This Row],[_LeafLateFinish]],-(Tasks[[#This Row],[_Days]]-1),WorkWeek,Holidays)))</f>
        <v/>
      </c>
      <c r="FD15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4" s="90" t="b">
        <f aca="false">AND(Tasks[[#This Row],[_IsLeaf]]=1,Tasks[[#This Row],[_LeafProgress]]&lt;1,N(Tasks[[#This Row],[_LeafTotalSlack]])&lt;=CriticalSlackDays)</f>
        <v>0</v>
      </c>
      <c r="FF154" s="43" t="n">
        <f aca="false">IF(AND(Tasks[[#This Row],[_IsLeaf]]=1,Tasks[[#This Row],[_ConstraintCode]]=1,Tasks[[#This Row],[Mode]]&lt;&gt;"Manual",N(Tasks[[#This Row],[Actual Start]])=0),MAX(0,N(Tasks[[#This Row],[Free Slack]])),0)</f>
        <v>0</v>
      </c>
      <c r="FG154" s="91" t="str">
        <f aca="false">IF(NOT(Tasks[[#This Row],[_IsLeaf]]=1),"",IF(Tasks[[#This Row],[_AlapShift]]=0,Tasks[[#This Row],[_LeafCalcStart]],WORKDAY.INTL(Tasks[[#This Row],[_LeafCalcStart]],Tasks[[#This Row],[_AlapShift]],WorkWeek,Holidays)))</f>
        <v/>
      </c>
      <c r="FH154" s="91" t="str">
        <f aca="false">IF(NOT(Tasks[[#This Row],[_IsLeaf]]=1),"",IF(Tasks[[#This Row],[_AlapShift]]=0,Tasks[[#This Row],[_LeafCalcFinish]],WORKDAY.INTL(Tasks[[#This Row],[_LeafCalcFinish]],Tasks[[#This Row],[_AlapShift]],WorkWeek,Holidays)))</f>
        <v/>
      </c>
      <c r="FI154" s="91" t="str">
        <f aca="false">IF(NOT(Tasks[[#This Row],[_IsLeaf]]=1),"",IF(Tasks[[#This Row],[_AlapShift]]=0,Tasks[[#This Row],[_LeafFcstStart]],WORKDAY.INTL(Tasks[[#This Row],[_LeafFcstStart]],Tasks[[#This Row],[_AlapShift]],WorkWeek,Holidays)))</f>
        <v/>
      </c>
      <c r="FJ154" s="91" t="str">
        <f aca="false">IF(NOT(Tasks[[#This Row],[_IsLeaf]]=1),"",IF(Tasks[[#This Row],[_AlapShift]]=0,Tasks[[#This Row],[_LeafFcstFinish]],WORKDAY.INTL(Tasks[[#This Row],[_LeafFcstFinish]],Tasks[[#This Row],[_AlapShift]],WorkWeek,Holidays)))</f>
        <v/>
      </c>
      <c r="FK154" s="91" t="str">
        <f aca="false">IF(Tasks[[#This Row],[Task Name]]="","",IF(Tasks[[#This Row],[_IsSummary]],MIN(INDEX(Tasks[_ShownCalcStart],Tasks[[#This Row],[_Row]]+1):INDEX(Tasks[_ShownCalcStart],Tasks[[#This Row],[_Row]]+Tasks[[#This Row],[_Descendants]])),Tasks[[#This Row],[_ShownCalcStart]]))</f>
        <v/>
      </c>
      <c r="FL154" s="91" t="str">
        <f aca="false">IF(Tasks[[#This Row],[Task Name]]="","",IF(Tasks[[#This Row],[_IsSummary]],MAX(INDEX(Tasks[_ShownCalcFinish],Tasks[[#This Row],[_Row]]+1):INDEX(Tasks[_ShownCalcFinish],Tasks[[#This Row],[_Row]]+Tasks[[#This Row],[_Descendants]])),Tasks[[#This Row],[_ShownCalcFinish]]))</f>
        <v/>
      </c>
      <c r="FM15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4" s="43" t="n">
        <f aca="false">IF(AND(Tasks[[#This Row],[_IsLeaf]]=1,Tasks[[#This Row],[_LeafTotalWork]]&gt;0),NETWORKDAYS.INTL(ProjectStart,Tasks[[#This Row],[_ShownFcstStart]],WorkWeek,Holidays),0)</f>
        <v>0</v>
      </c>
      <c r="FZ154" s="43" t="n">
        <f aca="false">IF(AND(Tasks[[#This Row],[_IsLeaf]]=1,Tasks[[#This Row],[_LeafTotalWork]]&gt;0),MAX(Tasks[[#This Row],[_StartWorkday]],NETWORKDAYS.INTL(ProjectStart,Tasks[[#This Row],[_ShownFcstFinish]],WorkWeek,Holidays)),0)</f>
        <v>0</v>
      </c>
      <c r="GA154" s="43" t="n">
        <f aca="false">IF(AND(Tasks[[#This Row],[_IsLeaf]]=1,Tasks[[#This Row],[_LeafTotalWork]]&gt;0),Tasks[[#This Row],[_LeafWork]]/(Tasks[[#This Row],[_FinishWorkday]]-Tasks[[#This Row],[_StartWorkday]]+1),0)</f>
        <v>0</v>
      </c>
      <c r="GB154" s="43" t="n">
        <f aca="false">Tasks[[#This Row],[_WorkPerWorkday]]*(Tasks[[#This Row],[_StartWorkday]]-1)</f>
        <v>-0</v>
      </c>
      <c r="GC154" s="43" t="n">
        <f aca="false">IF(Tasks[[#This Row],[_IsLeaf]]=1,MAX(N(Tasks[[#This Row],[_Days]]),0.1),0)</f>
        <v>0</v>
      </c>
      <c r="GD154" s="43" t="n">
        <f aca="false">Tasks[[#This Row],[_WeightDur]]*Tasks[[#This Row],[_LeafProgress]]</f>
        <v>0</v>
      </c>
      <c r="GE154" s="43" t="n">
        <f aca="false">Tasks[[#This Row],[_WeightDur]]*Tasks[[#This Row],[_PlannedPct]]</f>
        <v>0</v>
      </c>
      <c r="GF15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4" s="43" t="str">
        <f aca="false">IF(AND(Tasks[[#This Row],[_IsLeaf]]=1,N(Tasks[[#This Row],[_Days]])=0,Tasks[[#This Row],[_LeafProgress]]&lt;1),Tasks[[#This Row],[_ShownFcstFinish]]+Tasks[[#This Row],[_Row]]/100000,"")</f>
        <v/>
      </c>
      <c r="GH15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4" s="43" t="str">
        <f aca="false">IF(Tasks[[#This Row],[Task Name]]="","",LEFT(Tasks[[#This Row],[WBS]],FIND(".",Tasks[[#This Row],[WBS]]&amp;".")-1))</f>
        <v/>
      </c>
      <c r="GJ154" s="43" t="str">
        <f aca="false">IF(AND(Tasks[[#This Row],[Task Name]]&lt;&gt;"",Tasks[[#This Row],[_Level]]=1),Tasks[[#This Row],[_Row]],"")</f>
        <v/>
      </c>
      <c r="GK154" s="43" t="str">
        <f aca="false">IF(AND(Tasks[[#This Row],[_IsLeaf]]=1,N(Tasks[[#This Row],[_Days]])=0),Tasks[[#This Row],[Planned Finish]]+Tasks[[#This Row],[_Row]]/100000,"")</f>
        <v/>
      </c>
      <c r="GL154" s="43" t="str">
        <f aca="false">IF(AND(Tasks[[#This Row],[_IsLeaf]]=1,Tasks[[#This Row],[_LeafProgress]]&lt;1,OR(N(Tasks[[#This Row],[Finish Var]])&gt;0,Tasks[[#This Row],[Status]]="Late Start")),MAX(0,Tasks[[#This Row],[Finish Var]])+1-Tasks[[#This Row],[_Row]]/1000000,"")</f>
        <v/>
      </c>
      <c r="GM154" s="43" t="str">
        <f aca="false">IF(AND(Tasks[[#This Row],[_IsLeaf]]=1,N(Tasks[[#This Row],[Actual Start]])=0,Tasks[[#This Row],[_ShownFcstStart]]&gt;=StatusDate,Tasks[[#This Row],[_ShownFcstStart]]&lt;=LookaheadEnd),Tasks[[#This Row],[_ShownFcstStart]]+Tasks[[#This Row],[_Row]]/100000,"")</f>
        <v/>
      </c>
      <c r="GN154" s="43" t="str">
        <f aca="false">IF(AND(Tasks[[#This Row],[_IsLeaf]]=1,Tasks[[#This Row],[_LeafProgress]]&lt;1,Tasks[[#This Row],[_ShownFcstFinish]]&gt;=StatusDate,Tasks[[#This Row],[_ShownFcstFinish]]&lt;=LookaheadEnd),Tasks[[#This Row],[_ShownFcstFinish]]+Tasks[[#This Row],[_Row]]/100000,"")</f>
        <v/>
      </c>
      <c r="GO154" s="43" t="str">
        <f aca="false">IF(Tasks[[#This Row],[_LeafCritical]],Tasks[[#This Row],[_ShownFcstStart]]+Tasks[[#This Row],[_Row]]/100000,"")</f>
        <v/>
      </c>
      <c r="GP154" s="43" t="n">
        <f aca="false">Tasks[[#This Row],[_LeafWork]]*Tasks[[#This Row],[_LeafProgress]]</f>
        <v>0</v>
      </c>
      <c r="GQ154" s="91" t="str">
        <f aca="false">IF(AND(Tasks[[#This Row],[_IsLeaf]]=1,Tasks[[#This Row],[_LeafProgress]]&gt;=1),IF(N(Tasks[[#This Row],[Actual Finish]])&gt;0,Tasks[[#This Row],[Actual Finish]],Tasks[[#This Row],[_ShownFcstFinish]]),"")</f>
        <v/>
      </c>
      <c r="GR154" s="43" t="n">
        <f aca="false">IF(Tasks[[#This Row],[_IsLeaf]]=1,N(Tasks[[#This Row],[Story Points]]),0)</f>
        <v>0</v>
      </c>
      <c r="GS154" s="43" t="str">
        <f aca="false">""</f>
        <v/>
      </c>
      <c r="GT154" s="90" t="b">
        <f aca="false">IF(Tasks[[#This Row],[Task Name]]="",FALSE(),AND(Tasks[[#This Row],[_IsLeaf]]=1,N(Tasks[[#This Row],[_Days]])=0))</f>
        <v>0</v>
      </c>
      <c r="GU154" s="91" t="n">
        <f aca="false">IF(Tasks[[#This Row],[Task Name]]="",0,IF(AND(Tasks[[#This Row],[_IsLeaf]]=1,NOT(Tasks[[#This Row],[_IsMilestone]]),N(Tasks[[#This Row],[Progress]])&gt;0),Tasks[[#This Row],[Start]],0))</f>
        <v>0</v>
      </c>
      <c r="GV154" s="91" t="n">
        <f aca="false">IF(Tasks[[#This Row],[_DoneFrom]]=0,0,IF(Tasks[[#This Row],[Progress]]&gt;=1,Tasks[[#This Row],[Finish]],MAX(Tasks[[#This Row],[_DoneFrom]],Tasks[[#This Row],[Start]]+ROUND((Tasks[[#This Row],[Finish]]-Tasks[[#This Row],[Start]]+1)*Tasks[[#This Row],[Progress]],0)-1)))</f>
        <v>0</v>
      </c>
      <c r="GW154" s="91" t="n">
        <f aca="false">IF(Tasks[[#This Row],[Task Name]]="",0,IF(OR(NOT(Tasks[[#This Row],[_IsLeaf]]=1),Tasks[[#This Row],[_IsMilestone]],N(Tasks[[#This Row],[Progress]])&gt;=1),0,IF(Tasks[[#This Row],[_DoneTo]]&gt;0,Tasks[[#This Row],[_DoneTo]]+1,Tasks[[#This Row],[Start]])))</f>
        <v>0</v>
      </c>
      <c r="GX154" s="91" t="n">
        <f aca="false">IF(Tasks[[#This Row],[_RemFrom]]=0,0,Tasks[[#This Row],[Finish]])</f>
        <v>0</v>
      </c>
      <c r="GY154" s="90" t="b">
        <f aca="false">IF(Tasks[[#This Row],[Task Name]]="",FALSE(),OR(NOT(BaselineSet),N(Tasks[[#This Row],[Baseline Start]])&gt;0))</f>
        <v>0</v>
      </c>
      <c r="GZ15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4" s="92" t="str">
        <f aca="false">IF(Tasks[[#This Row],[_IsLeaf]]=1,Tasks[[#This Row],[_Row]],"")</f>
        <v/>
      </c>
      <c r="HD154" s="92" t="str">
        <f aca="false">IFERROR(INDEX(Tasks[UID],SMALL(Tasks[_PickKey],Tasks[[#This Row],[_Row]]))&amp;" "&amp;INDEX(Tasks[Task Name],SMALL(Tasks[_PickKey],Tasks[[#This Row],[_Row]])),"")</f>
        <v/>
      </c>
      <c r="HE154" s="43" t="str">
        <f aca="false">IF(Tasks[[#This Row],[Task Name]]="","",IF(Tasks[[#This Row],[_IsSummary]],NETWORKDAYS.INTL(Tasks[[#This Row],[Start]],Tasks[[#This Row],[Finish]],WorkWeek,Holidays),N(Tasks[[#This Row],[_Days]])))</f>
        <v/>
      </c>
      <c r="HF154" s="43" t="n">
        <f aca="false">IF(Tasks[[#This Row],[Expected]]="",0,((Tasks[[#This Row],[Pessimistic]]-Tasks[[#This Row],[Optimistic]])/6)^2)</f>
        <v>0</v>
      </c>
      <c r="HG154" s="43" t="n">
        <f aca="false">IF(Tasks[[#This Row],[Expected]]="",0,Tasks[[#This Row],[Expected]]-N(Tasks[[#This Row],[_Days]]))</f>
        <v>0</v>
      </c>
    </row>
    <row r="155" customFormat="false" ht="15" hidden="false" customHeight="false" outlineLevel="0" collapsed="false">
      <c r="A155" s="21" t="str">
        <f aca="false">IF(Tasks[[#This Row],[Task Name]]="","",COUNTA(Tasks[[#Headers],[Task Name]]:Tasks[[#This Row],[Task Name]])-1)</f>
        <v/>
      </c>
      <c r="B155" s="22" t="n">
        <v>163</v>
      </c>
      <c r="C155" s="22"/>
      <c r="D155" s="23"/>
      <c r="E155" s="22"/>
      <c r="F155" s="23"/>
      <c r="G155" s="22"/>
      <c r="H155" s="22"/>
      <c r="I155" s="23"/>
      <c r="J155" s="22"/>
      <c r="K155" s="22"/>
      <c r="L155" s="23"/>
      <c r="M155" s="22"/>
      <c r="N155" s="22"/>
      <c r="O155" s="23"/>
      <c r="P155" s="22"/>
      <c r="Q155" s="22"/>
      <c r="R155" s="23"/>
      <c r="S155" s="23"/>
      <c r="T155" s="84"/>
      <c r="U155" s="23"/>
      <c r="V155" s="84"/>
      <c r="W155" s="23"/>
      <c r="X155" s="84"/>
      <c r="Y155" s="23"/>
      <c r="Z155" s="84"/>
      <c r="AA155" s="23"/>
      <c r="AB155" s="23"/>
      <c r="AC155" s="7"/>
      <c r="AD155" s="7"/>
      <c r="AE155" s="63" t="str">
        <f aca="false">IF(Tasks[[#This Row],[Task Name]]="","",IF(Tasks[[#This Row],[_IsSummary]],MIN(INDEX(Tasks[_ShownFcstStart],Tasks[[#This Row],[_Row]]+1):INDEX(Tasks[_ShownFcstStart],Tasks[[#This Row],[_Row]]+Tasks[[#This Row],[_Descendants]])),Tasks[[#This Row],[_ShownFcstStart]]))</f>
        <v/>
      </c>
      <c r="AF155" s="63" t="str">
        <f aca="false">IF(Tasks[[#This Row],[Task Name]]="","",IF(Tasks[[#This Row],[_IsSummary]],MAX(INDEX(Tasks[_ShownFcstFinish],Tasks[[#This Row],[_Row]]+1):INDEX(Tasks[_ShownFcstFinish],Tasks[[#This Row],[_Row]]+Tasks[[#This Row],[_Descendants]])),Tasks[[#This Row],[_ShownFcstFinish]]))</f>
        <v/>
      </c>
      <c r="AG155" s="21" t="str">
        <f aca="false">""</f>
        <v/>
      </c>
      <c r="AH155" s="23"/>
      <c r="AI1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5" s="7"/>
      <c r="AK155" s="22"/>
      <c r="AL155" s="23"/>
      <c r="AM155" s="7"/>
      <c r="AN155" s="47" t="str">
        <f aca="false">IF(Tasks[[#This Row],[Task Name]]="","",IF(Tasks[[#This Row],[Finish]]&gt;=Tasks[[#This Row],[Planned Finish]],NETWORKDAYS.INTL(Tasks[[#This Row],[Planned Finish]],Tasks[[#This Row],[Finish]],WorkWeek,Holidays)-1,1-NETWORKDAYS.INTL(Tasks[[#This Row],[Finish]],Tasks[[#This Row],[Planned Finish]],WorkWeek,Holidays)))</f>
        <v/>
      </c>
      <c r="AO155" s="21" t="str">
        <f aca="false">IF(Tasks[[#This Row],[Task Name]]="","",IF(Tasks[[#This Row],[Progress]]&gt;=1,"Complete",IF(OR(N(Tasks[[#This Row],[Actual Start]])&gt;0,Tasks[[#This Row],[Progress]]&gt;0),IF(Tasks[[#This Row],[Finish Var]]&gt;0,"Behind","In Progress"),IF(Tasks[[#This Row],[Planned Start]]&lt;StatusDate,"Late Start","Not Started"))))</f>
        <v/>
      </c>
      <c r="AP155" s="21" t="str">
        <f aca="false">IF(Tasks[[#This Row],[Task Name]]="","",IF(IF(Tasks[[#This Row],[_IsSummary]],COUNTIF(INDEX(Tasks[_LeafCritical],Tasks[[#This Row],[_Row]]+1):INDEX(Tasks[_LeafCritical],Tasks[[#This Row],[_Row]]+Tasks[[#This Row],[_Descendants]]),TRUE())&gt;0,Tasks[[#This Row],[_LeafCritical]]),"Yes",""))</f>
        <v/>
      </c>
      <c r="AQ155" s="63" t="str">
        <f aca="false">IF(Tasks[[#This Row],[Task Name]]="","",IF(N(Tasks[[#This Row],[Baseline Start]])&gt;0,Tasks[[#This Row],[Baseline Start]],Tasks[[#This Row],[_CalcStart]]))</f>
        <v/>
      </c>
      <c r="AR155" s="63" t="str">
        <f aca="false">IF(Tasks[[#This Row],[Task Name]]="","",IF(N(Tasks[[#This Row],[Baseline Finish]])&gt;0,Tasks[[#This Row],[Baseline Finish]],Tasks[[#This Row],[_CalcFinish]]))</f>
        <v/>
      </c>
      <c r="AS155" s="47" t="str">
        <f aca="false">IF(Tasks[[#This Row],[Task Name]]="","",IF(Tasks[[#This Row],[Start]]&gt;=Tasks[[#This Row],[Planned Start]],NETWORKDAYS.INTL(Tasks[[#This Row],[Planned Start]],Tasks[[#This Row],[Start]],WorkWeek,Holidays)-1,1-NETWORKDAYS.INTL(Tasks[[#This Row],[Start]],Tasks[[#This Row],[Planned Start]],WorkWeek,Holidays)))</f>
        <v/>
      </c>
      <c r="AT155" s="63" t="str">
        <f aca="false">IF(Tasks[[#This Row],[Task Name]]="","",IF(Tasks[[#This Row],[_IsSummary]],MIN(INDEX(Tasks[_LeafLateStart],Tasks[[#This Row],[_Row]]+1):INDEX(Tasks[_LeafLateStart],Tasks[[#This Row],[_Row]]+Tasks[[#This Row],[_Descendants]])),Tasks[[#This Row],[_LeafLateStart]]))</f>
        <v/>
      </c>
      <c r="AU155" s="63" t="str">
        <f aca="false">IF(Tasks[[#This Row],[Task Name]]="","",IF(Tasks[[#This Row],[_IsSummary]],MAX(INDEX(Tasks[_LeafLateFinish],Tasks[[#This Row],[_Row]]+1):INDEX(Tasks[_LeafLateFinish],Tasks[[#This Row],[_Row]]+Tasks[[#This Row],[_Descendants]])),Tasks[[#This Row],[_LeafLateFinish]]))</f>
        <v/>
      </c>
      <c r="AV155" s="47" t="str">
        <f aca="false">IF(Tasks[[#This Row],[Task Name]]="","",IF(Tasks[[#This Row],[_IsSummary]],MIN(INDEX(Tasks[_LeafTotalSlack],Tasks[[#This Row],[_Row]]+1):INDEX(Tasks[_LeafTotalSlack],Tasks[[#This Row],[_Row]]+Tasks[[#This Row],[_Descendants]])),Tasks[[#This Row],[_LeafTotalSlack]]))</f>
        <v/>
      </c>
      <c r="AW1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5"/>
      <c r="BA15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1" t="str">
        <f aca="false">IF(Tasks[[#This Row],[Task Name]]="","",IF(Tasks[[#This Row],[_Level]]&lt;=OutlineShowLevel,"Yes","No"))</f>
        <v/>
      </c>
      <c r="BE155" s="86" t="str">
        <f aca="false">IF(Tasks[[#This Row],[Task Name]]="","",IF(Tasks[[#This Row],[_IsSummary]],SUM(INDEX(Tasks[_LeafTotalWork],Tasks[[#This Row],[_Row]]+1):INDEX(Tasks[_LeafTotalWork],Tasks[[#This Row],[_Row]]+Tasks[[#This Row],[_Descendants]])),Tasks[[#This Row],[_LeafTotalWork]]))</f>
        <v/>
      </c>
      <c r="BF155" s="23"/>
      <c r="BG1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5" s="21" t="str">
        <f aca="false">""</f>
        <v/>
      </c>
      <c r="BI155" s="87"/>
      <c r="BJ155" s="22"/>
      <c r="BK155" s="47" t="str">
        <f aca="false">IF(OR(Tasks[[#This Row],[Task Name]]="",Tasks[[#This Row],[Baseline Duration]]=""),"",Tasks[[#This Row],[_SpanDays]]-N(Tasks[[#This Row],[Baseline Duration]]))</f>
        <v/>
      </c>
      <c r="BL155" s="86" t="str">
        <f aca="false">IF(OR(Tasks[[#This Row],[Task Name]]="",Tasks[[#This Row],[Baseline Work]]=""),"",Tasks[[#This Row],[Work]]-N(Tasks[[#This Row],[Baseline Work]]))</f>
        <v/>
      </c>
      <c r="BM155" s="63" t="str">
        <f aca="false">IF(Tasks[[#This Row],[Task Name]]="","",IF(OR(TakeBaseline="Yes",N(Tasks[[#This Row],[Baseline Start]])=0),Tasks[[#This Row],[Start]],Tasks[[#This Row],[Baseline Start]]))</f>
        <v/>
      </c>
      <c r="BN155" s="63" t="str">
        <f aca="false">IF(Tasks[[#This Row],[Task Name]]="","",IF(OR(TakeBaseline="Yes",N(Tasks[[#This Row],[Baseline Finish]])=0),Tasks[[#This Row],[Finish]],Tasks[[#This Row],[Baseline Finish]]))</f>
        <v/>
      </c>
      <c r="BO155" s="21" t="str">
        <f aca="false">IF(Tasks[[#This Row],[Task Name]]="","",IF(OR(TakeBaseline="Yes",N(Tasks[[#This Row],[Baseline Duration]])=0),Tasks[[#This Row],[_SpanDays]],Tasks[[#This Row],[Baseline Duration]]))</f>
        <v/>
      </c>
      <c r="BP155" s="86" t="str">
        <f aca="false">IF(Tasks[[#This Row],[Task Name]]="","",IF(OR(TakeBaseline="Yes",N(Tasks[[#This Row],[Baseline Work]])=0),Tasks[[#This Row],[Work]],Tasks[[#This Row],[Baseline Work]]))</f>
        <v/>
      </c>
      <c r="BQ155" s="7"/>
      <c r="BR155" s="7"/>
      <c r="BS155" s="22"/>
      <c r="BT155" s="88"/>
      <c r="BU155" s="23"/>
      <c r="BV155" s="23"/>
      <c r="BW155" s="23"/>
      <c r="BX155" s="89" t="str">
        <f aca="false">IF(AND(Tasks[[#This Row],[_IsLeaf]]=1,ISNUMBER(Tasks[[#This Row],[Optimistic]]),ISNUMBER(Tasks[[#This Row],[Pessimistic]])),ROUND((Tasks[[#This Row],[Optimistic]]+4*N(Tasks[[#This Row],[_Days]])+Tasks[[#This Row],[Pessimistic]])/6,1),"")</f>
        <v/>
      </c>
      <c r="BY155" s="87"/>
      <c r="BZ155" s="87"/>
      <c r="CA155" s="22"/>
      <c r="CB155" s="43" t="str">
        <f aca="false">IF(Tasks[[#This Row],[Task Name]]="","",MAX(1,N(Tasks[[#This Row],[Level]])))</f>
        <v/>
      </c>
      <c r="CC155" s="43" t="n">
        <f aca="false">ROW()-ROW(Tasks[[#Headers],[ID]])</f>
        <v>150</v>
      </c>
      <c r="CD155" s="43" t="n">
        <f aca="false">IF(OR(Tasks[[#This Row],[Task Name]]="",Tasks[[#This Row],[_Level]]&lt;=1),0,IFERROR(LOOKUP(2,1/(Tasks[[#Headers],[_Level]]:Tasks[[#This Row],[_Level]]=Tasks[[#This Row],[_Level]]-1),ROW(Tasks[[#Headers],[_Level]]:Tasks[[#This Row],[_Level]])),0))</f>
        <v>0</v>
      </c>
      <c r="CE155" s="43" t="n">
        <f aca="false">IFERROR(N(INDEX(Tasks[_Level],Tasks[[#This Row],[_Row]]+1)),0)</f>
        <v>0</v>
      </c>
      <c r="CF155" s="90" t="b">
        <f aca="false">AND(Tasks[[#This Row],[Task Name]]&lt;&gt;"",Tasks[[#This Row],[_NextLevel]]&gt;Tasks[[#This Row],[_Level]])</f>
        <v>0</v>
      </c>
      <c r="CG155" s="43" t="n">
        <f aca="false">IF(Tasks[[#This Row],[_IsSummary]],COUNTIF(Tasks[WBS],Tasks[[#This Row],[WBS]]&amp;".*"),0)</f>
        <v>0</v>
      </c>
      <c r="CH155" s="43" t="n">
        <f aca="false">IF(AND(Tasks[[#This Row],[Task Name]]&lt;&gt;"",NOT(Tasks[[#This Row],[_IsSummary]])),1,0)</f>
        <v>0</v>
      </c>
      <c r="CI155" s="43" t="n">
        <f aca="false">IF(N(Tasks[[#This Row],[_Pred1UID]])=0,0,IFERROR(MATCH(Tasks[[#This Row],[_Pred1UID]],Tasks[UID],0),-1))</f>
        <v>0</v>
      </c>
      <c r="CJ155" s="43" t="n">
        <f aca="false">IF(N(Tasks[[#This Row],[_Pred2UID]])=0,0,IFERROR(MATCH(Tasks[[#This Row],[_Pred2UID]],Tasks[UID],0),-1))</f>
        <v>0</v>
      </c>
      <c r="CK155" s="43" t="n">
        <f aca="false">IF(N(Tasks[[#This Row],[_Pred3UID]])=0,0,IFERROR(MATCH(Tasks[[#This Row],[_Pred3UID]],Tasks[UID],0),-1))</f>
        <v>0</v>
      </c>
      <c r="CL155" s="43" t="n">
        <f aca="false">IF(N(Tasks[[#This Row],[_Pred4UID]])=0,0,IFERROR(MATCH(Tasks[[#This Row],[_Pred4UID]],Tasks[UID],0),-1))</f>
        <v>0</v>
      </c>
      <c r="CM15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5" s="91" t="n">
        <f aca="false">IF(OR(Tasks[[#This Row],[_ConstraintCode]]=2,Tasks[[#This Row],[_ConstraintCode]]=3,Tasks[[#This Row],[_ConstraintCode]]=4,Tasks[[#This Row],[_ConstraintCode]]=6),Tasks[[#This Row],[_ConstraintStart]],0)</f>
        <v>0</v>
      </c>
      <c r="CP155" s="91" t="n">
        <f aca="false">IF(OR(Tasks[[#This Row],[_ConstraintCode]]=2,Tasks[[#This Row],[_ConstraintCode]]=3,Tasks[[#This Row],[_ConstraintCode]]=5,Tasks[[#This Row],[_ConstraintCode]]=7),Tasks[[#This Row],[_ConstraintStart]],2958465)</f>
        <v>2958465</v>
      </c>
      <c r="CQ15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5" s="91" t="str">
        <f aca="false">IF(NOT(Tasks[[#This Row],[_IsLeaf]]=1),"",IF(N(Tasks[[#This Row],[_Days]])&lt;=0,Tasks[[#This Row],[_LeafCalcStart]],WORKDAY.INTL(Tasks[[#This Row],[_LeafCalcStart]],Tasks[[#This Row],[_Days]]-1,WorkWeek,Holidays)))</f>
        <v/>
      </c>
      <c r="CS15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5" s="43" t="str">
        <f aca="false">IF(Tasks[[#This Row],[_Predecessors]]="","",TRIM(MID(SUBSTITUTE(SUBSTITUTE(SUBSTITUTE(UPPER(Tasks[[#This Row],[_Predecessors]]),";",",")," ",""),",",REPT(" ",99)),1,99)))</f>
        <v/>
      </c>
      <c r="CV155" s="43" t="str">
        <f aca="false">IF(Tasks[[#This Row],[_Pred1Text]]="","",IFERROR(VALUE(LEFT(Tasks[[#This Row],[_Pred1Text]],MIN(FIND("F",Tasks[[#This Row],[_Pred1Text]]&amp;"F"),FIND("S",Tasks[[#This Row],[_Pred1Text]]&amp;"S"),FIND("+",Tasks[[#This Row],[_Pred1Text]]&amp;"+"),FIND("-",Tasks[[#This Row],[_Pred1Text]]&amp;"-"))-1)),""))</f>
        <v/>
      </c>
      <c r="CW15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5" s="43" t="str">
        <f aca="false">IF(Tasks[[#This Row],[_Pred1Text]]="","",TRIM(MID(SUBSTITUTE(SUBSTITUTE(SUBSTITUTE(UPPER(Tasks[[#This Row],[_Predecessors]]),";",",")," ",""),",",REPT(" ",99)),100,99)))</f>
        <v/>
      </c>
      <c r="CZ155" s="43" t="str">
        <f aca="false">IF(Tasks[[#This Row],[_Pred2Text]]="","",IFERROR(VALUE(LEFT(Tasks[[#This Row],[_Pred2Text]],MIN(FIND("F",Tasks[[#This Row],[_Pred2Text]]&amp;"F"),FIND("S",Tasks[[#This Row],[_Pred2Text]]&amp;"S"),FIND("+",Tasks[[#This Row],[_Pred2Text]]&amp;"+"),FIND("-",Tasks[[#This Row],[_Pred2Text]]&amp;"-"))-1)),""))</f>
        <v/>
      </c>
      <c r="DA15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5" s="43" t="str">
        <f aca="false">IF(Tasks[[#This Row],[_Pred2Text]]="","",TRIM(MID(SUBSTITUTE(SUBSTITUTE(SUBSTITUTE(UPPER(Tasks[[#This Row],[_Predecessors]]),";",",")," ",""),",",REPT(" ",99)),199,99)))</f>
        <v/>
      </c>
      <c r="DD155" s="43" t="str">
        <f aca="false">IF(Tasks[[#This Row],[_Pred3Text]]="","",IFERROR(VALUE(LEFT(Tasks[[#This Row],[_Pred3Text]],MIN(FIND("F",Tasks[[#This Row],[_Pred3Text]]&amp;"F"),FIND("S",Tasks[[#This Row],[_Pred3Text]]&amp;"S"),FIND("+",Tasks[[#This Row],[_Pred3Text]]&amp;"+"),FIND("-",Tasks[[#This Row],[_Pred3Text]]&amp;"-"))-1)),""))</f>
        <v/>
      </c>
      <c r="DE15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5" s="43" t="str">
        <f aca="false">IF(Tasks[[#This Row],[_Pred3Text]]="","",TRIM(MID(SUBSTITUTE(SUBSTITUTE(SUBSTITUTE(UPPER(Tasks[[#This Row],[_Predecessors]]),";",",")," ",""),",",REPT(" ",99)),298,99)))</f>
        <v/>
      </c>
      <c r="DH155" s="43" t="str">
        <f aca="false">IF(Tasks[[#This Row],[_Pred4Text]]="","",IFERROR(VALUE(LEFT(Tasks[[#This Row],[_Pred4Text]],MIN(FIND("F",Tasks[[#This Row],[_Pred4Text]]&amp;"F"),FIND("S",Tasks[[#This Row],[_Pred4Text]]&amp;"S"),FIND("+",Tasks[[#This Row],[_Pred4Text]]&amp;"+"),FIND("-",Tasks[[#This Row],[_Pred4Text]]&amp;"-"))-1)),""))</f>
        <v/>
      </c>
      <c r="DI15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5" s="43" t="str">
        <f aca="false">IF(OR(Tasks[[#This Row],[Task Name]]="",Tasks[[#This Row],[_Resources]]=""),"",TRIM(MID(SUBSTITUTE(Tasks[[#This Row],[_Resources]],",",REPT(" ",99)),1,99)))</f>
        <v/>
      </c>
      <c r="DL155" s="43" t="str">
        <f aca="false">IF(Tasks[[#This Row],[_Res1Text]]="","",TRIM(MID(SUBSTITUTE(Tasks[[#This Row],[_Resources]],",",REPT(" ",99)),100,99)))</f>
        <v/>
      </c>
      <c r="DM155" s="43" t="str">
        <f aca="false">IF(Tasks[[#This Row],[_Res2Text]]="","",TRIM(MID(SUBSTITUTE(Tasks[[#This Row],[_Resources]],",",REPT(" ",99)),199,99)))</f>
        <v/>
      </c>
      <c r="DN155" s="43" t="str">
        <f aca="false">IF(Tasks[[#This Row],[_Res3Text]]="","",TRIM(MID(SUBSTITUTE(Tasks[[#This Row],[_Resources]],",",REPT(" ",99)),298,99)))</f>
        <v/>
      </c>
      <c r="DO155" s="43" t="n">
        <f aca="false">IF(Tasks[[#This Row],[_Res1Text]]="",0,IFERROR(MATCH(TRIM(LEFT(Tasks[[#This Row],[_Res1Text]],FIND("[",Tasks[[#This Row],[_Res1Text]]&amp;"[")-1)),res_Name,0),IFERROR(MATCH(TRIM(LEFT(Tasks[[#This Row],[_Res1Text]],FIND("[",Tasks[[#This Row],[_Res1Text]]&amp;"[")-1)),res_Initials,0),0)))</f>
        <v>0</v>
      </c>
      <c r="DP155" s="43" t="n">
        <f aca="false">IF(Tasks[[#This Row],[_Res2Text]]="",0,IFERROR(MATCH(TRIM(LEFT(Tasks[[#This Row],[_Res2Text]],FIND("[",Tasks[[#This Row],[_Res2Text]]&amp;"[")-1)),res_Name,0),IFERROR(MATCH(TRIM(LEFT(Tasks[[#This Row],[_Res2Text]],FIND("[",Tasks[[#This Row],[_Res2Text]]&amp;"[")-1)),res_Initials,0),0)))</f>
        <v>0</v>
      </c>
      <c r="DQ155" s="43" t="n">
        <f aca="false">IF(Tasks[[#This Row],[_Res3Text]]="",0,IFERROR(MATCH(TRIM(LEFT(Tasks[[#This Row],[_Res3Text]],FIND("[",Tasks[[#This Row],[_Res3Text]]&amp;"[")-1)),res_Name,0),IFERROR(MATCH(TRIM(LEFT(Tasks[[#This Row],[_Res3Text]],FIND("[",Tasks[[#This Row],[_Res3Text]]&amp;"[")-1)),res_Initials,0),0)))</f>
        <v>0</v>
      </c>
      <c r="DR155" s="43" t="n">
        <f aca="false">IF(Tasks[[#This Row],[_Res4Text]]="",0,IFERROR(MATCH(TRIM(LEFT(Tasks[[#This Row],[_Res4Text]],FIND("[",Tasks[[#This Row],[_Res4Text]]&amp;"[")-1)),res_Name,0),IFERROR(MATCH(TRIM(LEFT(Tasks[[#This Row],[_Res4Text]],FIND("[",Tasks[[#This Row],[_Res4Text]]&amp;"[")-1)),res_Initials,0),0)))</f>
        <v>0</v>
      </c>
      <c r="DS155" s="43" t="str">
        <f aca="false">IF(Tasks[[#This Row],[_Res1Text]]="","",IF(Tasks[[#This Row],[_Res1Row]]&gt;0,INDEX(res_Name,Tasks[[#This Row],[_Res1Row]]),TRIM(LEFT(Tasks[[#This Row],[_Res1Text]],FIND("[",Tasks[[#This Row],[_Res1Text]]&amp;"[")-1))))</f>
        <v/>
      </c>
      <c r="DT15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5" s="43" t="n">
        <f aca="false">IF(NOT(Tasks[[#This Row],[_IsLeaf]]=1),0,(Tasks[[#This Row],[_Resource1]]&lt;&gt;"")+(Tasks[[#This Row],[_Res2]]&lt;&gt;"")+(Tasks[[#This Row],[_Res3]]&lt;&gt;"")+(Tasks[[#This Row],[_Res4]]&lt;&gt;""))</f>
        <v>0</v>
      </c>
      <c r="DV155" s="43" t="str">
        <f aca="false">IF(Tasks[[#This Row],[_Res2Text]]="","",IF(Tasks[[#This Row],[_Res2Row]]&gt;0,INDEX(res_Name,Tasks[[#This Row],[_Res2Row]]),TRIM(LEFT(Tasks[[#This Row],[_Res2Text]],FIND("[",Tasks[[#This Row],[_Res2Text]]&amp;"[")-1))))</f>
        <v/>
      </c>
      <c r="DW15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5" s="43" t="n">
        <f aca="false">IF(OR(NOT(Tasks[[#This Row],[_IsLeaf]]=1),Tasks[[#This Row],[_Res2Row]]=0),0,N(Tasks[[#This Row],[_Days]])*HoursPerDay*IF(Tasks[[#This Row],[_Res2Units]]="",DefaultUnits,Tasks[[#This Row],[_Res2Units]]))</f>
        <v>0</v>
      </c>
      <c r="DY155" s="43" t="n">
        <f aca="false">IF(AND(AND(Tasks[[#This Row],[_IsLeaf]]=1,Tasks[[#This Row],[_LeafTotalWork]]&gt;0),Tasks[[#This Row],[_Res2Work]]&gt;0),Tasks[[#This Row],[_Res2Work]]/(Tasks[[#This Row],[_FinishWorkday]]-Tasks[[#This Row],[_StartWorkday]]+1),0)</f>
        <v>0</v>
      </c>
      <c r="DZ155" s="43" t="n">
        <f aca="false">Tasks[[#This Row],[_Res2WorkPerWD]]*MAX(0,Tasks[[#This Row],[_StartWorkday]]-1)</f>
        <v>0</v>
      </c>
      <c r="EA155" s="43" t="n">
        <f aca="false">Tasks[[#This Row],[_Res2Work]]*Tasks[[#This Row],[_LeafProgress]]</f>
        <v>0</v>
      </c>
      <c r="EB155" s="43" t="str">
        <f aca="false">IF(Tasks[[#This Row],[_Res3Text]]="","",IF(Tasks[[#This Row],[_Res3Row]]&gt;0,INDEX(res_Name,Tasks[[#This Row],[_Res3Row]]),TRIM(LEFT(Tasks[[#This Row],[_Res3Text]],FIND("[",Tasks[[#This Row],[_Res3Text]]&amp;"[")-1))))</f>
        <v/>
      </c>
      <c r="EC15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5" s="43" t="n">
        <f aca="false">IF(OR(NOT(Tasks[[#This Row],[_IsLeaf]]=1),Tasks[[#This Row],[_Res3Row]]=0),0,N(Tasks[[#This Row],[_Days]])*HoursPerDay*IF(Tasks[[#This Row],[_Res3Units]]="",DefaultUnits,Tasks[[#This Row],[_Res3Units]]))</f>
        <v>0</v>
      </c>
      <c r="EE155" s="43" t="n">
        <f aca="false">IF(AND(AND(Tasks[[#This Row],[_IsLeaf]]=1,Tasks[[#This Row],[_LeafTotalWork]]&gt;0),Tasks[[#This Row],[_Res3Work]]&gt;0),Tasks[[#This Row],[_Res3Work]]/(Tasks[[#This Row],[_FinishWorkday]]-Tasks[[#This Row],[_StartWorkday]]+1),0)</f>
        <v>0</v>
      </c>
      <c r="EF155" s="43" t="n">
        <f aca="false">Tasks[[#This Row],[_Res3WorkPerWD]]*MAX(0,Tasks[[#This Row],[_StartWorkday]]-1)</f>
        <v>0</v>
      </c>
      <c r="EG155" s="43" t="n">
        <f aca="false">Tasks[[#This Row],[_Res3Work]]*Tasks[[#This Row],[_LeafProgress]]</f>
        <v>0</v>
      </c>
      <c r="EH155" s="43" t="str">
        <f aca="false">IF(Tasks[[#This Row],[_Res4Text]]="","",IF(Tasks[[#This Row],[_Res4Row]]&gt;0,INDEX(res_Name,Tasks[[#This Row],[_Res4Row]]),TRIM(LEFT(Tasks[[#This Row],[_Res4Text]],FIND("[",Tasks[[#This Row],[_Res4Text]]&amp;"[")-1))))</f>
        <v/>
      </c>
      <c r="EI15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5" s="43" t="n">
        <f aca="false">IF(OR(NOT(Tasks[[#This Row],[_IsLeaf]]=1),Tasks[[#This Row],[_Res4Row]]=0),0,N(Tasks[[#This Row],[_Days]])*HoursPerDay*IF(Tasks[[#This Row],[_Res4Units]]="",DefaultUnits,Tasks[[#This Row],[_Res4Units]]))</f>
        <v>0</v>
      </c>
      <c r="EK155" s="43" t="n">
        <f aca="false">IF(AND(AND(Tasks[[#This Row],[_IsLeaf]]=1,Tasks[[#This Row],[_LeafTotalWork]]&gt;0),Tasks[[#This Row],[_Res4Work]]&gt;0),Tasks[[#This Row],[_Res4Work]]/(Tasks[[#This Row],[_FinishWorkday]]-Tasks[[#This Row],[_StartWorkday]]+1),0)</f>
        <v>0</v>
      </c>
      <c r="EL155" s="43" t="n">
        <f aca="false">Tasks[[#This Row],[_Res4WorkPerWD]]*MAX(0,Tasks[[#This Row],[_StartWorkday]]-1)</f>
        <v>0</v>
      </c>
      <c r="EM155" s="43" t="n">
        <f aca="false">Tasks[[#This Row],[_Res4Work]]*Tasks[[#This Row],[_LeafProgress]]</f>
        <v>0</v>
      </c>
      <c r="EN155" s="43" t="n">
        <f aca="false">IF(ISNUMBER(Tasks[[#This Row],[% Complete]]),Tasks[[#This Row],[% Complete]],IF(Tasks[[#This Row],[Stage]]="",0,IFERROR(INDEX(stg_Pct,MATCH(Tasks[[#This Row],[Stage]],stg_Name,0)),0)))</f>
        <v>0</v>
      </c>
      <c r="EO155" s="43" t="n">
        <f aca="false">IF(NOT(Tasks[[#This Row],[_IsLeaf]]=1),0,IF(N(Tasks[[#This Row],[Actual Finish]])&gt;0,1,MIN(1,Tasks[[#This Row],[_Pct]])))</f>
        <v>0</v>
      </c>
      <c r="EP155" s="43" t="n">
        <f aca="false">IF(OR(NOT(Tasks[[#This Row],[_IsLeaf]]=1),Tasks[[#This Row],[_Res1Row]]=0),0,N(Tasks[[#This Row],[_Days]])*HoursPerDay*IF(Tasks[[#This Row],[_Units1]]="",DefaultUnits,Tasks[[#This Row],[_Units1]]))</f>
        <v>0</v>
      </c>
      <c r="EQ155" s="43" t="n">
        <f aca="false">Tasks[[#This Row],[_LeafWork]]+Tasks[[#This Row],[_Res2Work]]+Tasks[[#This Row],[_Res3Work]]+Tasks[[#This Row],[_Res4Work]]</f>
        <v>0</v>
      </c>
      <c r="ER15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5" s="43" t="n">
        <f aca="false">IF(NOT(Tasks[[#This Row],[_IsLeaf]]=1),0,MAX(_xlfn.MAXIFS(Tasks[_Row],Tasks[_Pred1UID],Tasks[[#This Row],[UID]]),_xlfn.MAXIFS(Tasks[_Row],Tasks[_Pred2UID],Tasks[[#This Row],[UID]]),_xlfn.MAXIFS(Tasks[_Row],Tasks[_Pred3UID],Tasks[[#This Row],[UID]]),_xlfn.MAXIFS(Tasks[_Row],Tasks[_Pred4UID],Tasks[[#This Row],[UID]])))</f>
        <v>0</v>
      </c>
      <c r="FA15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5" s="91" t="str">
        <f aca="false">IF(NOT(Tasks[[#This Row],[_IsLeaf]]=1),"",IF(N(Tasks[[#This Row],[_Days]])&lt;=0,Tasks[[#This Row],[_LeafLateFinish]],WORKDAY.INTL(Tasks[[#This Row],[_LeafLateFinish]],-(Tasks[[#This Row],[_Days]]-1),WorkWeek,Holidays)))</f>
        <v/>
      </c>
      <c r="FD15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5" s="90" t="b">
        <f aca="false">AND(Tasks[[#This Row],[_IsLeaf]]=1,Tasks[[#This Row],[_LeafProgress]]&lt;1,N(Tasks[[#This Row],[_LeafTotalSlack]])&lt;=CriticalSlackDays)</f>
        <v>0</v>
      </c>
      <c r="FF155" s="43" t="n">
        <f aca="false">IF(AND(Tasks[[#This Row],[_IsLeaf]]=1,Tasks[[#This Row],[_ConstraintCode]]=1,Tasks[[#This Row],[Mode]]&lt;&gt;"Manual",N(Tasks[[#This Row],[Actual Start]])=0),MAX(0,N(Tasks[[#This Row],[Free Slack]])),0)</f>
        <v>0</v>
      </c>
      <c r="FG155" s="91" t="str">
        <f aca="false">IF(NOT(Tasks[[#This Row],[_IsLeaf]]=1),"",IF(Tasks[[#This Row],[_AlapShift]]=0,Tasks[[#This Row],[_LeafCalcStart]],WORKDAY.INTL(Tasks[[#This Row],[_LeafCalcStart]],Tasks[[#This Row],[_AlapShift]],WorkWeek,Holidays)))</f>
        <v/>
      </c>
      <c r="FH155" s="91" t="str">
        <f aca="false">IF(NOT(Tasks[[#This Row],[_IsLeaf]]=1),"",IF(Tasks[[#This Row],[_AlapShift]]=0,Tasks[[#This Row],[_LeafCalcFinish]],WORKDAY.INTL(Tasks[[#This Row],[_LeafCalcFinish]],Tasks[[#This Row],[_AlapShift]],WorkWeek,Holidays)))</f>
        <v/>
      </c>
      <c r="FI155" s="91" t="str">
        <f aca="false">IF(NOT(Tasks[[#This Row],[_IsLeaf]]=1),"",IF(Tasks[[#This Row],[_AlapShift]]=0,Tasks[[#This Row],[_LeafFcstStart]],WORKDAY.INTL(Tasks[[#This Row],[_LeafFcstStart]],Tasks[[#This Row],[_AlapShift]],WorkWeek,Holidays)))</f>
        <v/>
      </c>
      <c r="FJ155" s="91" t="str">
        <f aca="false">IF(NOT(Tasks[[#This Row],[_IsLeaf]]=1),"",IF(Tasks[[#This Row],[_AlapShift]]=0,Tasks[[#This Row],[_LeafFcstFinish]],WORKDAY.INTL(Tasks[[#This Row],[_LeafFcstFinish]],Tasks[[#This Row],[_AlapShift]],WorkWeek,Holidays)))</f>
        <v/>
      </c>
      <c r="FK155" s="91" t="str">
        <f aca="false">IF(Tasks[[#This Row],[Task Name]]="","",IF(Tasks[[#This Row],[_IsSummary]],MIN(INDEX(Tasks[_ShownCalcStart],Tasks[[#This Row],[_Row]]+1):INDEX(Tasks[_ShownCalcStart],Tasks[[#This Row],[_Row]]+Tasks[[#This Row],[_Descendants]])),Tasks[[#This Row],[_ShownCalcStart]]))</f>
        <v/>
      </c>
      <c r="FL155" s="91" t="str">
        <f aca="false">IF(Tasks[[#This Row],[Task Name]]="","",IF(Tasks[[#This Row],[_IsSummary]],MAX(INDEX(Tasks[_ShownCalcFinish],Tasks[[#This Row],[_Row]]+1):INDEX(Tasks[_ShownCalcFinish],Tasks[[#This Row],[_Row]]+Tasks[[#This Row],[_Descendants]])),Tasks[[#This Row],[_ShownCalcFinish]]))</f>
        <v/>
      </c>
      <c r="FM15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5" s="43" t="n">
        <f aca="false">IF(AND(Tasks[[#This Row],[_IsLeaf]]=1,Tasks[[#This Row],[_LeafTotalWork]]&gt;0),NETWORKDAYS.INTL(ProjectStart,Tasks[[#This Row],[_ShownFcstStart]],WorkWeek,Holidays),0)</f>
        <v>0</v>
      </c>
      <c r="FZ155" s="43" t="n">
        <f aca="false">IF(AND(Tasks[[#This Row],[_IsLeaf]]=1,Tasks[[#This Row],[_LeafTotalWork]]&gt;0),MAX(Tasks[[#This Row],[_StartWorkday]],NETWORKDAYS.INTL(ProjectStart,Tasks[[#This Row],[_ShownFcstFinish]],WorkWeek,Holidays)),0)</f>
        <v>0</v>
      </c>
      <c r="GA155" s="43" t="n">
        <f aca="false">IF(AND(Tasks[[#This Row],[_IsLeaf]]=1,Tasks[[#This Row],[_LeafTotalWork]]&gt;0),Tasks[[#This Row],[_LeafWork]]/(Tasks[[#This Row],[_FinishWorkday]]-Tasks[[#This Row],[_StartWorkday]]+1),0)</f>
        <v>0</v>
      </c>
      <c r="GB155" s="43" t="n">
        <f aca="false">Tasks[[#This Row],[_WorkPerWorkday]]*(Tasks[[#This Row],[_StartWorkday]]-1)</f>
        <v>-0</v>
      </c>
      <c r="GC155" s="43" t="n">
        <f aca="false">IF(Tasks[[#This Row],[_IsLeaf]]=1,MAX(N(Tasks[[#This Row],[_Days]]),0.1),0)</f>
        <v>0</v>
      </c>
      <c r="GD155" s="43" t="n">
        <f aca="false">Tasks[[#This Row],[_WeightDur]]*Tasks[[#This Row],[_LeafProgress]]</f>
        <v>0</v>
      </c>
      <c r="GE155" s="43" t="n">
        <f aca="false">Tasks[[#This Row],[_WeightDur]]*Tasks[[#This Row],[_PlannedPct]]</f>
        <v>0</v>
      </c>
      <c r="GF15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5" s="43" t="str">
        <f aca="false">IF(AND(Tasks[[#This Row],[_IsLeaf]]=1,N(Tasks[[#This Row],[_Days]])=0,Tasks[[#This Row],[_LeafProgress]]&lt;1),Tasks[[#This Row],[_ShownFcstFinish]]+Tasks[[#This Row],[_Row]]/100000,"")</f>
        <v/>
      </c>
      <c r="GH15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5" s="43" t="str">
        <f aca="false">IF(Tasks[[#This Row],[Task Name]]="","",LEFT(Tasks[[#This Row],[WBS]],FIND(".",Tasks[[#This Row],[WBS]]&amp;".")-1))</f>
        <v/>
      </c>
      <c r="GJ155" s="43" t="str">
        <f aca="false">IF(AND(Tasks[[#This Row],[Task Name]]&lt;&gt;"",Tasks[[#This Row],[_Level]]=1),Tasks[[#This Row],[_Row]],"")</f>
        <v/>
      </c>
      <c r="GK155" s="43" t="str">
        <f aca="false">IF(AND(Tasks[[#This Row],[_IsLeaf]]=1,N(Tasks[[#This Row],[_Days]])=0),Tasks[[#This Row],[Planned Finish]]+Tasks[[#This Row],[_Row]]/100000,"")</f>
        <v/>
      </c>
      <c r="GL155" s="43" t="str">
        <f aca="false">IF(AND(Tasks[[#This Row],[_IsLeaf]]=1,Tasks[[#This Row],[_LeafProgress]]&lt;1,OR(N(Tasks[[#This Row],[Finish Var]])&gt;0,Tasks[[#This Row],[Status]]="Late Start")),MAX(0,Tasks[[#This Row],[Finish Var]])+1-Tasks[[#This Row],[_Row]]/1000000,"")</f>
        <v/>
      </c>
      <c r="GM155" s="43" t="str">
        <f aca="false">IF(AND(Tasks[[#This Row],[_IsLeaf]]=1,N(Tasks[[#This Row],[Actual Start]])=0,Tasks[[#This Row],[_ShownFcstStart]]&gt;=StatusDate,Tasks[[#This Row],[_ShownFcstStart]]&lt;=LookaheadEnd),Tasks[[#This Row],[_ShownFcstStart]]+Tasks[[#This Row],[_Row]]/100000,"")</f>
        <v/>
      </c>
      <c r="GN155" s="43" t="str">
        <f aca="false">IF(AND(Tasks[[#This Row],[_IsLeaf]]=1,Tasks[[#This Row],[_LeafProgress]]&lt;1,Tasks[[#This Row],[_ShownFcstFinish]]&gt;=StatusDate,Tasks[[#This Row],[_ShownFcstFinish]]&lt;=LookaheadEnd),Tasks[[#This Row],[_ShownFcstFinish]]+Tasks[[#This Row],[_Row]]/100000,"")</f>
        <v/>
      </c>
      <c r="GO155" s="43" t="str">
        <f aca="false">IF(Tasks[[#This Row],[_LeafCritical]],Tasks[[#This Row],[_ShownFcstStart]]+Tasks[[#This Row],[_Row]]/100000,"")</f>
        <v/>
      </c>
      <c r="GP155" s="43" t="n">
        <f aca="false">Tasks[[#This Row],[_LeafWork]]*Tasks[[#This Row],[_LeafProgress]]</f>
        <v>0</v>
      </c>
      <c r="GQ155" s="91" t="str">
        <f aca="false">IF(AND(Tasks[[#This Row],[_IsLeaf]]=1,Tasks[[#This Row],[_LeafProgress]]&gt;=1),IF(N(Tasks[[#This Row],[Actual Finish]])&gt;0,Tasks[[#This Row],[Actual Finish]],Tasks[[#This Row],[_ShownFcstFinish]]),"")</f>
        <v/>
      </c>
      <c r="GR155" s="43" t="n">
        <f aca="false">IF(Tasks[[#This Row],[_IsLeaf]]=1,N(Tasks[[#This Row],[Story Points]]),0)</f>
        <v>0</v>
      </c>
      <c r="GS155" s="43" t="str">
        <f aca="false">""</f>
        <v/>
      </c>
      <c r="GT155" s="90" t="b">
        <f aca="false">IF(Tasks[[#This Row],[Task Name]]="",FALSE(),AND(Tasks[[#This Row],[_IsLeaf]]=1,N(Tasks[[#This Row],[_Days]])=0))</f>
        <v>0</v>
      </c>
      <c r="GU155" s="91" t="n">
        <f aca="false">IF(Tasks[[#This Row],[Task Name]]="",0,IF(AND(Tasks[[#This Row],[_IsLeaf]]=1,NOT(Tasks[[#This Row],[_IsMilestone]]),N(Tasks[[#This Row],[Progress]])&gt;0),Tasks[[#This Row],[Start]],0))</f>
        <v>0</v>
      </c>
      <c r="GV155" s="91" t="n">
        <f aca="false">IF(Tasks[[#This Row],[_DoneFrom]]=0,0,IF(Tasks[[#This Row],[Progress]]&gt;=1,Tasks[[#This Row],[Finish]],MAX(Tasks[[#This Row],[_DoneFrom]],Tasks[[#This Row],[Start]]+ROUND((Tasks[[#This Row],[Finish]]-Tasks[[#This Row],[Start]]+1)*Tasks[[#This Row],[Progress]],0)-1)))</f>
        <v>0</v>
      </c>
      <c r="GW155" s="91" t="n">
        <f aca="false">IF(Tasks[[#This Row],[Task Name]]="",0,IF(OR(NOT(Tasks[[#This Row],[_IsLeaf]]=1),Tasks[[#This Row],[_IsMilestone]],N(Tasks[[#This Row],[Progress]])&gt;=1),0,IF(Tasks[[#This Row],[_DoneTo]]&gt;0,Tasks[[#This Row],[_DoneTo]]+1,Tasks[[#This Row],[Start]])))</f>
        <v>0</v>
      </c>
      <c r="GX155" s="91" t="n">
        <f aca="false">IF(Tasks[[#This Row],[_RemFrom]]=0,0,Tasks[[#This Row],[Finish]])</f>
        <v>0</v>
      </c>
      <c r="GY155" s="90" t="b">
        <f aca="false">IF(Tasks[[#This Row],[Task Name]]="",FALSE(),OR(NOT(BaselineSet),N(Tasks[[#This Row],[Baseline Start]])&gt;0))</f>
        <v>0</v>
      </c>
      <c r="GZ15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5" s="92" t="str">
        <f aca="false">IF(Tasks[[#This Row],[_IsLeaf]]=1,Tasks[[#This Row],[_Row]],"")</f>
        <v/>
      </c>
      <c r="HD155" s="92" t="str">
        <f aca="false">IFERROR(INDEX(Tasks[UID],SMALL(Tasks[_PickKey],Tasks[[#This Row],[_Row]]))&amp;" "&amp;INDEX(Tasks[Task Name],SMALL(Tasks[_PickKey],Tasks[[#This Row],[_Row]])),"")</f>
        <v/>
      </c>
      <c r="HE155" s="43" t="str">
        <f aca="false">IF(Tasks[[#This Row],[Task Name]]="","",IF(Tasks[[#This Row],[_IsSummary]],NETWORKDAYS.INTL(Tasks[[#This Row],[Start]],Tasks[[#This Row],[Finish]],WorkWeek,Holidays),N(Tasks[[#This Row],[_Days]])))</f>
        <v/>
      </c>
      <c r="HF155" s="43" t="n">
        <f aca="false">IF(Tasks[[#This Row],[Expected]]="",0,((Tasks[[#This Row],[Pessimistic]]-Tasks[[#This Row],[Optimistic]])/6)^2)</f>
        <v>0</v>
      </c>
      <c r="HG155" s="43" t="n">
        <f aca="false">IF(Tasks[[#This Row],[Expected]]="",0,Tasks[[#This Row],[Expected]]-N(Tasks[[#This Row],[_Days]]))</f>
        <v>0</v>
      </c>
    </row>
    <row r="156" customFormat="false" ht="15" hidden="false" customHeight="false" outlineLevel="0" collapsed="false">
      <c r="A156" s="21" t="str">
        <f aca="false">IF(Tasks[[#This Row],[Task Name]]="","",COUNTA(Tasks[[#Headers],[Task Name]]:Tasks[[#This Row],[Task Name]])-1)</f>
        <v/>
      </c>
      <c r="B156" s="22" t="n">
        <v>164</v>
      </c>
      <c r="C156" s="22"/>
      <c r="D156" s="23"/>
      <c r="E156" s="22"/>
      <c r="F156" s="23"/>
      <c r="G156" s="22"/>
      <c r="H156" s="22"/>
      <c r="I156" s="23"/>
      <c r="J156" s="22"/>
      <c r="K156" s="22"/>
      <c r="L156" s="23"/>
      <c r="M156" s="22"/>
      <c r="N156" s="22"/>
      <c r="O156" s="23"/>
      <c r="P156" s="22"/>
      <c r="Q156" s="22"/>
      <c r="R156" s="23"/>
      <c r="S156" s="23"/>
      <c r="T156" s="84"/>
      <c r="U156" s="23"/>
      <c r="V156" s="84"/>
      <c r="W156" s="23"/>
      <c r="X156" s="84"/>
      <c r="Y156" s="23"/>
      <c r="Z156" s="84"/>
      <c r="AA156" s="23"/>
      <c r="AB156" s="23"/>
      <c r="AC156" s="7"/>
      <c r="AD156" s="7"/>
      <c r="AE156" s="63" t="str">
        <f aca="false">IF(Tasks[[#This Row],[Task Name]]="","",IF(Tasks[[#This Row],[_IsSummary]],MIN(INDEX(Tasks[_ShownFcstStart],Tasks[[#This Row],[_Row]]+1):INDEX(Tasks[_ShownFcstStart],Tasks[[#This Row],[_Row]]+Tasks[[#This Row],[_Descendants]])),Tasks[[#This Row],[_ShownFcstStart]]))</f>
        <v/>
      </c>
      <c r="AF156" s="63" t="str">
        <f aca="false">IF(Tasks[[#This Row],[Task Name]]="","",IF(Tasks[[#This Row],[_IsSummary]],MAX(INDEX(Tasks[_ShownFcstFinish],Tasks[[#This Row],[_Row]]+1):INDEX(Tasks[_ShownFcstFinish],Tasks[[#This Row],[_Row]]+Tasks[[#This Row],[_Descendants]])),Tasks[[#This Row],[_ShownFcstFinish]]))</f>
        <v/>
      </c>
      <c r="AG156" s="21" t="str">
        <f aca="false">""</f>
        <v/>
      </c>
      <c r="AH156" s="23"/>
      <c r="AI1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6" s="7"/>
      <c r="AK156" s="22"/>
      <c r="AL156" s="23"/>
      <c r="AM156" s="7"/>
      <c r="AN156" s="47" t="str">
        <f aca="false">IF(Tasks[[#This Row],[Task Name]]="","",IF(Tasks[[#This Row],[Finish]]&gt;=Tasks[[#This Row],[Planned Finish]],NETWORKDAYS.INTL(Tasks[[#This Row],[Planned Finish]],Tasks[[#This Row],[Finish]],WorkWeek,Holidays)-1,1-NETWORKDAYS.INTL(Tasks[[#This Row],[Finish]],Tasks[[#This Row],[Planned Finish]],WorkWeek,Holidays)))</f>
        <v/>
      </c>
      <c r="AO156" s="21" t="str">
        <f aca="false">IF(Tasks[[#This Row],[Task Name]]="","",IF(Tasks[[#This Row],[Progress]]&gt;=1,"Complete",IF(OR(N(Tasks[[#This Row],[Actual Start]])&gt;0,Tasks[[#This Row],[Progress]]&gt;0),IF(Tasks[[#This Row],[Finish Var]]&gt;0,"Behind","In Progress"),IF(Tasks[[#This Row],[Planned Start]]&lt;StatusDate,"Late Start","Not Started"))))</f>
        <v/>
      </c>
      <c r="AP156" s="21" t="str">
        <f aca="false">IF(Tasks[[#This Row],[Task Name]]="","",IF(IF(Tasks[[#This Row],[_IsSummary]],COUNTIF(INDEX(Tasks[_LeafCritical],Tasks[[#This Row],[_Row]]+1):INDEX(Tasks[_LeafCritical],Tasks[[#This Row],[_Row]]+Tasks[[#This Row],[_Descendants]]),TRUE())&gt;0,Tasks[[#This Row],[_LeafCritical]]),"Yes",""))</f>
        <v/>
      </c>
      <c r="AQ156" s="63" t="str">
        <f aca="false">IF(Tasks[[#This Row],[Task Name]]="","",IF(N(Tasks[[#This Row],[Baseline Start]])&gt;0,Tasks[[#This Row],[Baseline Start]],Tasks[[#This Row],[_CalcStart]]))</f>
        <v/>
      </c>
      <c r="AR156" s="63" t="str">
        <f aca="false">IF(Tasks[[#This Row],[Task Name]]="","",IF(N(Tasks[[#This Row],[Baseline Finish]])&gt;0,Tasks[[#This Row],[Baseline Finish]],Tasks[[#This Row],[_CalcFinish]]))</f>
        <v/>
      </c>
      <c r="AS156" s="47" t="str">
        <f aca="false">IF(Tasks[[#This Row],[Task Name]]="","",IF(Tasks[[#This Row],[Start]]&gt;=Tasks[[#This Row],[Planned Start]],NETWORKDAYS.INTL(Tasks[[#This Row],[Planned Start]],Tasks[[#This Row],[Start]],WorkWeek,Holidays)-1,1-NETWORKDAYS.INTL(Tasks[[#This Row],[Start]],Tasks[[#This Row],[Planned Start]],WorkWeek,Holidays)))</f>
        <v/>
      </c>
      <c r="AT156" s="63" t="str">
        <f aca="false">IF(Tasks[[#This Row],[Task Name]]="","",IF(Tasks[[#This Row],[_IsSummary]],MIN(INDEX(Tasks[_LeafLateStart],Tasks[[#This Row],[_Row]]+1):INDEX(Tasks[_LeafLateStart],Tasks[[#This Row],[_Row]]+Tasks[[#This Row],[_Descendants]])),Tasks[[#This Row],[_LeafLateStart]]))</f>
        <v/>
      </c>
      <c r="AU156" s="63" t="str">
        <f aca="false">IF(Tasks[[#This Row],[Task Name]]="","",IF(Tasks[[#This Row],[_IsSummary]],MAX(INDEX(Tasks[_LeafLateFinish],Tasks[[#This Row],[_Row]]+1):INDEX(Tasks[_LeafLateFinish],Tasks[[#This Row],[_Row]]+Tasks[[#This Row],[_Descendants]])),Tasks[[#This Row],[_LeafLateFinish]]))</f>
        <v/>
      </c>
      <c r="AV156" s="47" t="str">
        <f aca="false">IF(Tasks[[#This Row],[Task Name]]="","",IF(Tasks[[#This Row],[_IsSummary]],MIN(INDEX(Tasks[_LeafTotalSlack],Tasks[[#This Row],[_Row]]+1):INDEX(Tasks[_LeafTotalSlack],Tasks[[#This Row],[_Row]]+Tasks[[#This Row],[_Descendants]])),Tasks[[#This Row],[_LeafTotalSlack]]))</f>
        <v/>
      </c>
      <c r="AW1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5"/>
      <c r="BA15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1" t="str">
        <f aca="false">IF(Tasks[[#This Row],[Task Name]]="","",IF(Tasks[[#This Row],[_Level]]&lt;=OutlineShowLevel,"Yes","No"))</f>
        <v/>
      </c>
      <c r="BE156" s="86" t="str">
        <f aca="false">IF(Tasks[[#This Row],[Task Name]]="","",IF(Tasks[[#This Row],[_IsSummary]],SUM(INDEX(Tasks[_LeafTotalWork],Tasks[[#This Row],[_Row]]+1):INDEX(Tasks[_LeafTotalWork],Tasks[[#This Row],[_Row]]+Tasks[[#This Row],[_Descendants]])),Tasks[[#This Row],[_LeafTotalWork]]))</f>
        <v/>
      </c>
      <c r="BF156" s="23"/>
      <c r="BG1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6" s="21" t="str">
        <f aca="false">""</f>
        <v/>
      </c>
      <c r="BI156" s="87"/>
      <c r="BJ156" s="22"/>
      <c r="BK156" s="47" t="str">
        <f aca="false">IF(OR(Tasks[[#This Row],[Task Name]]="",Tasks[[#This Row],[Baseline Duration]]=""),"",Tasks[[#This Row],[_SpanDays]]-N(Tasks[[#This Row],[Baseline Duration]]))</f>
        <v/>
      </c>
      <c r="BL156" s="86" t="str">
        <f aca="false">IF(OR(Tasks[[#This Row],[Task Name]]="",Tasks[[#This Row],[Baseline Work]]=""),"",Tasks[[#This Row],[Work]]-N(Tasks[[#This Row],[Baseline Work]]))</f>
        <v/>
      </c>
      <c r="BM156" s="63" t="str">
        <f aca="false">IF(Tasks[[#This Row],[Task Name]]="","",IF(OR(TakeBaseline="Yes",N(Tasks[[#This Row],[Baseline Start]])=0),Tasks[[#This Row],[Start]],Tasks[[#This Row],[Baseline Start]]))</f>
        <v/>
      </c>
      <c r="BN156" s="63" t="str">
        <f aca="false">IF(Tasks[[#This Row],[Task Name]]="","",IF(OR(TakeBaseline="Yes",N(Tasks[[#This Row],[Baseline Finish]])=0),Tasks[[#This Row],[Finish]],Tasks[[#This Row],[Baseline Finish]]))</f>
        <v/>
      </c>
      <c r="BO156" s="21" t="str">
        <f aca="false">IF(Tasks[[#This Row],[Task Name]]="","",IF(OR(TakeBaseline="Yes",N(Tasks[[#This Row],[Baseline Duration]])=0),Tasks[[#This Row],[_SpanDays]],Tasks[[#This Row],[Baseline Duration]]))</f>
        <v/>
      </c>
      <c r="BP156" s="86" t="str">
        <f aca="false">IF(Tasks[[#This Row],[Task Name]]="","",IF(OR(TakeBaseline="Yes",N(Tasks[[#This Row],[Baseline Work]])=0),Tasks[[#This Row],[Work]],Tasks[[#This Row],[Baseline Work]]))</f>
        <v/>
      </c>
      <c r="BQ156" s="7"/>
      <c r="BR156" s="7"/>
      <c r="BS156" s="22"/>
      <c r="BT156" s="88"/>
      <c r="BU156" s="23"/>
      <c r="BV156" s="23"/>
      <c r="BW156" s="23"/>
      <c r="BX156" s="89" t="str">
        <f aca="false">IF(AND(Tasks[[#This Row],[_IsLeaf]]=1,ISNUMBER(Tasks[[#This Row],[Optimistic]]),ISNUMBER(Tasks[[#This Row],[Pessimistic]])),ROUND((Tasks[[#This Row],[Optimistic]]+4*N(Tasks[[#This Row],[_Days]])+Tasks[[#This Row],[Pessimistic]])/6,1),"")</f>
        <v/>
      </c>
      <c r="BY156" s="87"/>
      <c r="BZ156" s="87"/>
      <c r="CA156" s="22"/>
      <c r="CB156" s="43" t="str">
        <f aca="false">IF(Tasks[[#This Row],[Task Name]]="","",MAX(1,N(Tasks[[#This Row],[Level]])))</f>
        <v/>
      </c>
      <c r="CC156" s="43" t="n">
        <f aca="false">ROW()-ROW(Tasks[[#Headers],[ID]])</f>
        <v>151</v>
      </c>
      <c r="CD156" s="43" t="n">
        <f aca="false">IF(OR(Tasks[[#This Row],[Task Name]]="",Tasks[[#This Row],[_Level]]&lt;=1),0,IFERROR(LOOKUP(2,1/(Tasks[[#Headers],[_Level]]:Tasks[[#This Row],[_Level]]=Tasks[[#This Row],[_Level]]-1),ROW(Tasks[[#Headers],[_Level]]:Tasks[[#This Row],[_Level]])),0))</f>
        <v>0</v>
      </c>
      <c r="CE156" s="43" t="n">
        <f aca="false">IFERROR(N(INDEX(Tasks[_Level],Tasks[[#This Row],[_Row]]+1)),0)</f>
        <v>0</v>
      </c>
      <c r="CF156" s="90" t="b">
        <f aca="false">AND(Tasks[[#This Row],[Task Name]]&lt;&gt;"",Tasks[[#This Row],[_NextLevel]]&gt;Tasks[[#This Row],[_Level]])</f>
        <v>0</v>
      </c>
      <c r="CG156" s="43" t="n">
        <f aca="false">IF(Tasks[[#This Row],[_IsSummary]],COUNTIF(Tasks[WBS],Tasks[[#This Row],[WBS]]&amp;".*"),0)</f>
        <v>0</v>
      </c>
      <c r="CH156" s="43" t="n">
        <f aca="false">IF(AND(Tasks[[#This Row],[Task Name]]&lt;&gt;"",NOT(Tasks[[#This Row],[_IsSummary]])),1,0)</f>
        <v>0</v>
      </c>
      <c r="CI156" s="43" t="n">
        <f aca="false">IF(N(Tasks[[#This Row],[_Pred1UID]])=0,0,IFERROR(MATCH(Tasks[[#This Row],[_Pred1UID]],Tasks[UID],0),-1))</f>
        <v>0</v>
      </c>
      <c r="CJ156" s="43" t="n">
        <f aca="false">IF(N(Tasks[[#This Row],[_Pred2UID]])=0,0,IFERROR(MATCH(Tasks[[#This Row],[_Pred2UID]],Tasks[UID],0),-1))</f>
        <v>0</v>
      </c>
      <c r="CK156" s="43" t="n">
        <f aca="false">IF(N(Tasks[[#This Row],[_Pred3UID]])=0,0,IFERROR(MATCH(Tasks[[#This Row],[_Pred3UID]],Tasks[UID],0),-1))</f>
        <v>0</v>
      </c>
      <c r="CL156" s="43" t="n">
        <f aca="false">IF(N(Tasks[[#This Row],[_Pred4UID]])=0,0,IFERROR(MATCH(Tasks[[#This Row],[_Pred4UID]],Tasks[UID],0),-1))</f>
        <v>0</v>
      </c>
      <c r="CM15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6" s="91" t="n">
        <f aca="false">IF(OR(Tasks[[#This Row],[_ConstraintCode]]=2,Tasks[[#This Row],[_ConstraintCode]]=3,Tasks[[#This Row],[_ConstraintCode]]=4,Tasks[[#This Row],[_ConstraintCode]]=6),Tasks[[#This Row],[_ConstraintStart]],0)</f>
        <v>0</v>
      </c>
      <c r="CP156" s="91" t="n">
        <f aca="false">IF(OR(Tasks[[#This Row],[_ConstraintCode]]=2,Tasks[[#This Row],[_ConstraintCode]]=3,Tasks[[#This Row],[_ConstraintCode]]=5,Tasks[[#This Row],[_ConstraintCode]]=7),Tasks[[#This Row],[_ConstraintStart]],2958465)</f>
        <v>2958465</v>
      </c>
      <c r="CQ15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6" s="91" t="str">
        <f aca="false">IF(NOT(Tasks[[#This Row],[_IsLeaf]]=1),"",IF(N(Tasks[[#This Row],[_Days]])&lt;=0,Tasks[[#This Row],[_LeafCalcStart]],WORKDAY.INTL(Tasks[[#This Row],[_LeafCalcStart]],Tasks[[#This Row],[_Days]]-1,WorkWeek,Holidays)))</f>
        <v/>
      </c>
      <c r="CS15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6" s="43" t="str">
        <f aca="false">IF(Tasks[[#This Row],[_Predecessors]]="","",TRIM(MID(SUBSTITUTE(SUBSTITUTE(SUBSTITUTE(UPPER(Tasks[[#This Row],[_Predecessors]]),";",",")," ",""),",",REPT(" ",99)),1,99)))</f>
        <v/>
      </c>
      <c r="CV156" s="43" t="str">
        <f aca="false">IF(Tasks[[#This Row],[_Pred1Text]]="","",IFERROR(VALUE(LEFT(Tasks[[#This Row],[_Pred1Text]],MIN(FIND("F",Tasks[[#This Row],[_Pred1Text]]&amp;"F"),FIND("S",Tasks[[#This Row],[_Pred1Text]]&amp;"S"),FIND("+",Tasks[[#This Row],[_Pred1Text]]&amp;"+"),FIND("-",Tasks[[#This Row],[_Pred1Text]]&amp;"-"))-1)),""))</f>
        <v/>
      </c>
      <c r="CW15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6" s="43" t="str">
        <f aca="false">IF(Tasks[[#This Row],[_Pred1Text]]="","",TRIM(MID(SUBSTITUTE(SUBSTITUTE(SUBSTITUTE(UPPER(Tasks[[#This Row],[_Predecessors]]),";",",")," ",""),",",REPT(" ",99)),100,99)))</f>
        <v/>
      </c>
      <c r="CZ156" s="43" t="str">
        <f aca="false">IF(Tasks[[#This Row],[_Pred2Text]]="","",IFERROR(VALUE(LEFT(Tasks[[#This Row],[_Pred2Text]],MIN(FIND("F",Tasks[[#This Row],[_Pred2Text]]&amp;"F"),FIND("S",Tasks[[#This Row],[_Pred2Text]]&amp;"S"),FIND("+",Tasks[[#This Row],[_Pred2Text]]&amp;"+"),FIND("-",Tasks[[#This Row],[_Pred2Text]]&amp;"-"))-1)),""))</f>
        <v/>
      </c>
      <c r="DA15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6" s="43" t="str">
        <f aca="false">IF(Tasks[[#This Row],[_Pred2Text]]="","",TRIM(MID(SUBSTITUTE(SUBSTITUTE(SUBSTITUTE(UPPER(Tasks[[#This Row],[_Predecessors]]),";",",")," ",""),",",REPT(" ",99)),199,99)))</f>
        <v/>
      </c>
      <c r="DD156" s="43" t="str">
        <f aca="false">IF(Tasks[[#This Row],[_Pred3Text]]="","",IFERROR(VALUE(LEFT(Tasks[[#This Row],[_Pred3Text]],MIN(FIND("F",Tasks[[#This Row],[_Pred3Text]]&amp;"F"),FIND("S",Tasks[[#This Row],[_Pred3Text]]&amp;"S"),FIND("+",Tasks[[#This Row],[_Pred3Text]]&amp;"+"),FIND("-",Tasks[[#This Row],[_Pred3Text]]&amp;"-"))-1)),""))</f>
        <v/>
      </c>
      <c r="DE15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6" s="43" t="str">
        <f aca="false">IF(Tasks[[#This Row],[_Pred3Text]]="","",TRIM(MID(SUBSTITUTE(SUBSTITUTE(SUBSTITUTE(UPPER(Tasks[[#This Row],[_Predecessors]]),";",",")," ",""),",",REPT(" ",99)),298,99)))</f>
        <v/>
      </c>
      <c r="DH156" s="43" t="str">
        <f aca="false">IF(Tasks[[#This Row],[_Pred4Text]]="","",IFERROR(VALUE(LEFT(Tasks[[#This Row],[_Pred4Text]],MIN(FIND("F",Tasks[[#This Row],[_Pred4Text]]&amp;"F"),FIND("S",Tasks[[#This Row],[_Pred4Text]]&amp;"S"),FIND("+",Tasks[[#This Row],[_Pred4Text]]&amp;"+"),FIND("-",Tasks[[#This Row],[_Pred4Text]]&amp;"-"))-1)),""))</f>
        <v/>
      </c>
      <c r="DI15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6" s="43" t="str">
        <f aca="false">IF(OR(Tasks[[#This Row],[Task Name]]="",Tasks[[#This Row],[_Resources]]=""),"",TRIM(MID(SUBSTITUTE(Tasks[[#This Row],[_Resources]],",",REPT(" ",99)),1,99)))</f>
        <v/>
      </c>
      <c r="DL156" s="43" t="str">
        <f aca="false">IF(Tasks[[#This Row],[_Res1Text]]="","",TRIM(MID(SUBSTITUTE(Tasks[[#This Row],[_Resources]],",",REPT(" ",99)),100,99)))</f>
        <v/>
      </c>
      <c r="DM156" s="43" t="str">
        <f aca="false">IF(Tasks[[#This Row],[_Res2Text]]="","",TRIM(MID(SUBSTITUTE(Tasks[[#This Row],[_Resources]],",",REPT(" ",99)),199,99)))</f>
        <v/>
      </c>
      <c r="DN156" s="43" t="str">
        <f aca="false">IF(Tasks[[#This Row],[_Res3Text]]="","",TRIM(MID(SUBSTITUTE(Tasks[[#This Row],[_Resources]],",",REPT(" ",99)),298,99)))</f>
        <v/>
      </c>
      <c r="DO156" s="43" t="n">
        <f aca="false">IF(Tasks[[#This Row],[_Res1Text]]="",0,IFERROR(MATCH(TRIM(LEFT(Tasks[[#This Row],[_Res1Text]],FIND("[",Tasks[[#This Row],[_Res1Text]]&amp;"[")-1)),res_Name,0),IFERROR(MATCH(TRIM(LEFT(Tasks[[#This Row],[_Res1Text]],FIND("[",Tasks[[#This Row],[_Res1Text]]&amp;"[")-1)),res_Initials,0),0)))</f>
        <v>0</v>
      </c>
      <c r="DP156" s="43" t="n">
        <f aca="false">IF(Tasks[[#This Row],[_Res2Text]]="",0,IFERROR(MATCH(TRIM(LEFT(Tasks[[#This Row],[_Res2Text]],FIND("[",Tasks[[#This Row],[_Res2Text]]&amp;"[")-1)),res_Name,0),IFERROR(MATCH(TRIM(LEFT(Tasks[[#This Row],[_Res2Text]],FIND("[",Tasks[[#This Row],[_Res2Text]]&amp;"[")-1)),res_Initials,0),0)))</f>
        <v>0</v>
      </c>
      <c r="DQ156" s="43" t="n">
        <f aca="false">IF(Tasks[[#This Row],[_Res3Text]]="",0,IFERROR(MATCH(TRIM(LEFT(Tasks[[#This Row],[_Res3Text]],FIND("[",Tasks[[#This Row],[_Res3Text]]&amp;"[")-1)),res_Name,0),IFERROR(MATCH(TRIM(LEFT(Tasks[[#This Row],[_Res3Text]],FIND("[",Tasks[[#This Row],[_Res3Text]]&amp;"[")-1)),res_Initials,0),0)))</f>
        <v>0</v>
      </c>
      <c r="DR156" s="43" t="n">
        <f aca="false">IF(Tasks[[#This Row],[_Res4Text]]="",0,IFERROR(MATCH(TRIM(LEFT(Tasks[[#This Row],[_Res4Text]],FIND("[",Tasks[[#This Row],[_Res4Text]]&amp;"[")-1)),res_Name,0),IFERROR(MATCH(TRIM(LEFT(Tasks[[#This Row],[_Res4Text]],FIND("[",Tasks[[#This Row],[_Res4Text]]&amp;"[")-1)),res_Initials,0),0)))</f>
        <v>0</v>
      </c>
      <c r="DS156" s="43" t="str">
        <f aca="false">IF(Tasks[[#This Row],[_Res1Text]]="","",IF(Tasks[[#This Row],[_Res1Row]]&gt;0,INDEX(res_Name,Tasks[[#This Row],[_Res1Row]]),TRIM(LEFT(Tasks[[#This Row],[_Res1Text]],FIND("[",Tasks[[#This Row],[_Res1Text]]&amp;"[")-1))))</f>
        <v/>
      </c>
      <c r="DT15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6" s="43" t="n">
        <f aca="false">IF(NOT(Tasks[[#This Row],[_IsLeaf]]=1),0,(Tasks[[#This Row],[_Resource1]]&lt;&gt;"")+(Tasks[[#This Row],[_Res2]]&lt;&gt;"")+(Tasks[[#This Row],[_Res3]]&lt;&gt;"")+(Tasks[[#This Row],[_Res4]]&lt;&gt;""))</f>
        <v>0</v>
      </c>
      <c r="DV156" s="43" t="str">
        <f aca="false">IF(Tasks[[#This Row],[_Res2Text]]="","",IF(Tasks[[#This Row],[_Res2Row]]&gt;0,INDEX(res_Name,Tasks[[#This Row],[_Res2Row]]),TRIM(LEFT(Tasks[[#This Row],[_Res2Text]],FIND("[",Tasks[[#This Row],[_Res2Text]]&amp;"[")-1))))</f>
        <v/>
      </c>
      <c r="DW15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6" s="43" t="n">
        <f aca="false">IF(OR(NOT(Tasks[[#This Row],[_IsLeaf]]=1),Tasks[[#This Row],[_Res2Row]]=0),0,N(Tasks[[#This Row],[_Days]])*HoursPerDay*IF(Tasks[[#This Row],[_Res2Units]]="",DefaultUnits,Tasks[[#This Row],[_Res2Units]]))</f>
        <v>0</v>
      </c>
      <c r="DY156" s="43" t="n">
        <f aca="false">IF(AND(AND(Tasks[[#This Row],[_IsLeaf]]=1,Tasks[[#This Row],[_LeafTotalWork]]&gt;0),Tasks[[#This Row],[_Res2Work]]&gt;0),Tasks[[#This Row],[_Res2Work]]/(Tasks[[#This Row],[_FinishWorkday]]-Tasks[[#This Row],[_StartWorkday]]+1),0)</f>
        <v>0</v>
      </c>
      <c r="DZ156" s="43" t="n">
        <f aca="false">Tasks[[#This Row],[_Res2WorkPerWD]]*MAX(0,Tasks[[#This Row],[_StartWorkday]]-1)</f>
        <v>0</v>
      </c>
      <c r="EA156" s="43" t="n">
        <f aca="false">Tasks[[#This Row],[_Res2Work]]*Tasks[[#This Row],[_LeafProgress]]</f>
        <v>0</v>
      </c>
      <c r="EB156" s="43" t="str">
        <f aca="false">IF(Tasks[[#This Row],[_Res3Text]]="","",IF(Tasks[[#This Row],[_Res3Row]]&gt;0,INDEX(res_Name,Tasks[[#This Row],[_Res3Row]]),TRIM(LEFT(Tasks[[#This Row],[_Res3Text]],FIND("[",Tasks[[#This Row],[_Res3Text]]&amp;"[")-1))))</f>
        <v/>
      </c>
      <c r="EC15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6" s="43" t="n">
        <f aca="false">IF(OR(NOT(Tasks[[#This Row],[_IsLeaf]]=1),Tasks[[#This Row],[_Res3Row]]=0),0,N(Tasks[[#This Row],[_Days]])*HoursPerDay*IF(Tasks[[#This Row],[_Res3Units]]="",DefaultUnits,Tasks[[#This Row],[_Res3Units]]))</f>
        <v>0</v>
      </c>
      <c r="EE156" s="43" t="n">
        <f aca="false">IF(AND(AND(Tasks[[#This Row],[_IsLeaf]]=1,Tasks[[#This Row],[_LeafTotalWork]]&gt;0),Tasks[[#This Row],[_Res3Work]]&gt;0),Tasks[[#This Row],[_Res3Work]]/(Tasks[[#This Row],[_FinishWorkday]]-Tasks[[#This Row],[_StartWorkday]]+1),0)</f>
        <v>0</v>
      </c>
      <c r="EF156" s="43" t="n">
        <f aca="false">Tasks[[#This Row],[_Res3WorkPerWD]]*MAX(0,Tasks[[#This Row],[_StartWorkday]]-1)</f>
        <v>0</v>
      </c>
      <c r="EG156" s="43" t="n">
        <f aca="false">Tasks[[#This Row],[_Res3Work]]*Tasks[[#This Row],[_LeafProgress]]</f>
        <v>0</v>
      </c>
      <c r="EH156" s="43" t="str">
        <f aca="false">IF(Tasks[[#This Row],[_Res4Text]]="","",IF(Tasks[[#This Row],[_Res4Row]]&gt;0,INDEX(res_Name,Tasks[[#This Row],[_Res4Row]]),TRIM(LEFT(Tasks[[#This Row],[_Res4Text]],FIND("[",Tasks[[#This Row],[_Res4Text]]&amp;"[")-1))))</f>
        <v/>
      </c>
      <c r="EI15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6" s="43" t="n">
        <f aca="false">IF(OR(NOT(Tasks[[#This Row],[_IsLeaf]]=1),Tasks[[#This Row],[_Res4Row]]=0),0,N(Tasks[[#This Row],[_Days]])*HoursPerDay*IF(Tasks[[#This Row],[_Res4Units]]="",DefaultUnits,Tasks[[#This Row],[_Res4Units]]))</f>
        <v>0</v>
      </c>
      <c r="EK156" s="43" t="n">
        <f aca="false">IF(AND(AND(Tasks[[#This Row],[_IsLeaf]]=1,Tasks[[#This Row],[_LeafTotalWork]]&gt;0),Tasks[[#This Row],[_Res4Work]]&gt;0),Tasks[[#This Row],[_Res4Work]]/(Tasks[[#This Row],[_FinishWorkday]]-Tasks[[#This Row],[_StartWorkday]]+1),0)</f>
        <v>0</v>
      </c>
      <c r="EL156" s="43" t="n">
        <f aca="false">Tasks[[#This Row],[_Res4WorkPerWD]]*MAX(0,Tasks[[#This Row],[_StartWorkday]]-1)</f>
        <v>0</v>
      </c>
      <c r="EM156" s="43" t="n">
        <f aca="false">Tasks[[#This Row],[_Res4Work]]*Tasks[[#This Row],[_LeafProgress]]</f>
        <v>0</v>
      </c>
      <c r="EN156" s="43" t="n">
        <f aca="false">IF(ISNUMBER(Tasks[[#This Row],[% Complete]]),Tasks[[#This Row],[% Complete]],IF(Tasks[[#This Row],[Stage]]="",0,IFERROR(INDEX(stg_Pct,MATCH(Tasks[[#This Row],[Stage]],stg_Name,0)),0)))</f>
        <v>0</v>
      </c>
      <c r="EO156" s="43" t="n">
        <f aca="false">IF(NOT(Tasks[[#This Row],[_IsLeaf]]=1),0,IF(N(Tasks[[#This Row],[Actual Finish]])&gt;0,1,MIN(1,Tasks[[#This Row],[_Pct]])))</f>
        <v>0</v>
      </c>
      <c r="EP156" s="43" t="n">
        <f aca="false">IF(OR(NOT(Tasks[[#This Row],[_IsLeaf]]=1),Tasks[[#This Row],[_Res1Row]]=0),0,N(Tasks[[#This Row],[_Days]])*HoursPerDay*IF(Tasks[[#This Row],[_Units1]]="",DefaultUnits,Tasks[[#This Row],[_Units1]]))</f>
        <v>0</v>
      </c>
      <c r="EQ156" s="43" t="n">
        <f aca="false">Tasks[[#This Row],[_LeafWork]]+Tasks[[#This Row],[_Res2Work]]+Tasks[[#This Row],[_Res3Work]]+Tasks[[#This Row],[_Res4Work]]</f>
        <v>0</v>
      </c>
      <c r="ER15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6" s="43" t="n">
        <f aca="false">IF(NOT(Tasks[[#This Row],[_IsLeaf]]=1),0,MAX(_xlfn.MAXIFS(Tasks[_Row],Tasks[_Pred1UID],Tasks[[#This Row],[UID]]),_xlfn.MAXIFS(Tasks[_Row],Tasks[_Pred2UID],Tasks[[#This Row],[UID]]),_xlfn.MAXIFS(Tasks[_Row],Tasks[_Pred3UID],Tasks[[#This Row],[UID]]),_xlfn.MAXIFS(Tasks[_Row],Tasks[_Pred4UID],Tasks[[#This Row],[UID]])))</f>
        <v>0</v>
      </c>
      <c r="FA15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6" s="91" t="str">
        <f aca="false">IF(NOT(Tasks[[#This Row],[_IsLeaf]]=1),"",IF(N(Tasks[[#This Row],[_Days]])&lt;=0,Tasks[[#This Row],[_LeafLateFinish]],WORKDAY.INTL(Tasks[[#This Row],[_LeafLateFinish]],-(Tasks[[#This Row],[_Days]]-1),WorkWeek,Holidays)))</f>
        <v/>
      </c>
      <c r="FD15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6" s="90" t="b">
        <f aca="false">AND(Tasks[[#This Row],[_IsLeaf]]=1,Tasks[[#This Row],[_LeafProgress]]&lt;1,N(Tasks[[#This Row],[_LeafTotalSlack]])&lt;=CriticalSlackDays)</f>
        <v>0</v>
      </c>
      <c r="FF156" s="43" t="n">
        <f aca="false">IF(AND(Tasks[[#This Row],[_IsLeaf]]=1,Tasks[[#This Row],[_ConstraintCode]]=1,Tasks[[#This Row],[Mode]]&lt;&gt;"Manual",N(Tasks[[#This Row],[Actual Start]])=0),MAX(0,N(Tasks[[#This Row],[Free Slack]])),0)</f>
        <v>0</v>
      </c>
      <c r="FG156" s="91" t="str">
        <f aca="false">IF(NOT(Tasks[[#This Row],[_IsLeaf]]=1),"",IF(Tasks[[#This Row],[_AlapShift]]=0,Tasks[[#This Row],[_LeafCalcStart]],WORKDAY.INTL(Tasks[[#This Row],[_LeafCalcStart]],Tasks[[#This Row],[_AlapShift]],WorkWeek,Holidays)))</f>
        <v/>
      </c>
      <c r="FH156" s="91" t="str">
        <f aca="false">IF(NOT(Tasks[[#This Row],[_IsLeaf]]=1),"",IF(Tasks[[#This Row],[_AlapShift]]=0,Tasks[[#This Row],[_LeafCalcFinish]],WORKDAY.INTL(Tasks[[#This Row],[_LeafCalcFinish]],Tasks[[#This Row],[_AlapShift]],WorkWeek,Holidays)))</f>
        <v/>
      </c>
      <c r="FI156" s="91" t="str">
        <f aca="false">IF(NOT(Tasks[[#This Row],[_IsLeaf]]=1),"",IF(Tasks[[#This Row],[_AlapShift]]=0,Tasks[[#This Row],[_LeafFcstStart]],WORKDAY.INTL(Tasks[[#This Row],[_LeafFcstStart]],Tasks[[#This Row],[_AlapShift]],WorkWeek,Holidays)))</f>
        <v/>
      </c>
      <c r="FJ156" s="91" t="str">
        <f aca="false">IF(NOT(Tasks[[#This Row],[_IsLeaf]]=1),"",IF(Tasks[[#This Row],[_AlapShift]]=0,Tasks[[#This Row],[_LeafFcstFinish]],WORKDAY.INTL(Tasks[[#This Row],[_LeafFcstFinish]],Tasks[[#This Row],[_AlapShift]],WorkWeek,Holidays)))</f>
        <v/>
      </c>
      <c r="FK156" s="91" t="str">
        <f aca="false">IF(Tasks[[#This Row],[Task Name]]="","",IF(Tasks[[#This Row],[_IsSummary]],MIN(INDEX(Tasks[_ShownCalcStart],Tasks[[#This Row],[_Row]]+1):INDEX(Tasks[_ShownCalcStart],Tasks[[#This Row],[_Row]]+Tasks[[#This Row],[_Descendants]])),Tasks[[#This Row],[_ShownCalcStart]]))</f>
        <v/>
      </c>
      <c r="FL156" s="91" t="str">
        <f aca="false">IF(Tasks[[#This Row],[Task Name]]="","",IF(Tasks[[#This Row],[_IsSummary]],MAX(INDEX(Tasks[_ShownCalcFinish],Tasks[[#This Row],[_Row]]+1):INDEX(Tasks[_ShownCalcFinish],Tasks[[#This Row],[_Row]]+Tasks[[#This Row],[_Descendants]])),Tasks[[#This Row],[_ShownCalcFinish]]))</f>
        <v/>
      </c>
      <c r="FM15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6" s="43" t="n">
        <f aca="false">IF(AND(Tasks[[#This Row],[_IsLeaf]]=1,Tasks[[#This Row],[_LeafTotalWork]]&gt;0),NETWORKDAYS.INTL(ProjectStart,Tasks[[#This Row],[_ShownFcstStart]],WorkWeek,Holidays),0)</f>
        <v>0</v>
      </c>
      <c r="FZ156" s="43" t="n">
        <f aca="false">IF(AND(Tasks[[#This Row],[_IsLeaf]]=1,Tasks[[#This Row],[_LeafTotalWork]]&gt;0),MAX(Tasks[[#This Row],[_StartWorkday]],NETWORKDAYS.INTL(ProjectStart,Tasks[[#This Row],[_ShownFcstFinish]],WorkWeek,Holidays)),0)</f>
        <v>0</v>
      </c>
      <c r="GA156" s="43" t="n">
        <f aca="false">IF(AND(Tasks[[#This Row],[_IsLeaf]]=1,Tasks[[#This Row],[_LeafTotalWork]]&gt;0),Tasks[[#This Row],[_LeafWork]]/(Tasks[[#This Row],[_FinishWorkday]]-Tasks[[#This Row],[_StartWorkday]]+1),0)</f>
        <v>0</v>
      </c>
      <c r="GB156" s="43" t="n">
        <f aca="false">Tasks[[#This Row],[_WorkPerWorkday]]*(Tasks[[#This Row],[_StartWorkday]]-1)</f>
        <v>-0</v>
      </c>
      <c r="GC156" s="43" t="n">
        <f aca="false">IF(Tasks[[#This Row],[_IsLeaf]]=1,MAX(N(Tasks[[#This Row],[_Days]]),0.1),0)</f>
        <v>0</v>
      </c>
      <c r="GD156" s="43" t="n">
        <f aca="false">Tasks[[#This Row],[_WeightDur]]*Tasks[[#This Row],[_LeafProgress]]</f>
        <v>0</v>
      </c>
      <c r="GE156" s="43" t="n">
        <f aca="false">Tasks[[#This Row],[_WeightDur]]*Tasks[[#This Row],[_PlannedPct]]</f>
        <v>0</v>
      </c>
      <c r="GF15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6" s="43" t="str">
        <f aca="false">IF(AND(Tasks[[#This Row],[_IsLeaf]]=1,N(Tasks[[#This Row],[_Days]])=0,Tasks[[#This Row],[_LeafProgress]]&lt;1),Tasks[[#This Row],[_ShownFcstFinish]]+Tasks[[#This Row],[_Row]]/100000,"")</f>
        <v/>
      </c>
      <c r="GH15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6" s="43" t="str">
        <f aca="false">IF(Tasks[[#This Row],[Task Name]]="","",LEFT(Tasks[[#This Row],[WBS]],FIND(".",Tasks[[#This Row],[WBS]]&amp;".")-1))</f>
        <v/>
      </c>
      <c r="GJ156" s="43" t="str">
        <f aca="false">IF(AND(Tasks[[#This Row],[Task Name]]&lt;&gt;"",Tasks[[#This Row],[_Level]]=1),Tasks[[#This Row],[_Row]],"")</f>
        <v/>
      </c>
      <c r="GK156" s="43" t="str">
        <f aca="false">IF(AND(Tasks[[#This Row],[_IsLeaf]]=1,N(Tasks[[#This Row],[_Days]])=0),Tasks[[#This Row],[Planned Finish]]+Tasks[[#This Row],[_Row]]/100000,"")</f>
        <v/>
      </c>
      <c r="GL156" s="43" t="str">
        <f aca="false">IF(AND(Tasks[[#This Row],[_IsLeaf]]=1,Tasks[[#This Row],[_LeafProgress]]&lt;1,OR(N(Tasks[[#This Row],[Finish Var]])&gt;0,Tasks[[#This Row],[Status]]="Late Start")),MAX(0,Tasks[[#This Row],[Finish Var]])+1-Tasks[[#This Row],[_Row]]/1000000,"")</f>
        <v/>
      </c>
      <c r="GM156" s="43" t="str">
        <f aca="false">IF(AND(Tasks[[#This Row],[_IsLeaf]]=1,N(Tasks[[#This Row],[Actual Start]])=0,Tasks[[#This Row],[_ShownFcstStart]]&gt;=StatusDate,Tasks[[#This Row],[_ShownFcstStart]]&lt;=LookaheadEnd),Tasks[[#This Row],[_ShownFcstStart]]+Tasks[[#This Row],[_Row]]/100000,"")</f>
        <v/>
      </c>
      <c r="GN156" s="43" t="str">
        <f aca="false">IF(AND(Tasks[[#This Row],[_IsLeaf]]=1,Tasks[[#This Row],[_LeafProgress]]&lt;1,Tasks[[#This Row],[_ShownFcstFinish]]&gt;=StatusDate,Tasks[[#This Row],[_ShownFcstFinish]]&lt;=LookaheadEnd),Tasks[[#This Row],[_ShownFcstFinish]]+Tasks[[#This Row],[_Row]]/100000,"")</f>
        <v/>
      </c>
      <c r="GO156" s="43" t="str">
        <f aca="false">IF(Tasks[[#This Row],[_LeafCritical]],Tasks[[#This Row],[_ShownFcstStart]]+Tasks[[#This Row],[_Row]]/100000,"")</f>
        <v/>
      </c>
      <c r="GP156" s="43" t="n">
        <f aca="false">Tasks[[#This Row],[_LeafWork]]*Tasks[[#This Row],[_LeafProgress]]</f>
        <v>0</v>
      </c>
      <c r="GQ156" s="91" t="str">
        <f aca="false">IF(AND(Tasks[[#This Row],[_IsLeaf]]=1,Tasks[[#This Row],[_LeafProgress]]&gt;=1),IF(N(Tasks[[#This Row],[Actual Finish]])&gt;0,Tasks[[#This Row],[Actual Finish]],Tasks[[#This Row],[_ShownFcstFinish]]),"")</f>
        <v/>
      </c>
      <c r="GR156" s="43" t="n">
        <f aca="false">IF(Tasks[[#This Row],[_IsLeaf]]=1,N(Tasks[[#This Row],[Story Points]]),0)</f>
        <v>0</v>
      </c>
      <c r="GS156" s="43" t="str">
        <f aca="false">""</f>
        <v/>
      </c>
      <c r="GT156" s="90" t="b">
        <f aca="false">IF(Tasks[[#This Row],[Task Name]]="",FALSE(),AND(Tasks[[#This Row],[_IsLeaf]]=1,N(Tasks[[#This Row],[_Days]])=0))</f>
        <v>0</v>
      </c>
      <c r="GU156" s="91" t="n">
        <f aca="false">IF(Tasks[[#This Row],[Task Name]]="",0,IF(AND(Tasks[[#This Row],[_IsLeaf]]=1,NOT(Tasks[[#This Row],[_IsMilestone]]),N(Tasks[[#This Row],[Progress]])&gt;0),Tasks[[#This Row],[Start]],0))</f>
        <v>0</v>
      </c>
      <c r="GV156" s="91" t="n">
        <f aca="false">IF(Tasks[[#This Row],[_DoneFrom]]=0,0,IF(Tasks[[#This Row],[Progress]]&gt;=1,Tasks[[#This Row],[Finish]],MAX(Tasks[[#This Row],[_DoneFrom]],Tasks[[#This Row],[Start]]+ROUND((Tasks[[#This Row],[Finish]]-Tasks[[#This Row],[Start]]+1)*Tasks[[#This Row],[Progress]],0)-1)))</f>
        <v>0</v>
      </c>
      <c r="GW156" s="91" t="n">
        <f aca="false">IF(Tasks[[#This Row],[Task Name]]="",0,IF(OR(NOT(Tasks[[#This Row],[_IsLeaf]]=1),Tasks[[#This Row],[_IsMilestone]],N(Tasks[[#This Row],[Progress]])&gt;=1),0,IF(Tasks[[#This Row],[_DoneTo]]&gt;0,Tasks[[#This Row],[_DoneTo]]+1,Tasks[[#This Row],[Start]])))</f>
        <v>0</v>
      </c>
      <c r="GX156" s="91" t="n">
        <f aca="false">IF(Tasks[[#This Row],[_RemFrom]]=0,0,Tasks[[#This Row],[Finish]])</f>
        <v>0</v>
      </c>
      <c r="GY156" s="90" t="b">
        <f aca="false">IF(Tasks[[#This Row],[Task Name]]="",FALSE(),OR(NOT(BaselineSet),N(Tasks[[#This Row],[Baseline Start]])&gt;0))</f>
        <v>0</v>
      </c>
      <c r="GZ15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6" s="92" t="str">
        <f aca="false">IF(Tasks[[#This Row],[_IsLeaf]]=1,Tasks[[#This Row],[_Row]],"")</f>
        <v/>
      </c>
      <c r="HD156" s="92" t="str">
        <f aca="false">IFERROR(INDEX(Tasks[UID],SMALL(Tasks[_PickKey],Tasks[[#This Row],[_Row]]))&amp;" "&amp;INDEX(Tasks[Task Name],SMALL(Tasks[_PickKey],Tasks[[#This Row],[_Row]])),"")</f>
        <v/>
      </c>
      <c r="HE156" s="43" t="str">
        <f aca="false">IF(Tasks[[#This Row],[Task Name]]="","",IF(Tasks[[#This Row],[_IsSummary]],NETWORKDAYS.INTL(Tasks[[#This Row],[Start]],Tasks[[#This Row],[Finish]],WorkWeek,Holidays),N(Tasks[[#This Row],[_Days]])))</f>
        <v/>
      </c>
      <c r="HF156" s="43" t="n">
        <f aca="false">IF(Tasks[[#This Row],[Expected]]="",0,((Tasks[[#This Row],[Pessimistic]]-Tasks[[#This Row],[Optimistic]])/6)^2)</f>
        <v>0</v>
      </c>
      <c r="HG156" s="43" t="n">
        <f aca="false">IF(Tasks[[#This Row],[Expected]]="",0,Tasks[[#This Row],[Expected]]-N(Tasks[[#This Row],[_Days]]))</f>
        <v>0</v>
      </c>
    </row>
    <row r="157" customFormat="false" ht="15" hidden="false" customHeight="false" outlineLevel="0" collapsed="false">
      <c r="A157" s="21" t="str">
        <f aca="false">IF(Tasks[[#This Row],[Task Name]]="","",COUNTA(Tasks[[#Headers],[Task Name]]:Tasks[[#This Row],[Task Name]])-1)</f>
        <v/>
      </c>
      <c r="B157" s="22" t="n">
        <v>165</v>
      </c>
      <c r="C157" s="22"/>
      <c r="D157" s="23"/>
      <c r="E157" s="22"/>
      <c r="F157" s="23"/>
      <c r="G157" s="22"/>
      <c r="H157" s="22"/>
      <c r="I157" s="23"/>
      <c r="J157" s="22"/>
      <c r="K157" s="22"/>
      <c r="L157" s="23"/>
      <c r="M157" s="22"/>
      <c r="N157" s="22"/>
      <c r="O157" s="23"/>
      <c r="P157" s="22"/>
      <c r="Q157" s="22"/>
      <c r="R157" s="23"/>
      <c r="S157" s="23"/>
      <c r="T157" s="84"/>
      <c r="U157" s="23"/>
      <c r="V157" s="84"/>
      <c r="W157" s="23"/>
      <c r="X157" s="84"/>
      <c r="Y157" s="23"/>
      <c r="Z157" s="84"/>
      <c r="AA157" s="23"/>
      <c r="AB157" s="23"/>
      <c r="AC157" s="7"/>
      <c r="AD157" s="7"/>
      <c r="AE157" s="63" t="str">
        <f aca="false">IF(Tasks[[#This Row],[Task Name]]="","",IF(Tasks[[#This Row],[_IsSummary]],MIN(INDEX(Tasks[_ShownFcstStart],Tasks[[#This Row],[_Row]]+1):INDEX(Tasks[_ShownFcstStart],Tasks[[#This Row],[_Row]]+Tasks[[#This Row],[_Descendants]])),Tasks[[#This Row],[_ShownFcstStart]]))</f>
        <v/>
      </c>
      <c r="AF157" s="63" t="str">
        <f aca="false">IF(Tasks[[#This Row],[Task Name]]="","",IF(Tasks[[#This Row],[_IsSummary]],MAX(INDEX(Tasks[_ShownFcstFinish],Tasks[[#This Row],[_Row]]+1):INDEX(Tasks[_ShownFcstFinish],Tasks[[#This Row],[_Row]]+Tasks[[#This Row],[_Descendants]])),Tasks[[#This Row],[_ShownFcstFinish]]))</f>
        <v/>
      </c>
      <c r="AG157" s="21" t="str">
        <f aca="false">""</f>
        <v/>
      </c>
      <c r="AH157" s="23"/>
      <c r="AI1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7" s="7"/>
      <c r="AK157" s="22"/>
      <c r="AL157" s="23"/>
      <c r="AM157" s="7"/>
      <c r="AN157" s="47" t="str">
        <f aca="false">IF(Tasks[[#This Row],[Task Name]]="","",IF(Tasks[[#This Row],[Finish]]&gt;=Tasks[[#This Row],[Planned Finish]],NETWORKDAYS.INTL(Tasks[[#This Row],[Planned Finish]],Tasks[[#This Row],[Finish]],WorkWeek,Holidays)-1,1-NETWORKDAYS.INTL(Tasks[[#This Row],[Finish]],Tasks[[#This Row],[Planned Finish]],WorkWeek,Holidays)))</f>
        <v/>
      </c>
      <c r="AO157" s="21" t="str">
        <f aca="false">IF(Tasks[[#This Row],[Task Name]]="","",IF(Tasks[[#This Row],[Progress]]&gt;=1,"Complete",IF(OR(N(Tasks[[#This Row],[Actual Start]])&gt;0,Tasks[[#This Row],[Progress]]&gt;0),IF(Tasks[[#This Row],[Finish Var]]&gt;0,"Behind","In Progress"),IF(Tasks[[#This Row],[Planned Start]]&lt;StatusDate,"Late Start","Not Started"))))</f>
        <v/>
      </c>
      <c r="AP157" s="21" t="str">
        <f aca="false">IF(Tasks[[#This Row],[Task Name]]="","",IF(IF(Tasks[[#This Row],[_IsSummary]],COUNTIF(INDEX(Tasks[_LeafCritical],Tasks[[#This Row],[_Row]]+1):INDEX(Tasks[_LeafCritical],Tasks[[#This Row],[_Row]]+Tasks[[#This Row],[_Descendants]]),TRUE())&gt;0,Tasks[[#This Row],[_LeafCritical]]),"Yes",""))</f>
        <v/>
      </c>
      <c r="AQ157" s="63" t="str">
        <f aca="false">IF(Tasks[[#This Row],[Task Name]]="","",IF(N(Tasks[[#This Row],[Baseline Start]])&gt;0,Tasks[[#This Row],[Baseline Start]],Tasks[[#This Row],[_CalcStart]]))</f>
        <v/>
      </c>
      <c r="AR157" s="63" t="str">
        <f aca="false">IF(Tasks[[#This Row],[Task Name]]="","",IF(N(Tasks[[#This Row],[Baseline Finish]])&gt;0,Tasks[[#This Row],[Baseline Finish]],Tasks[[#This Row],[_CalcFinish]]))</f>
        <v/>
      </c>
      <c r="AS157" s="47" t="str">
        <f aca="false">IF(Tasks[[#This Row],[Task Name]]="","",IF(Tasks[[#This Row],[Start]]&gt;=Tasks[[#This Row],[Planned Start]],NETWORKDAYS.INTL(Tasks[[#This Row],[Planned Start]],Tasks[[#This Row],[Start]],WorkWeek,Holidays)-1,1-NETWORKDAYS.INTL(Tasks[[#This Row],[Start]],Tasks[[#This Row],[Planned Start]],WorkWeek,Holidays)))</f>
        <v/>
      </c>
      <c r="AT157" s="63" t="str">
        <f aca="false">IF(Tasks[[#This Row],[Task Name]]="","",IF(Tasks[[#This Row],[_IsSummary]],MIN(INDEX(Tasks[_LeafLateStart],Tasks[[#This Row],[_Row]]+1):INDEX(Tasks[_LeafLateStart],Tasks[[#This Row],[_Row]]+Tasks[[#This Row],[_Descendants]])),Tasks[[#This Row],[_LeafLateStart]]))</f>
        <v/>
      </c>
      <c r="AU157" s="63" t="str">
        <f aca="false">IF(Tasks[[#This Row],[Task Name]]="","",IF(Tasks[[#This Row],[_IsSummary]],MAX(INDEX(Tasks[_LeafLateFinish],Tasks[[#This Row],[_Row]]+1):INDEX(Tasks[_LeafLateFinish],Tasks[[#This Row],[_Row]]+Tasks[[#This Row],[_Descendants]])),Tasks[[#This Row],[_LeafLateFinish]]))</f>
        <v/>
      </c>
      <c r="AV157" s="47" t="str">
        <f aca="false">IF(Tasks[[#This Row],[Task Name]]="","",IF(Tasks[[#This Row],[_IsSummary]],MIN(INDEX(Tasks[_LeafTotalSlack],Tasks[[#This Row],[_Row]]+1):INDEX(Tasks[_LeafTotalSlack],Tasks[[#This Row],[_Row]]+Tasks[[#This Row],[_Descendants]])),Tasks[[#This Row],[_LeafTotalSlack]]))</f>
        <v/>
      </c>
      <c r="AW1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5"/>
      <c r="BA15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1" t="str">
        <f aca="false">IF(Tasks[[#This Row],[Task Name]]="","",IF(Tasks[[#This Row],[_Level]]&lt;=OutlineShowLevel,"Yes","No"))</f>
        <v/>
      </c>
      <c r="BE157" s="86" t="str">
        <f aca="false">IF(Tasks[[#This Row],[Task Name]]="","",IF(Tasks[[#This Row],[_IsSummary]],SUM(INDEX(Tasks[_LeafTotalWork],Tasks[[#This Row],[_Row]]+1):INDEX(Tasks[_LeafTotalWork],Tasks[[#This Row],[_Row]]+Tasks[[#This Row],[_Descendants]])),Tasks[[#This Row],[_LeafTotalWork]]))</f>
        <v/>
      </c>
      <c r="BF157" s="23"/>
      <c r="BG1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7" s="21" t="str">
        <f aca="false">""</f>
        <v/>
      </c>
      <c r="BI157" s="87"/>
      <c r="BJ157" s="22"/>
      <c r="BK157" s="47" t="str">
        <f aca="false">IF(OR(Tasks[[#This Row],[Task Name]]="",Tasks[[#This Row],[Baseline Duration]]=""),"",Tasks[[#This Row],[_SpanDays]]-N(Tasks[[#This Row],[Baseline Duration]]))</f>
        <v/>
      </c>
      <c r="BL157" s="86" t="str">
        <f aca="false">IF(OR(Tasks[[#This Row],[Task Name]]="",Tasks[[#This Row],[Baseline Work]]=""),"",Tasks[[#This Row],[Work]]-N(Tasks[[#This Row],[Baseline Work]]))</f>
        <v/>
      </c>
      <c r="BM157" s="63" t="str">
        <f aca="false">IF(Tasks[[#This Row],[Task Name]]="","",IF(OR(TakeBaseline="Yes",N(Tasks[[#This Row],[Baseline Start]])=0),Tasks[[#This Row],[Start]],Tasks[[#This Row],[Baseline Start]]))</f>
        <v/>
      </c>
      <c r="BN157" s="63" t="str">
        <f aca="false">IF(Tasks[[#This Row],[Task Name]]="","",IF(OR(TakeBaseline="Yes",N(Tasks[[#This Row],[Baseline Finish]])=0),Tasks[[#This Row],[Finish]],Tasks[[#This Row],[Baseline Finish]]))</f>
        <v/>
      </c>
      <c r="BO157" s="21" t="str">
        <f aca="false">IF(Tasks[[#This Row],[Task Name]]="","",IF(OR(TakeBaseline="Yes",N(Tasks[[#This Row],[Baseline Duration]])=0),Tasks[[#This Row],[_SpanDays]],Tasks[[#This Row],[Baseline Duration]]))</f>
        <v/>
      </c>
      <c r="BP157" s="86" t="str">
        <f aca="false">IF(Tasks[[#This Row],[Task Name]]="","",IF(OR(TakeBaseline="Yes",N(Tasks[[#This Row],[Baseline Work]])=0),Tasks[[#This Row],[Work]],Tasks[[#This Row],[Baseline Work]]))</f>
        <v/>
      </c>
      <c r="BQ157" s="7"/>
      <c r="BR157" s="7"/>
      <c r="BS157" s="22"/>
      <c r="BT157" s="88"/>
      <c r="BU157" s="23"/>
      <c r="BV157" s="23"/>
      <c r="BW157" s="23"/>
      <c r="BX157" s="89" t="str">
        <f aca="false">IF(AND(Tasks[[#This Row],[_IsLeaf]]=1,ISNUMBER(Tasks[[#This Row],[Optimistic]]),ISNUMBER(Tasks[[#This Row],[Pessimistic]])),ROUND((Tasks[[#This Row],[Optimistic]]+4*N(Tasks[[#This Row],[_Days]])+Tasks[[#This Row],[Pessimistic]])/6,1),"")</f>
        <v/>
      </c>
      <c r="BY157" s="87"/>
      <c r="BZ157" s="87"/>
      <c r="CA157" s="22"/>
      <c r="CB157" s="43" t="str">
        <f aca="false">IF(Tasks[[#This Row],[Task Name]]="","",MAX(1,N(Tasks[[#This Row],[Level]])))</f>
        <v/>
      </c>
      <c r="CC157" s="43" t="n">
        <f aca="false">ROW()-ROW(Tasks[[#Headers],[ID]])</f>
        <v>152</v>
      </c>
      <c r="CD157" s="43" t="n">
        <f aca="false">IF(OR(Tasks[[#This Row],[Task Name]]="",Tasks[[#This Row],[_Level]]&lt;=1),0,IFERROR(LOOKUP(2,1/(Tasks[[#Headers],[_Level]]:Tasks[[#This Row],[_Level]]=Tasks[[#This Row],[_Level]]-1),ROW(Tasks[[#Headers],[_Level]]:Tasks[[#This Row],[_Level]])),0))</f>
        <v>0</v>
      </c>
      <c r="CE157" s="43" t="n">
        <f aca="false">IFERROR(N(INDEX(Tasks[_Level],Tasks[[#This Row],[_Row]]+1)),0)</f>
        <v>0</v>
      </c>
      <c r="CF157" s="90" t="b">
        <f aca="false">AND(Tasks[[#This Row],[Task Name]]&lt;&gt;"",Tasks[[#This Row],[_NextLevel]]&gt;Tasks[[#This Row],[_Level]])</f>
        <v>0</v>
      </c>
      <c r="CG157" s="43" t="n">
        <f aca="false">IF(Tasks[[#This Row],[_IsSummary]],COUNTIF(Tasks[WBS],Tasks[[#This Row],[WBS]]&amp;".*"),0)</f>
        <v>0</v>
      </c>
      <c r="CH157" s="43" t="n">
        <f aca="false">IF(AND(Tasks[[#This Row],[Task Name]]&lt;&gt;"",NOT(Tasks[[#This Row],[_IsSummary]])),1,0)</f>
        <v>0</v>
      </c>
      <c r="CI157" s="43" t="n">
        <f aca="false">IF(N(Tasks[[#This Row],[_Pred1UID]])=0,0,IFERROR(MATCH(Tasks[[#This Row],[_Pred1UID]],Tasks[UID],0),-1))</f>
        <v>0</v>
      </c>
      <c r="CJ157" s="43" t="n">
        <f aca="false">IF(N(Tasks[[#This Row],[_Pred2UID]])=0,0,IFERROR(MATCH(Tasks[[#This Row],[_Pred2UID]],Tasks[UID],0),-1))</f>
        <v>0</v>
      </c>
      <c r="CK157" s="43" t="n">
        <f aca="false">IF(N(Tasks[[#This Row],[_Pred3UID]])=0,0,IFERROR(MATCH(Tasks[[#This Row],[_Pred3UID]],Tasks[UID],0),-1))</f>
        <v>0</v>
      </c>
      <c r="CL157" s="43" t="n">
        <f aca="false">IF(N(Tasks[[#This Row],[_Pred4UID]])=0,0,IFERROR(MATCH(Tasks[[#This Row],[_Pred4UID]],Tasks[UID],0),-1))</f>
        <v>0</v>
      </c>
      <c r="CM15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7" s="91" t="n">
        <f aca="false">IF(OR(Tasks[[#This Row],[_ConstraintCode]]=2,Tasks[[#This Row],[_ConstraintCode]]=3,Tasks[[#This Row],[_ConstraintCode]]=4,Tasks[[#This Row],[_ConstraintCode]]=6),Tasks[[#This Row],[_ConstraintStart]],0)</f>
        <v>0</v>
      </c>
      <c r="CP157" s="91" t="n">
        <f aca="false">IF(OR(Tasks[[#This Row],[_ConstraintCode]]=2,Tasks[[#This Row],[_ConstraintCode]]=3,Tasks[[#This Row],[_ConstraintCode]]=5,Tasks[[#This Row],[_ConstraintCode]]=7),Tasks[[#This Row],[_ConstraintStart]],2958465)</f>
        <v>2958465</v>
      </c>
      <c r="CQ15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7" s="91" t="str">
        <f aca="false">IF(NOT(Tasks[[#This Row],[_IsLeaf]]=1),"",IF(N(Tasks[[#This Row],[_Days]])&lt;=0,Tasks[[#This Row],[_LeafCalcStart]],WORKDAY.INTL(Tasks[[#This Row],[_LeafCalcStart]],Tasks[[#This Row],[_Days]]-1,WorkWeek,Holidays)))</f>
        <v/>
      </c>
      <c r="CS15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7" s="43" t="str">
        <f aca="false">IF(Tasks[[#This Row],[_Predecessors]]="","",TRIM(MID(SUBSTITUTE(SUBSTITUTE(SUBSTITUTE(UPPER(Tasks[[#This Row],[_Predecessors]]),";",",")," ",""),",",REPT(" ",99)),1,99)))</f>
        <v/>
      </c>
      <c r="CV157" s="43" t="str">
        <f aca="false">IF(Tasks[[#This Row],[_Pred1Text]]="","",IFERROR(VALUE(LEFT(Tasks[[#This Row],[_Pred1Text]],MIN(FIND("F",Tasks[[#This Row],[_Pred1Text]]&amp;"F"),FIND("S",Tasks[[#This Row],[_Pred1Text]]&amp;"S"),FIND("+",Tasks[[#This Row],[_Pred1Text]]&amp;"+"),FIND("-",Tasks[[#This Row],[_Pred1Text]]&amp;"-"))-1)),""))</f>
        <v/>
      </c>
      <c r="CW15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7" s="43" t="str">
        <f aca="false">IF(Tasks[[#This Row],[_Pred1Text]]="","",TRIM(MID(SUBSTITUTE(SUBSTITUTE(SUBSTITUTE(UPPER(Tasks[[#This Row],[_Predecessors]]),";",",")," ",""),",",REPT(" ",99)),100,99)))</f>
        <v/>
      </c>
      <c r="CZ157" s="43" t="str">
        <f aca="false">IF(Tasks[[#This Row],[_Pred2Text]]="","",IFERROR(VALUE(LEFT(Tasks[[#This Row],[_Pred2Text]],MIN(FIND("F",Tasks[[#This Row],[_Pred2Text]]&amp;"F"),FIND("S",Tasks[[#This Row],[_Pred2Text]]&amp;"S"),FIND("+",Tasks[[#This Row],[_Pred2Text]]&amp;"+"),FIND("-",Tasks[[#This Row],[_Pred2Text]]&amp;"-"))-1)),""))</f>
        <v/>
      </c>
      <c r="DA15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7" s="43" t="str">
        <f aca="false">IF(Tasks[[#This Row],[_Pred2Text]]="","",TRIM(MID(SUBSTITUTE(SUBSTITUTE(SUBSTITUTE(UPPER(Tasks[[#This Row],[_Predecessors]]),";",",")," ",""),",",REPT(" ",99)),199,99)))</f>
        <v/>
      </c>
      <c r="DD157" s="43" t="str">
        <f aca="false">IF(Tasks[[#This Row],[_Pred3Text]]="","",IFERROR(VALUE(LEFT(Tasks[[#This Row],[_Pred3Text]],MIN(FIND("F",Tasks[[#This Row],[_Pred3Text]]&amp;"F"),FIND("S",Tasks[[#This Row],[_Pred3Text]]&amp;"S"),FIND("+",Tasks[[#This Row],[_Pred3Text]]&amp;"+"),FIND("-",Tasks[[#This Row],[_Pred3Text]]&amp;"-"))-1)),""))</f>
        <v/>
      </c>
      <c r="DE15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7" s="43" t="str">
        <f aca="false">IF(Tasks[[#This Row],[_Pred3Text]]="","",TRIM(MID(SUBSTITUTE(SUBSTITUTE(SUBSTITUTE(UPPER(Tasks[[#This Row],[_Predecessors]]),";",",")," ",""),",",REPT(" ",99)),298,99)))</f>
        <v/>
      </c>
      <c r="DH157" s="43" t="str">
        <f aca="false">IF(Tasks[[#This Row],[_Pred4Text]]="","",IFERROR(VALUE(LEFT(Tasks[[#This Row],[_Pred4Text]],MIN(FIND("F",Tasks[[#This Row],[_Pred4Text]]&amp;"F"),FIND("S",Tasks[[#This Row],[_Pred4Text]]&amp;"S"),FIND("+",Tasks[[#This Row],[_Pred4Text]]&amp;"+"),FIND("-",Tasks[[#This Row],[_Pred4Text]]&amp;"-"))-1)),""))</f>
        <v/>
      </c>
      <c r="DI15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7" s="43" t="str">
        <f aca="false">IF(OR(Tasks[[#This Row],[Task Name]]="",Tasks[[#This Row],[_Resources]]=""),"",TRIM(MID(SUBSTITUTE(Tasks[[#This Row],[_Resources]],",",REPT(" ",99)),1,99)))</f>
        <v/>
      </c>
      <c r="DL157" s="43" t="str">
        <f aca="false">IF(Tasks[[#This Row],[_Res1Text]]="","",TRIM(MID(SUBSTITUTE(Tasks[[#This Row],[_Resources]],",",REPT(" ",99)),100,99)))</f>
        <v/>
      </c>
      <c r="DM157" s="43" t="str">
        <f aca="false">IF(Tasks[[#This Row],[_Res2Text]]="","",TRIM(MID(SUBSTITUTE(Tasks[[#This Row],[_Resources]],",",REPT(" ",99)),199,99)))</f>
        <v/>
      </c>
      <c r="DN157" s="43" t="str">
        <f aca="false">IF(Tasks[[#This Row],[_Res3Text]]="","",TRIM(MID(SUBSTITUTE(Tasks[[#This Row],[_Resources]],",",REPT(" ",99)),298,99)))</f>
        <v/>
      </c>
      <c r="DO157" s="43" t="n">
        <f aca="false">IF(Tasks[[#This Row],[_Res1Text]]="",0,IFERROR(MATCH(TRIM(LEFT(Tasks[[#This Row],[_Res1Text]],FIND("[",Tasks[[#This Row],[_Res1Text]]&amp;"[")-1)),res_Name,0),IFERROR(MATCH(TRIM(LEFT(Tasks[[#This Row],[_Res1Text]],FIND("[",Tasks[[#This Row],[_Res1Text]]&amp;"[")-1)),res_Initials,0),0)))</f>
        <v>0</v>
      </c>
      <c r="DP157" s="43" t="n">
        <f aca="false">IF(Tasks[[#This Row],[_Res2Text]]="",0,IFERROR(MATCH(TRIM(LEFT(Tasks[[#This Row],[_Res2Text]],FIND("[",Tasks[[#This Row],[_Res2Text]]&amp;"[")-1)),res_Name,0),IFERROR(MATCH(TRIM(LEFT(Tasks[[#This Row],[_Res2Text]],FIND("[",Tasks[[#This Row],[_Res2Text]]&amp;"[")-1)),res_Initials,0),0)))</f>
        <v>0</v>
      </c>
      <c r="DQ157" s="43" t="n">
        <f aca="false">IF(Tasks[[#This Row],[_Res3Text]]="",0,IFERROR(MATCH(TRIM(LEFT(Tasks[[#This Row],[_Res3Text]],FIND("[",Tasks[[#This Row],[_Res3Text]]&amp;"[")-1)),res_Name,0),IFERROR(MATCH(TRIM(LEFT(Tasks[[#This Row],[_Res3Text]],FIND("[",Tasks[[#This Row],[_Res3Text]]&amp;"[")-1)),res_Initials,0),0)))</f>
        <v>0</v>
      </c>
      <c r="DR157" s="43" t="n">
        <f aca="false">IF(Tasks[[#This Row],[_Res4Text]]="",0,IFERROR(MATCH(TRIM(LEFT(Tasks[[#This Row],[_Res4Text]],FIND("[",Tasks[[#This Row],[_Res4Text]]&amp;"[")-1)),res_Name,0),IFERROR(MATCH(TRIM(LEFT(Tasks[[#This Row],[_Res4Text]],FIND("[",Tasks[[#This Row],[_Res4Text]]&amp;"[")-1)),res_Initials,0),0)))</f>
        <v>0</v>
      </c>
      <c r="DS157" s="43" t="str">
        <f aca="false">IF(Tasks[[#This Row],[_Res1Text]]="","",IF(Tasks[[#This Row],[_Res1Row]]&gt;0,INDEX(res_Name,Tasks[[#This Row],[_Res1Row]]),TRIM(LEFT(Tasks[[#This Row],[_Res1Text]],FIND("[",Tasks[[#This Row],[_Res1Text]]&amp;"[")-1))))</f>
        <v/>
      </c>
      <c r="DT15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7" s="43" t="n">
        <f aca="false">IF(NOT(Tasks[[#This Row],[_IsLeaf]]=1),0,(Tasks[[#This Row],[_Resource1]]&lt;&gt;"")+(Tasks[[#This Row],[_Res2]]&lt;&gt;"")+(Tasks[[#This Row],[_Res3]]&lt;&gt;"")+(Tasks[[#This Row],[_Res4]]&lt;&gt;""))</f>
        <v>0</v>
      </c>
      <c r="DV157" s="43" t="str">
        <f aca="false">IF(Tasks[[#This Row],[_Res2Text]]="","",IF(Tasks[[#This Row],[_Res2Row]]&gt;0,INDEX(res_Name,Tasks[[#This Row],[_Res2Row]]),TRIM(LEFT(Tasks[[#This Row],[_Res2Text]],FIND("[",Tasks[[#This Row],[_Res2Text]]&amp;"[")-1))))</f>
        <v/>
      </c>
      <c r="DW15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7" s="43" t="n">
        <f aca="false">IF(OR(NOT(Tasks[[#This Row],[_IsLeaf]]=1),Tasks[[#This Row],[_Res2Row]]=0),0,N(Tasks[[#This Row],[_Days]])*HoursPerDay*IF(Tasks[[#This Row],[_Res2Units]]="",DefaultUnits,Tasks[[#This Row],[_Res2Units]]))</f>
        <v>0</v>
      </c>
      <c r="DY157" s="43" t="n">
        <f aca="false">IF(AND(AND(Tasks[[#This Row],[_IsLeaf]]=1,Tasks[[#This Row],[_LeafTotalWork]]&gt;0),Tasks[[#This Row],[_Res2Work]]&gt;0),Tasks[[#This Row],[_Res2Work]]/(Tasks[[#This Row],[_FinishWorkday]]-Tasks[[#This Row],[_StartWorkday]]+1),0)</f>
        <v>0</v>
      </c>
      <c r="DZ157" s="43" t="n">
        <f aca="false">Tasks[[#This Row],[_Res2WorkPerWD]]*MAX(0,Tasks[[#This Row],[_StartWorkday]]-1)</f>
        <v>0</v>
      </c>
      <c r="EA157" s="43" t="n">
        <f aca="false">Tasks[[#This Row],[_Res2Work]]*Tasks[[#This Row],[_LeafProgress]]</f>
        <v>0</v>
      </c>
      <c r="EB157" s="43" t="str">
        <f aca="false">IF(Tasks[[#This Row],[_Res3Text]]="","",IF(Tasks[[#This Row],[_Res3Row]]&gt;0,INDEX(res_Name,Tasks[[#This Row],[_Res3Row]]),TRIM(LEFT(Tasks[[#This Row],[_Res3Text]],FIND("[",Tasks[[#This Row],[_Res3Text]]&amp;"[")-1))))</f>
        <v/>
      </c>
      <c r="EC15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7" s="43" t="n">
        <f aca="false">IF(OR(NOT(Tasks[[#This Row],[_IsLeaf]]=1),Tasks[[#This Row],[_Res3Row]]=0),0,N(Tasks[[#This Row],[_Days]])*HoursPerDay*IF(Tasks[[#This Row],[_Res3Units]]="",DefaultUnits,Tasks[[#This Row],[_Res3Units]]))</f>
        <v>0</v>
      </c>
      <c r="EE157" s="43" t="n">
        <f aca="false">IF(AND(AND(Tasks[[#This Row],[_IsLeaf]]=1,Tasks[[#This Row],[_LeafTotalWork]]&gt;0),Tasks[[#This Row],[_Res3Work]]&gt;0),Tasks[[#This Row],[_Res3Work]]/(Tasks[[#This Row],[_FinishWorkday]]-Tasks[[#This Row],[_StartWorkday]]+1),0)</f>
        <v>0</v>
      </c>
      <c r="EF157" s="43" t="n">
        <f aca="false">Tasks[[#This Row],[_Res3WorkPerWD]]*MAX(0,Tasks[[#This Row],[_StartWorkday]]-1)</f>
        <v>0</v>
      </c>
      <c r="EG157" s="43" t="n">
        <f aca="false">Tasks[[#This Row],[_Res3Work]]*Tasks[[#This Row],[_LeafProgress]]</f>
        <v>0</v>
      </c>
      <c r="EH157" s="43" t="str">
        <f aca="false">IF(Tasks[[#This Row],[_Res4Text]]="","",IF(Tasks[[#This Row],[_Res4Row]]&gt;0,INDEX(res_Name,Tasks[[#This Row],[_Res4Row]]),TRIM(LEFT(Tasks[[#This Row],[_Res4Text]],FIND("[",Tasks[[#This Row],[_Res4Text]]&amp;"[")-1))))</f>
        <v/>
      </c>
      <c r="EI15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7" s="43" t="n">
        <f aca="false">IF(OR(NOT(Tasks[[#This Row],[_IsLeaf]]=1),Tasks[[#This Row],[_Res4Row]]=0),0,N(Tasks[[#This Row],[_Days]])*HoursPerDay*IF(Tasks[[#This Row],[_Res4Units]]="",DefaultUnits,Tasks[[#This Row],[_Res4Units]]))</f>
        <v>0</v>
      </c>
      <c r="EK157" s="43" t="n">
        <f aca="false">IF(AND(AND(Tasks[[#This Row],[_IsLeaf]]=1,Tasks[[#This Row],[_LeafTotalWork]]&gt;0),Tasks[[#This Row],[_Res4Work]]&gt;0),Tasks[[#This Row],[_Res4Work]]/(Tasks[[#This Row],[_FinishWorkday]]-Tasks[[#This Row],[_StartWorkday]]+1),0)</f>
        <v>0</v>
      </c>
      <c r="EL157" s="43" t="n">
        <f aca="false">Tasks[[#This Row],[_Res4WorkPerWD]]*MAX(0,Tasks[[#This Row],[_StartWorkday]]-1)</f>
        <v>0</v>
      </c>
      <c r="EM157" s="43" t="n">
        <f aca="false">Tasks[[#This Row],[_Res4Work]]*Tasks[[#This Row],[_LeafProgress]]</f>
        <v>0</v>
      </c>
      <c r="EN157" s="43" t="n">
        <f aca="false">IF(ISNUMBER(Tasks[[#This Row],[% Complete]]),Tasks[[#This Row],[% Complete]],IF(Tasks[[#This Row],[Stage]]="",0,IFERROR(INDEX(stg_Pct,MATCH(Tasks[[#This Row],[Stage]],stg_Name,0)),0)))</f>
        <v>0</v>
      </c>
      <c r="EO157" s="43" t="n">
        <f aca="false">IF(NOT(Tasks[[#This Row],[_IsLeaf]]=1),0,IF(N(Tasks[[#This Row],[Actual Finish]])&gt;0,1,MIN(1,Tasks[[#This Row],[_Pct]])))</f>
        <v>0</v>
      </c>
      <c r="EP157" s="43" t="n">
        <f aca="false">IF(OR(NOT(Tasks[[#This Row],[_IsLeaf]]=1),Tasks[[#This Row],[_Res1Row]]=0),0,N(Tasks[[#This Row],[_Days]])*HoursPerDay*IF(Tasks[[#This Row],[_Units1]]="",DefaultUnits,Tasks[[#This Row],[_Units1]]))</f>
        <v>0</v>
      </c>
      <c r="EQ157" s="43" t="n">
        <f aca="false">Tasks[[#This Row],[_LeafWork]]+Tasks[[#This Row],[_Res2Work]]+Tasks[[#This Row],[_Res3Work]]+Tasks[[#This Row],[_Res4Work]]</f>
        <v>0</v>
      </c>
      <c r="ER15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7" s="43" t="n">
        <f aca="false">IF(NOT(Tasks[[#This Row],[_IsLeaf]]=1),0,MAX(_xlfn.MAXIFS(Tasks[_Row],Tasks[_Pred1UID],Tasks[[#This Row],[UID]]),_xlfn.MAXIFS(Tasks[_Row],Tasks[_Pred2UID],Tasks[[#This Row],[UID]]),_xlfn.MAXIFS(Tasks[_Row],Tasks[_Pred3UID],Tasks[[#This Row],[UID]]),_xlfn.MAXIFS(Tasks[_Row],Tasks[_Pred4UID],Tasks[[#This Row],[UID]])))</f>
        <v>0</v>
      </c>
      <c r="FA15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7" s="91" t="str">
        <f aca="false">IF(NOT(Tasks[[#This Row],[_IsLeaf]]=1),"",IF(N(Tasks[[#This Row],[_Days]])&lt;=0,Tasks[[#This Row],[_LeafLateFinish]],WORKDAY.INTL(Tasks[[#This Row],[_LeafLateFinish]],-(Tasks[[#This Row],[_Days]]-1),WorkWeek,Holidays)))</f>
        <v/>
      </c>
      <c r="FD15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7" s="90" t="b">
        <f aca="false">AND(Tasks[[#This Row],[_IsLeaf]]=1,Tasks[[#This Row],[_LeafProgress]]&lt;1,N(Tasks[[#This Row],[_LeafTotalSlack]])&lt;=CriticalSlackDays)</f>
        <v>0</v>
      </c>
      <c r="FF157" s="43" t="n">
        <f aca="false">IF(AND(Tasks[[#This Row],[_IsLeaf]]=1,Tasks[[#This Row],[_ConstraintCode]]=1,Tasks[[#This Row],[Mode]]&lt;&gt;"Manual",N(Tasks[[#This Row],[Actual Start]])=0),MAX(0,N(Tasks[[#This Row],[Free Slack]])),0)</f>
        <v>0</v>
      </c>
      <c r="FG157" s="91" t="str">
        <f aca="false">IF(NOT(Tasks[[#This Row],[_IsLeaf]]=1),"",IF(Tasks[[#This Row],[_AlapShift]]=0,Tasks[[#This Row],[_LeafCalcStart]],WORKDAY.INTL(Tasks[[#This Row],[_LeafCalcStart]],Tasks[[#This Row],[_AlapShift]],WorkWeek,Holidays)))</f>
        <v/>
      </c>
      <c r="FH157" s="91" t="str">
        <f aca="false">IF(NOT(Tasks[[#This Row],[_IsLeaf]]=1),"",IF(Tasks[[#This Row],[_AlapShift]]=0,Tasks[[#This Row],[_LeafCalcFinish]],WORKDAY.INTL(Tasks[[#This Row],[_LeafCalcFinish]],Tasks[[#This Row],[_AlapShift]],WorkWeek,Holidays)))</f>
        <v/>
      </c>
      <c r="FI157" s="91" t="str">
        <f aca="false">IF(NOT(Tasks[[#This Row],[_IsLeaf]]=1),"",IF(Tasks[[#This Row],[_AlapShift]]=0,Tasks[[#This Row],[_LeafFcstStart]],WORKDAY.INTL(Tasks[[#This Row],[_LeafFcstStart]],Tasks[[#This Row],[_AlapShift]],WorkWeek,Holidays)))</f>
        <v/>
      </c>
      <c r="FJ157" s="91" t="str">
        <f aca="false">IF(NOT(Tasks[[#This Row],[_IsLeaf]]=1),"",IF(Tasks[[#This Row],[_AlapShift]]=0,Tasks[[#This Row],[_LeafFcstFinish]],WORKDAY.INTL(Tasks[[#This Row],[_LeafFcstFinish]],Tasks[[#This Row],[_AlapShift]],WorkWeek,Holidays)))</f>
        <v/>
      </c>
      <c r="FK157" s="91" t="str">
        <f aca="false">IF(Tasks[[#This Row],[Task Name]]="","",IF(Tasks[[#This Row],[_IsSummary]],MIN(INDEX(Tasks[_ShownCalcStart],Tasks[[#This Row],[_Row]]+1):INDEX(Tasks[_ShownCalcStart],Tasks[[#This Row],[_Row]]+Tasks[[#This Row],[_Descendants]])),Tasks[[#This Row],[_ShownCalcStart]]))</f>
        <v/>
      </c>
      <c r="FL157" s="91" t="str">
        <f aca="false">IF(Tasks[[#This Row],[Task Name]]="","",IF(Tasks[[#This Row],[_IsSummary]],MAX(INDEX(Tasks[_ShownCalcFinish],Tasks[[#This Row],[_Row]]+1):INDEX(Tasks[_ShownCalcFinish],Tasks[[#This Row],[_Row]]+Tasks[[#This Row],[_Descendants]])),Tasks[[#This Row],[_ShownCalcFinish]]))</f>
        <v/>
      </c>
      <c r="FM15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7" s="43" t="n">
        <f aca="false">IF(AND(Tasks[[#This Row],[_IsLeaf]]=1,Tasks[[#This Row],[_LeafTotalWork]]&gt;0),NETWORKDAYS.INTL(ProjectStart,Tasks[[#This Row],[_ShownFcstStart]],WorkWeek,Holidays),0)</f>
        <v>0</v>
      </c>
      <c r="FZ157" s="43" t="n">
        <f aca="false">IF(AND(Tasks[[#This Row],[_IsLeaf]]=1,Tasks[[#This Row],[_LeafTotalWork]]&gt;0),MAX(Tasks[[#This Row],[_StartWorkday]],NETWORKDAYS.INTL(ProjectStart,Tasks[[#This Row],[_ShownFcstFinish]],WorkWeek,Holidays)),0)</f>
        <v>0</v>
      </c>
      <c r="GA157" s="43" t="n">
        <f aca="false">IF(AND(Tasks[[#This Row],[_IsLeaf]]=1,Tasks[[#This Row],[_LeafTotalWork]]&gt;0),Tasks[[#This Row],[_LeafWork]]/(Tasks[[#This Row],[_FinishWorkday]]-Tasks[[#This Row],[_StartWorkday]]+1),0)</f>
        <v>0</v>
      </c>
      <c r="GB157" s="43" t="n">
        <f aca="false">Tasks[[#This Row],[_WorkPerWorkday]]*(Tasks[[#This Row],[_StartWorkday]]-1)</f>
        <v>-0</v>
      </c>
      <c r="GC157" s="43" t="n">
        <f aca="false">IF(Tasks[[#This Row],[_IsLeaf]]=1,MAX(N(Tasks[[#This Row],[_Days]]),0.1),0)</f>
        <v>0</v>
      </c>
      <c r="GD157" s="43" t="n">
        <f aca="false">Tasks[[#This Row],[_WeightDur]]*Tasks[[#This Row],[_LeafProgress]]</f>
        <v>0</v>
      </c>
      <c r="GE157" s="43" t="n">
        <f aca="false">Tasks[[#This Row],[_WeightDur]]*Tasks[[#This Row],[_PlannedPct]]</f>
        <v>0</v>
      </c>
      <c r="GF15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7" s="43" t="str">
        <f aca="false">IF(AND(Tasks[[#This Row],[_IsLeaf]]=1,N(Tasks[[#This Row],[_Days]])=0,Tasks[[#This Row],[_LeafProgress]]&lt;1),Tasks[[#This Row],[_ShownFcstFinish]]+Tasks[[#This Row],[_Row]]/100000,"")</f>
        <v/>
      </c>
      <c r="GH15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7" s="43" t="str">
        <f aca="false">IF(Tasks[[#This Row],[Task Name]]="","",LEFT(Tasks[[#This Row],[WBS]],FIND(".",Tasks[[#This Row],[WBS]]&amp;".")-1))</f>
        <v/>
      </c>
      <c r="GJ157" s="43" t="str">
        <f aca="false">IF(AND(Tasks[[#This Row],[Task Name]]&lt;&gt;"",Tasks[[#This Row],[_Level]]=1),Tasks[[#This Row],[_Row]],"")</f>
        <v/>
      </c>
      <c r="GK157" s="43" t="str">
        <f aca="false">IF(AND(Tasks[[#This Row],[_IsLeaf]]=1,N(Tasks[[#This Row],[_Days]])=0),Tasks[[#This Row],[Planned Finish]]+Tasks[[#This Row],[_Row]]/100000,"")</f>
        <v/>
      </c>
      <c r="GL157" s="43" t="str">
        <f aca="false">IF(AND(Tasks[[#This Row],[_IsLeaf]]=1,Tasks[[#This Row],[_LeafProgress]]&lt;1,OR(N(Tasks[[#This Row],[Finish Var]])&gt;0,Tasks[[#This Row],[Status]]="Late Start")),MAX(0,Tasks[[#This Row],[Finish Var]])+1-Tasks[[#This Row],[_Row]]/1000000,"")</f>
        <v/>
      </c>
      <c r="GM157" s="43" t="str">
        <f aca="false">IF(AND(Tasks[[#This Row],[_IsLeaf]]=1,N(Tasks[[#This Row],[Actual Start]])=0,Tasks[[#This Row],[_ShownFcstStart]]&gt;=StatusDate,Tasks[[#This Row],[_ShownFcstStart]]&lt;=LookaheadEnd),Tasks[[#This Row],[_ShownFcstStart]]+Tasks[[#This Row],[_Row]]/100000,"")</f>
        <v/>
      </c>
      <c r="GN157" s="43" t="str">
        <f aca="false">IF(AND(Tasks[[#This Row],[_IsLeaf]]=1,Tasks[[#This Row],[_LeafProgress]]&lt;1,Tasks[[#This Row],[_ShownFcstFinish]]&gt;=StatusDate,Tasks[[#This Row],[_ShownFcstFinish]]&lt;=LookaheadEnd),Tasks[[#This Row],[_ShownFcstFinish]]+Tasks[[#This Row],[_Row]]/100000,"")</f>
        <v/>
      </c>
      <c r="GO157" s="43" t="str">
        <f aca="false">IF(Tasks[[#This Row],[_LeafCritical]],Tasks[[#This Row],[_ShownFcstStart]]+Tasks[[#This Row],[_Row]]/100000,"")</f>
        <v/>
      </c>
      <c r="GP157" s="43" t="n">
        <f aca="false">Tasks[[#This Row],[_LeafWork]]*Tasks[[#This Row],[_LeafProgress]]</f>
        <v>0</v>
      </c>
      <c r="GQ157" s="91" t="str">
        <f aca="false">IF(AND(Tasks[[#This Row],[_IsLeaf]]=1,Tasks[[#This Row],[_LeafProgress]]&gt;=1),IF(N(Tasks[[#This Row],[Actual Finish]])&gt;0,Tasks[[#This Row],[Actual Finish]],Tasks[[#This Row],[_ShownFcstFinish]]),"")</f>
        <v/>
      </c>
      <c r="GR157" s="43" t="n">
        <f aca="false">IF(Tasks[[#This Row],[_IsLeaf]]=1,N(Tasks[[#This Row],[Story Points]]),0)</f>
        <v>0</v>
      </c>
      <c r="GS157" s="43" t="str">
        <f aca="false">""</f>
        <v/>
      </c>
      <c r="GT157" s="90" t="b">
        <f aca="false">IF(Tasks[[#This Row],[Task Name]]="",FALSE(),AND(Tasks[[#This Row],[_IsLeaf]]=1,N(Tasks[[#This Row],[_Days]])=0))</f>
        <v>0</v>
      </c>
      <c r="GU157" s="91" t="n">
        <f aca="false">IF(Tasks[[#This Row],[Task Name]]="",0,IF(AND(Tasks[[#This Row],[_IsLeaf]]=1,NOT(Tasks[[#This Row],[_IsMilestone]]),N(Tasks[[#This Row],[Progress]])&gt;0),Tasks[[#This Row],[Start]],0))</f>
        <v>0</v>
      </c>
      <c r="GV157" s="91" t="n">
        <f aca="false">IF(Tasks[[#This Row],[_DoneFrom]]=0,0,IF(Tasks[[#This Row],[Progress]]&gt;=1,Tasks[[#This Row],[Finish]],MAX(Tasks[[#This Row],[_DoneFrom]],Tasks[[#This Row],[Start]]+ROUND((Tasks[[#This Row],[Finish]]-Tasks[[#This Row],[Start]]+1)*Tasks[[#This Row],[Progress]],0)-1)))</f>
        <v>0</v>
      </c>
      <c r="GW157" s="91" t="n">
        <f aca="false">IF(Tasks[[#This Row],[Task Name]]="",0,IF(OR(NOT(Tasks[[#This Row],[_IsLeaf]]=1),Tasks[[#This Row],[_IsMilestone]],N(Tasks[[#This Row],[Progress]])&gt;=1),0,IF(Tasks[[#This Row],[_DoneTo]]&gt;0,Tasks[[#This Row],[_DoneTo]]+1,Tasks[[#This Row],[Start]])))</f>
        <v>0</v>
      </c>
      <c r="GX157" s="91" t="n">
        <f aca="false">IF(Tasks[[#This Row],[_RemFrom]]=0,0,Tasks[[#This Row],[Finish]])</f>
        <v>0</v>
      </c>
      <c r="GY157" s="90" t="b">
        <f aca="false">IF(Tasks[[#This Row],[Task Name]]="",FALSE(),OR(NOT(BaselineSet),N(Tasks[[#This Row],[Baseline Start]])&gt;0))</f>
        <v>0</v>
      </c>
      <c r="GZ15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7" s="92" t="str">
        <f aca="false">IF(Tasks[[#This Row],[_IsLeaf]]=1,Tasks[[#This Row],[_Row]],"")</f>
        <v/>
      </c>
      <c r="HD157" s="92" t="str">
        <f aca="false">IFERROR(INDEX(Tasks[UID],SMALL(Tasks[_PickKey],Tasks[[#This Row],[_Row]]))&amp;" "&amp;INDEX(Tasks[Task Name],SMALL(Tasks[_PickKey],Tasks[[#This Row],[_Row]])),"")</f>
        <v/>
      </c>
      <c r="HE157" s="43" t="str">
        <f aca="false">IF(Tasks[[#This Row],[Task Name]]="","",IF(Tasks[[#This Row],[_IsSummary]],NETWORKDAYS.INTL(Tasks[[#This Row],[Start]],Tasks[[#This Row],[Finish]],WorkWeek,Holidays),N(Tasks[[#This Row],[_Days]])))</f>
        <v/>
      </c>
      <c r="HF157" s="43" t="n">
        <f aca="false">IF(Tasks[[#This Row],[Expected]]="",0,((Tasks[[#This Row],[Pessimistic]]-Tasks[[#This Row],[Optimistic]])/6)^2)</f>
        <v>0</v>
      </c>
      <c r="HG157" s="43" t="n">
        <f aca="false">IF(Tasks[[#This Row],[Expected]]="",0,Tasks[[#This Row],[Expected]]-N(Tasks[[#This Row],[_Days]]))</f>
        <v>0</v>
      </c>
    </row>
    <row r="158" customFormat="false" ht="15" hidden="false" customHeight="false" outlineLevel="0" collapsed="false">
      <c r="A158" s="21" t="str">
        <f aca="false">IF(Tasks[[#This Row],[Task Name]]="","",COUNTA(Tasks[[#Headers],[Task Name]]:Tasks[[#This Row],[Task Name]])-1)</f>
        <v/>
      </c>
      <c r="B158" s="22" t="n">
        <v>166</v>
      </c>
      <c r="C158" s="22"/>
      <c r="D158" s="23"/>
      <c r="E158" s="22"/>
      <c r="F158" s="23"/>
      <c r="G158" s="22"/>
      <c r="H158" s="22"/>
      <c r="I158" s="23"/>
      <c r="J158" s="22"/>
      <c r="K158" s="22"/>
      <c r="L158" s="23"/>
      <c r="M158" s="22"/>
      <c r="N158" s="22"/>
      <c r="O158" s="23"/>
      <c r="P158" s="22"/>
      <c r="Q158" s="22"/>
      <c r="R158" s="23"/>
      <c r="S158" s="23"/>
      <c r="T158" s="84"/>
      <c r="U158" s="23"/>
      <c r="V158" s="84"/>
      <c r="W158" s="23"/>
      <c r="X158" s="84"/>
      <c r="Y158" s="23"/>
      <c r="Z158" s="84"/>
      <c r="AA158" s="23"/>
      <c r="AB158" s="23"/>
      <c r="AC158" s="7"/>
      <c r="AD158" s="7"/>
      <c r="AE158" s="63" t="str">
        <f aca="false">IF(Tasks[[#This Row],[Task Name]]="","",IF(Tasks[[#This Row],[_IsSummary]],MIN(INDEX(Tasks[_ShownFcstStart],Tasks[[#This Row],[_Row]]+1):INDEX(Tasks[_ShownFcstStart],Tasks[[#This Row],[_Row]]+Tasks[[#This Row],[_Descendants]])),Tasks[[#This Row],[_ShownFcstStart]]))</f>
        <v/>
      </c>
      <c r="AF158" s="63" t="str">
        <f aca="false">IF(Tasks[[#This Row],[Task Name]]="","",IF(Tasks[[#This Row],[_IsSummary]],MAX(INDEX(Tasks[_ShownFcstFinish],Tasks[[#This Row],[_Row]]+1):INDEX(Tasks[_ShownFcstFinish],Tasks[[#This Row],[_Row]]+Tasks[[#This Row],[_Descendants]])),Tasks[[#This Row],[_ShownFcstFinish]]))</f>
        <v/>
      </c>
      <c r="AG158" s="21" t="str">
        <f aca="false">""</f>
        <v/>
      </c>
      <c r="AH158" s="23"/>
      <c r="AI1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8" s="7"/>
      <c r="AK158" s="22"/>
      <c r="AL158" s="23"/>
      <c r="AM158" s="7"/>
      <c r="AN158" s="47" t="str">
        <f aca="false">IF(Tasks[[#This Row],[Task Name]]="","",IF(Tasks[[#This Row],[Finish]]&gt;=Tasks[[#This Row],[Planned Finish]],NETWORKDAYS.INTL(Tasks[[#This Row],[Planned Finish]],Tasks[[#This Row],[Finish]],WorkWeek,Holidays)-1,1-NETWORKDAYS.INTL(Tasks[[#This Row],[Finish]],Tasks[[#This Row],[Planned Finish]],WorkWeek,Holidays)))</f>
        <v/>
      </c>
      <c r="AO158" s="21" t="str">
        <f aca="false">IF(Tasks[[#This Row],[Task Name]]="","",IF(Tasks[[#This Row],[Progress]]&gt;=1,"Complete",IF(OR(N(Tasks[[#This Row],[Actual Start]])&gt;0,Tasks[[#This Row],[Progress]]&gt;0),IF(Tasks[[#This Row],[Finish Var]]&gt;0,"Behind","In Progress"),IF(Tasks[[#This Row],[Planned Start]]&lt;StatusDate,"Late Start","Not Started"))))</f>
        <v/>
      </c>
      <c r="AP158" s="21" t="str">
        <f aca="false">IF(Tasks[[#This Row],[Task Name]]="","",IF(IF(Tasks[[#This Row],[_IsSummary]],COUNTIF(INDEX(Tasks[_LeafCritical],Tasks[[#This Row],[_Row]]+1):INDEX(Tasks[_LeafCritical],Tasks[[#This Row],[_Row]]+Tasks[[#This Row],[_Descendants]]),TRUE())&gt;0,Tasks[[#This Row],[_LeafCritical]]),"Yes",""))</f>
        <v/>
      </c>
      <c r="AQ158" s="63" t="str">
        <f aca="false">IF(Tasks[[#This Row],[Task Name]]="","",IF(N(Tasks[[#This Row],[Baseline Start]])&gt;0,Tasks[[#This Row],[Baseline Start]],Tasks[[#This Row],[_CalcStart]]))</f>
        <v/>
      </c>
      <c r="AR158" s="63" t="str">
        <f aca="false">IF(Tasks[[#This Row],[Task Name]]="","",IF(N(Tasks[[#This Row],[Baseline Finish]])&gt;0,Tasks[[#This Row],[Baseline Finish]],Tasks[[#This Row],[_CalcFinish]]))</f>
        <v/>
      </c>
      <c r="AS158" s="47" t="str">
        <f aca="false">IF(Tasks[[#This Row],[Task Name]]="","",IF(Tasks[[#This Row],[Start]]&gt;=Tasks[[#This Row],[Planned Start]],NETWORKDAYS.INTL(Tasks[[#This Row],[Planned Start]],Tasks[[#This Row],[Start]],WorkWeek,Holidays)-1,1-NETWORKDAYS.INTL(Tasks[[#This Row],[Start]],Tasks[[#This Row],[Planned Start]],WorkWeek,Holidays)))</f>
        <v/>
      </c>
      <c r="AT158" s="63" t="str">
        <f aca="false">IF(Tasks[[#This Row],[Task Name]]="","",IF(Tasks[[#This Row],[_IsSummary]],MIN(INDEX(Tasks[_LeafLateStart],Tasks[[#This Row],[_Row]]+1):INDEX(Tasks[_LeafLateStart],Tasks[[#This Row],[_Row]]+Tasks[[#This Row],[_Descendants]])),Tasks[[#This Row],[_LeafLateStart]]))</f>
        <v/>
      </c>
      <c r="AU158" s="63" t="str">
        <f aca="false">IF(Tasks[[#This Row],[Task Name]]="","",IF(Tasks[[#This Row],[_IsSummary]],MAX(INDEX(Tasks[_LeafLateFinish],Tasks[[#This Row],[_Row]]+1):INDEX(Tasks[_LeafLateFinish],Tasks[[#This Row],[_Row]]+Tasks[[#This Row],[_Descendants]])),Tasks[[#This Row],[_LeafLateFinish]]))</f>
        <v/>
      </c>
      <c r="AV158" s="47" t="str">
        <f aca="false">IF(Tasks[[#This Row],[Task Name]]="","",IF(Tasks[[#This Row],[_IsSummary]],MIN(INDEX(Tasks[_LeafTotalSlack],Tasks[[#This Row],[_Row]]+1):INDEX(Tasks[_LeafTotalSlack],Tasks[[#This Row],[_Row]]+Tasks[[#This Row],[_Descendants]])),Tasks[[#This Row],[_LeafTotalSlack]]))</f>
        <v/>
      </c>
      <c r="AW1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5"/>
      <c r="BA15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1" t="str">
        <f aca="false">IF(Tasks[[#This Row],[Task Name]]="","",IF(Tasks[[#This Row],[_Level]]&lt;=OutlineShowLevel,"Yes","No"))</f>
        <v/>
      </c>
      <c r="BE158" s="86" t="str">
        <f aca="false">IF(Tasks[[#This Row],[Task Name]]="","",IF(Tasks[[#This Row],[_IsSummary]],SUM(INDEX(Tasks[_LeafTotalWork],Tasks[[#This Row],[_Row]]+1):INDEX(Tasks[_LeafTotalWork],Tasks[[#This Row],[_Row]]+Tasks[[#This Row],[_Descendants]])),Tasks[[#This Row],[_LeafTotalWork]]))</f>
        <v/>
      </c>
      <c r="BF158" s="23"/>
      <c r="BG1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8" s="21" t="str">
        <f aca="false">""</f>
        <v/>
      </c>
      <c r="BI158" s="87"/>
      <c r="BJ158" s="22"/>
      <c r="BK158" s="47" t="str">
        <f aca="false">IF(OR(Tasks[[#This Row],[Task Name]]="",Tasks[[#This Row],[Baseline Duration]]=""),"",Tasks[[#This Row],[_SpanDays]]-N(Tasks[[#This Row],[Baseline Duration]]))</f>
        <v/>
      </c>
      <c r="BL158" s="86" t="str">
        <f aca="false">IF(OR(Tasks[[#This Row],[Task Name]]="",Tasks[[#This Row],[Baseline Work]]=""),"",Tasks[[#This Row],[Work]]-N(Tasks[[#This Row],[Baseline Work]]))</f>
        <v/>
      </c>
      <c r="BM158" s="63" t="str">
        <f aca="false">IF(Tasks[[#This Row],[Task Name]]="","",IF(OR(TakeBaseline="Yes",N(Tasks[[#This Row],[Baseline Start]])=0),Tasks[[#This Row],[Start]],Tasks[[#This Row],[Baseline Start]]))</f>
        <v/>
      </c>
      <c r="BN158" s="63" t="str">
        <f aca="false">IF(Tasks[[#This Row],[Task Name]]="","",IF(OR(TakeBaseline="Yes",N(Tasks[[#This Row],[Baseline Finish]])=0),Tasks[[#This Row],[Finish]],Tasks[[#This Row],[Baseline Finish]]))</f>
        <v/>
      </c>
      <c r="BO158" s="21" t="str">
        <f aca="false">IF(Tasks[[#This Row],[Task Name]]="","",IF(OR(TakeBaseline="Yes",N(Tasks[[#This Row],[Baseline Duration]])=0),Tasks[[#This Row],[_SpanDays]],Tasks[[#This Row],[Baseline Duration]]))</f>
        <v/>
      </c>
      <c r="BP158" s="86" t="str">
        <f aca="false">IF(Tasks[[#This Row],[Task Name]]="","",IF(OR(TakeBaseline="Yes",N(Tasks[[#This Row],[Baseline Work]])=0),Tasks[[#This Row],[Work]],Tasks[[#This Row],[Baseline Work]]))</f>
        <v/>
      </c>
      <c r="BQ158" s="7"/>
      <c r="BR158" s="7"/>
      <c r="BS158" s="22"/>
      <c r="BT158" s="88"/>
      <c r="BU158" s="23"/>
      <c r="BV158" s="23"/>
      <c r="BW158" s="23"/>
      <c r="BX158" s="89" t="str">
        <f aca="false">IF(AND(Tasks[[#This Row],[_IsLeaf]]=1,ISNUMBER(Tasks[[#This Row],[Optimistic]]),ISNUMBER(Tasks[[#This Row],[Pessimistic]])),ROUND((Tasks[[#This Row],[Optimistic]]+4*N(Tasks[[#This Row],[_Days]])+Tasks[[#This Row],[Pessimistic]])/6,1),"")</f>
        <v/>
      </c>
      <c r="BY158" s="87"/>
      <c r="BZ158" s="87"/>
      <c r="CA158" s="22"/>
      <c r="CB158" s="43" t="str">
        <f aca="false">IF(Tasks[[#This Row],[Task Name]]="","",MAX(1,N(Tasks[[#This Row],[Level]])))</f>
        <v/>
      </c>
      <c r="CC158" s="43" t="n">
        <f aca="false">ROW()-ROW(Tasks[[#Headers],[ID]])</f>
        <v>153</v>
      </c>
      <c r="CD158" s="43" t="n">
        <f aca="false">IF(OR(Tasks[[#This Row],[Task Name]]="",Tasks[[#This Row],[_Level]]&lt;=1),0,IFERROR(LOOKUP(2,1/(Tasks[[#Headers],[_Level]]:Tasks[[#This Row],[_Level]]=Tasks[[#This Row],[_Level]]-1),ROW(Tasks[[#Headers],[_Level]]:Tasks[[#This Row],[_Level]])),0))</f>
        <v>0</v>
      </c>
      <c r="CE158" s="43" t="n">
        <f aca="false">IFERROR(N(INDEX(Tasks[_Level],Tasks[[#This Row],[_Row]]+1)),0)</f>
        <v>0</v>
      </c>
      <c r="CF158" s="90" t="b">
        <f aca="false">AND(Tasks[[#This Row],[Task Name]]&lt;&gt;"",Tasks[[#This Row],[_NextLevel]]&gt;Tasks[[#This Row],[_Level]])</f>
        <v>0</v>
      </c>
      <c r="CG158" s="43" t="n">
        <f aca="false">IF(Tasks[[#This Row],[_IsSummary]],COUNTIF(Tasks[WBS],Tasks[[#This Row],[WBS]]&amp;".*"),0)</f>
        <v>0</v>
      </c>
      <c r="CH158" s="43" t="n">
        <f aca="false">IF(AND(Tasks[[#This Row],[Task Name]]&lt;&gt;"",NOT(Tasks[[#This Row],[_IsSummary]])),1,0)</f>
        <v>0</v>
      </c>
      <c r="CI158" s="43" t="n">
        <f aca="false">IF(N(Tasks[[#This Row],[_Pred1UID]])=0,0,IFERROR(MATCH(Tasks[[#This Row],[_Pred1UID]],Tasks[UID],0),-1))</f>
        <v>0</v>
      </c>
      <c r="CJ158" s="43" t="n">
        <f aca="false">IF(N(Tasks[[#This Row],[_Pred2UID]])=0,0,IFERROR(MATCH(Tasks[[#This Row],[_Pred2UID]],Tasks[UID],0),-1))</f>
        <v>0</v>
      </c>
      <c r="CK158" s="43" t="n">
        <f aca="false">IF(N(Tasks[[#This Row],[_Pred3UID]])=0,0,IFERROR(MATCH(Tasks[[#This Row],[_Pred3UID]],Tasks[UID],0),-1))</f>
        <v>0</v>
      </c>
      <c r="CL158" s="43" t="n">
        <f aca="false">IF(N(Tasks[[#This Row],[_Pred4UID]])=0,0,IFERROR(MATCH(Tasks[[#This Row],[_Pred4UID]],Tasks[UID],0),-1))</f>
        <v>0</v>
      </c>
      <c r="CM15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8" s="91" t="n">
        <f aca="false">IF(OR(Tasks[[#This Row],[_ConstraintCode]]=2,Tasks[[#This Row],[_ConstraintCode]]=3,Tasks[[#This Row],[_ConstraintCode]]=4,Tasks[[#This Row],[_ConstraintCode]]=6),Tasks[[#This Row],[_ConstraintStart]],0)</f>
        <v>0</v>
      </c>
      <c r="CP158" s="91" t="n">
        <f aca="false">IF(OR(Tasks[[#This Row],[_ConstraintCode]]=2,Tasks[[#This Row],[_ConstraintCode]]=3,Tasks[[#This Row],[_ConstraintCode]]=5,Tasks[[#This Row],[_ConstraintCode]]=7),Tasks[[#This Row],[_ConstraintStart]],2958465)</f>
        <v>2958465</v>
      </c>
      <c r="CQ15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8" s="91" t="str">
        <f aca="false">IF(NOT(Tasks[[#This Row],[_IsLeaf]]=1),"",IF(N(Tasks[[#This Row],[_Days]])&lt;=0,Tasks[[#This Row],[_LeafCalcStart]],WORKDAY.INTL(Tasks[[#This Row],[_LeafCalcStart]],Tasks[[#This Row],[_Days]]-1,WorkWeek,Holidays)))</f>
        <v/>
      </c>
      <c r="CS15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8" s="43" t="str">
        <f aca="false">IF(Tasks[[#This Row],[_Predecessors]]="","",TRIM(MID(SUBSTITUTE(SUBSTITUTE(SUBSTITUTE(UPPER(Tasks[[#This Row],[_Predecessors]]),";",",")," ",""),",",REPT(" ",99)),1,99)))</f>
        <v/>
      </c>
      <c r="CV158" s="43" t="str">
        <f aca="false">IF(Tasks[[#This Row],[_Pred1Text]]="","",IFERROR(VALUE(LEFT(Tasks[[#This Row],[_Pred1Text]],MIN(FIND("F",Tasks[[#This Row],[_Pred1Text]]&amp;"F"),FIND("S",Tasks[[#This Row],[_Pred1Text]]&amp;"S"),FIND("+",Tasks[[#This Row],[_Pred1Text]]&amp;"+"),FIND("-",Tasks[[#This Row],[_Pred1Text]]&amp;"-"))-1)),""))</f>
        <v/>
      </c>
      <c r="CW15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8" s="43" t="str">
        <f aca="false">IF(Tasks[[#This Row],[_Pred1Text]]="","",TRIM(MID(SUBSTITUTE(SUBSTITUTE(SUBSTITUTE(UPPER(Tasks[[#This Row],[_Predecessors]]),";",",")," ",""),",",REPT(" ",99)),100,99)))</f>
        <v/>
      </c>
      <c r="CZ158" s="43" t="str">
        <f aca="false">IF(Tasks[[#This Row],[_Pred2Text]]="","",IFERROR(VALUE(LEFT(Tasks[[#This Row],[_Pred2Text]],MIN(FIND("F",Tasks[[#This Row],[_Pred2Text]]&amp;"F"),FIND("S",Tasks[[#This Row],[_Pred2Text]]&amp;"S"),FIND("+",Tasks[[#This Row],[_Pred2Text]]&amp;"+"),FIND("-",Tasks[[#This Row],[_Pred2Text]]&amp;"-"))-1)),""))</f>
        <v/>
      </c>
      <c r="DA15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8" s="43" t="str">
        <f aca="false">IF(Tasks[[#This Row],[_Pred2Text]]="","",TRIM(MID(SUBSTITUTE(SUBSTITUTE(SUBSTITUTE(UPPER(Tasks[[#This Row],[_Predecessors]]),";",",")," ",""),",",REPT(" ",99)),199,99)))</f>
        <v/>
      </c>
      <c r="DD158" s="43" t="str">
        <f aca="false">IF(Tasks[[#This Row],[_Pred3Text]]="","",IFERROR(VALUE(LEFT(Tasks[[#This Row],[_Pred3Text]],MIN(FIND("F",Tasks[[#This Row],[_Pred3Text]]&amp;"F"),FIND("S",Tasks[[#This Row],[_Pred3Text]]&amp;"S"),FIND("+",Tasks[[#This Row],[_Pred3Text]]&amp;"+"),FIND("-",Tasks[[#This Row],[_Pred3Text]]&amp;"-"))-1)),""))</f>
        <v/>
      </c>
      <c r="DE15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8" s="43" t="str">
        <f aca="false">IF(Tasks[[#This Row],[_Pred3Text]]="","",TRIM(MID(SUBSTITUTE(SUBSTITUTE(SUBSTITUTE(UPPER(Tasks[[#This Row],[_Predecessors]]),";",",")," ",""),",",REPT(" ",99)),298,99)))</f>
        <v/>
      </c>
      <c r="DH158" s="43" t="str">
        <f aca="false">IF(Tasks[[#This Row],[_Pred4Text]]="","",IFERROR(VALUE(LEFT(Tasks[[#This Row],[_Pred4Text]],MIN(FIND("F",Tasks[[#This Row],[_Pred4Text]]&amp;"F"),FIND("S",Tasks[[#This Row],[_Pred4Text]]&amp;"S"),FIND("+",Tasks[[#This Row],[_Pred4Text]]&amp;"+"),FIND("-",Tasks[[#This Row],[_Pred4Text]]&amp;"-"))-1)),""))</f>
        <v/>
      </c>
      <c r="DI15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8" s="43" t="str">
        <f aca="false">IF(OR(Tasks[[#This Row],[Task Name]]="",Tasks[[#This Row],[_Resources]]=""),"",TRIM(MID(SUBSTITUTE(Tasks[[#This Row],[_Resources]],",",REPT(" ",99)),1,99)))</f>
        <v/>
      </c>
      <c r="DL158" s="43" t="str">
        <f aca="false">IF(Tasks[[#This Row],[_Res1Text]]="","",TRIM(MID(SUBSTITUTE(Tasks[[#This Row],[_Resources]],",",REPT(" ",99)),100,99)))</f>
        <v/>
      </c>
      <c r="DM158" s="43" t="str">
        <f aca="false">IF(Tasks[[#This Row],[_Res2Text]]="","",TRIM(MID(SUBSTITUTE(Tasks[[#This Row],[_Resources]],",",REPT(" ",99)),199,99)))</f>
        <v/>
      </c>
      <c r="DN158" s="43" t="str">
        <f aca="false">IF(Tasks[[#This Row],[_Res3Text]]="","",TRIM(MID(SUBSTITUTE(Tasks[[#This Row],[_Resources]],",",REPT(" ",99)),298,99)))</f>
        <v/>
      </c>
      <c r="DO158" s="43" t="n">
        <f aca="false">IF(Tasks[[#This Row],[_Res1Text]]="",0,IFERROR(MATCH(TRIM(LEFT(Tasks[[#This Row],[_Res1Text]],FIND("[",Tasks[[#This Row],[_Res1Text]]&amp;"[")-1)),res_Name,0),IFERROR(MATCH(TRIM(LEFT(Tasks[[#This Row],[_Res1Text]],FIND("[",Tasks[[#This Row],[_Res1Text]]&amp;"[")-1)),res_Initials,0),0)))</f>
        <v>0</v>
      </c>
      <c r="DP158" s="43" t="n">
        <f aca="false">IF(Tasks[[#This Row],[_Res2Text]]="",0,IFERROR(MATCH(TRIM(LEFT(Tasks[[#This Row],[_Res2Text]],FIND("[",Tasks[[#This Row],[_Res2Text]]&amp;"[")-1)),res_Name,0),IFERROR(MATCH(TRIM(LEFT(Tasks[[#This Row],[_Res2Text]],FIND("[",Tasks[[#This Row],[_Res2Text]]&amp;"[")-1)),res_Initials,0),0)))</f>
        <v>0</v>
      </c>
      <c r="DQ158" s="43" t="n">
        <f aca="false">IF(Tasks[[#This Row],[_Res3Text]]="",0,IFERROR(MATCH(TRIM(LEFT(Tasks[[#This Row],[_Res3Text]],FIND("[",Tasks[[#This Row],[_Res3Text]]&amp;"[")-1)),res_Name,0),IFERROR(MATCH(TRIM(LEFT(Tasks[[#This Row],[_Res3Text]],FIND("[",Tasks[[#This Row],[_Res3Text]]&amp;"[")-1)),res_Initials,0),0)))</f>
        <v>0</v>
      </c>
      <c r="DR158" s="43" t="n">
        <f aca="false">IF(Tasks[[#This Row],[_Res4Text]]="",0,IFERROR(MATCH(TRIM(LEFT(Tasks[[#This Row],[_Res4Text]],FIND("[",Tasks[[#This Row],[_Res4Text]]&amp;"[")-1)),res_Name,0),IFERROR(MATCH(TRIM(LEFT(Tasks[[#This Row],[_Res4Text]],FIND("[",Tasks[[#This Row],[_Res4Text]]&amp;"[")-1)),res_Initials,0),0)))</f>
        <v>0</v>
      </c>
      <c r="DS158" s="43" t="str">
        <f aca="false">IF(Tasks[[#This Row],[_Res1Text]]="","",IF(Tasks[[#This Row],[_Res1Row]]&gt;0,INDEX(res_Name,Tasks[[#This Row],[_Res1Row]]),TRIM(LEFT(Tasks[[#This Row],[_Res1Text]],FIND("[",Tasks[[#This Row],[_Res1Text]]&amp;"[")-1))))</f>
        <v/>
      </c>
      <c r="DT15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8" s="43" t="n">
        <f aca="false">IF(NOT(Tasks[[#This Row],[_IsLeaf]]=1),0,(Tasks[[#This Row],[_Resource1]]&lt;&gt;"")+(Tasks[[#This Row],[_Res2]]&lt;&gt;"")+(Tasks[[#This Row],[_Res3]]&lt;&gt;"")+(Tasks[[#This Row],[_Res4]]&lt;&gt;""))</f>
        <v>0</v>
      </c>
      <c r="DV158" s="43" t="str">
        <f aca="false">IF(Tasks[[#This Row],[_Res2Text]]="","",IF(Tasks[[#This Row],[_Res2Row]]&gt;0,INDEX(res_Name,Tasks[[#This Row],[_Res2Row]]),TRIM(LEFT(Tasks[[#This Row],[_Res2Text]],FIND("[",Tasks[[#This Row],[_Res2Text]]&amp;"[")-1))))</f>
        <v/>
      </c>
      <c r="DW15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8" s="43" t="n">
        <f aca="false">IF(OR(NOT(Tasks[[#This Row],[_IsLeaf]]=1),Tasks[[#This Row],[_Res2Row]]=0),0,N(Tasks[[#This Row],[_Days]])*HoursPerDay*IF(Tasks[[#This Row],[_Res2Units]]="",DefaultUnits,Tasks[[#This Row],[_Res2Units]]))</f>
        <v>0</v>
      </c>
      <c r="DY158" s="43" t="n">
        <f aca="false">IF(AND(AND(Tasks[[#This Row],[_IsLeaf]]=1,Tasks[[#This Row],[_LeafTotalWork]]&gt;0),Tasks[[#This Row],[_Res2Work]]&gt;0),Tasks[[#This Row],[_Res2Work]]/(Tasks[[#This Row],[_FinishWorkday]]-Tasks[[#This Row],[_StartWorkday]]+1),0)</f>
        <v>0</v>
      </c>
      <c r="DZ158" s="43" t="n">
        <f aca="false">Tasks[[#This Row],[_Res2WorkPerWD]]*MAX(0,Tasks[[#This Row],[_StartWorkday]]-1)</f>
        <v>0</v>
      </c>
      <c r="EA158" s="43" t="n">
        <f aca="false">Tasks[[#This Row],[_Res2Work]]*Tasks[[#This Row],[_LeafProgress]]</f>
        <v>0</v>
      </c>
      <c r="EB158" s="43" t="str">
        <f aca="false">IF(Tasks[[#This Row],[_Res3Text]]="","",IF(Tasks[[#This Row],[_Res3Row]]&gt;0,INDEX(res_Name,Tasks[[#This Row],[_Res3Row]]),TRIM(LEFT(Tasks[[#This Row],[_Res3Text]],FIND("[",Tasks[[#This Row],[_Res3Text]]&amp;"[")-1))))</f>
        <v/>
      </c>
      <c r="EC15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8" s="43" t="n">
        <f aca="false">IF(OR(NOT(Tasks[[#This Row],[_IsLeaf]]=1),Tasks[[#This Row],[_Res3Row]]=0),0,N(Tasks[[#This Row],[_Days]])*HoursPerDay*IF(Tasks[[#This Row],[_Res3Units]]="",DefaultUnits,Tasks[[#This Row],[_Res3Units]]))</f>
        <v>0</v>
      </c>
      <c r="EE158" s="43" t="n">
        <f aca="false">IF(AND(AND(Tasks[[#This Row],[_IsLeaf]]=1,Tasks[[#This Row],[_LeafTotalWork]]&gt;0),Tasks[[#This Row],[_Res3Work]]&gt;0),Tasks[[#This Row],[_Res3Work]]/(Tasks[[#This Row],[_FinishWorkday]]-Tasks[[#This Row],[_StartWorkday]]+1),0)</f>
        <v>0</v>
      </c>
      <c r="EF158" s="43" t="n">
        <f aca="false">Tasks[[#This Row],[_Res3WorkPerWD]]*MAX(0,Tasks[[#This Row],[_StartWorkday]]-1)</f>
        <v>0</v>
      </c>
      <c r="EG158" s="43" t="n">
        <f aca="false">Tasks[[#This Row],[_Res3Work]]*Tasks[[#This Row],[_LeafProgress]]</f>
        <v>0</v>
      </c>
      <c r="EH158" s="43" t="str">
        <f aca="false">IF(Tasks[[#This Row],[_Res4Text]]="","",IF(Tasks[[#This Row],[_Res4Row]]&gt;0,INDEX(res_Name,Tasks[[#This Row],[_Res4Row]]),TRIM(LEFT(Tasks[[#This Row],[_Res4Text]],FIND("[",Tasks[[#This Row],[_Res4Text]]&amp;"[")-1))))</f>
        <v/>
      </c>
      <c r="EI15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8" s="43" t="n">
        <f aca="false">IF(OR(NOT(Tasks[[#This Row],[_IsLeaf]]=1),Tasks[[#This Row],[_Res4Row]]=0),0,N(Tasks[[#This Row],[_Days]])*HoursPerDay*IF(Tasks[[#This Row],[_Res4Units]]="",DefaultUnits,Tasks[[#This Row],[_Res4Units]]))</f>
        <v>0</v>
      </c>
      <c r="EK158" s="43" t="n">
        <f aca="false">IF(AND(AND(Tasks[[#This Row],[_IsLeaf]]=1,Tasks[[#This Row],[_LeafTotalWork]]&gt;0),Tasks[[#This Row],[_Res4Work]]&gt;0),Tasks[[#This Row],[_Res4Work]]/(Tasks[[#This Row],[_FinishWorkday]]-Tasks[[#This Row],[_StartWorkday]]+1),0)</f>
        <v>0</v>
      </c>
      <c r="EL158" s="43" t="n">
        <f aca="false">Tasks[[#This Row],[_Res4WorkPerWD]]*MAX(0,Tasks[[#This Row],[_StartWorkday]]-1)</f>
        <v>0</v>
      </c>
      <c r="EM158" s="43" t="n">
        <f aca="false">Tasks[[#This Row],[_Res4Work]]*Tasks[[#This Row],[_LeafProgress]]</f>
        <v>0</v>
      </c>
      <c r="EN158" s="43" t="n">
        <f aca="false">IF(ISNUMBER(Tasks[[#This Row],[% Complete]]),Tasks[[#This Row],[% Complete]],IF(Tasks[[#This Row],[Stage]]="",0,IFERROR(INDEX(stg_Pct,MATCH(Tasks[[#This Row],[Stage]],stg_Name,0)),0)))</f>
        <v>0</v>
      </c>
      <c r="EO158" s="43" t="n">
        <f aca="false">IF(NOT(Tasks[[#This Row],[_IsLeaf]]=1),0,IF(N(Tasks[[#This Row],[Actual Finish]])&gt;0,1,MIN(1,Tasks[[#This Row],[_Pct]])))</f>
        <v>0</v>
      </c>
      <c r="EP158" s="43" t="n">
        <f aca="false">IF(OR(NOT(Tasks[[#This Row],[_IsLeaf]]=1),Tasks[[#This Row],[_Res1Row]]=0),0,N(Tasks[[#This Row],[_Days]])*HoursPerDay*IF(Tasks[[#This Row],[_Units1]]="",DefaultUnits,Tasks[[#This Row],[_Units1]]))</f>
        <v>0</v>
      </c>
      <c r="EQ158" s="43" t="n">
        <f aca="false">Tasks[[#This Row],[_LeafWork]]+Tasks[[#This Row],[_Res2Work]]+Tasks[[#This Row],[_Res3Work]]+Tasks[[#This Row],[_Res4Work]]</f>
        <v>0</v>
      </c>
      <c r="ER15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8" s="43" t="n">
        <f aca="false">IF(NOT(Tasks[[#This Row],[_IsLeaf]]=1),0,MAX(_xlfn.MAXIFS(Tasks[_Row],Tasks[_Pred1UID],Tasks[[#This Row],[UID]]),_xlfn.MAXIFS(Tasks[_Row],Tasks[_Pred2UID],Tasks[[#This Row],[UID]]),_xlfn.MAXIFS(Tasks[_Row],Tasks[_Pred3UID],Tasks[[#This Row],[UID]]),_xlfn.MAXIFS(Tasks[_Row],Tasks[_Pred4UID],Tasks[[#This Row],[UID]])))</f>
        <v>0</v>
      </c>
      <c r="FA15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8" s="91" t="str">
        <f aca="false">IF(NOT(Tasks[[#This Row],[_IsLeaf]]=1),"",IF(N(Tasks[[#This Row],[_Days]])&lt;=0,Tasks[[#This Row],[_LeafLateFinish]],WORKDAY.INTL(Tasks[[#This Row],[_LeafLateFinish]],-(Tasks[[#This Row],[_Days]]-1),WorkWeek,Holidays)))</f>
        <v/>
      </c>
      <c r="FD15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8" s="90" t="b">
        <f aca="false">AND(Tasks[[#This Row],[_IsLeaf]]=1,Tasks[[#This Row],[_LeafProgress]]&lt;1,N(Tasks[[#This Row],[_LeafTotalSlack]])&lt;=CriticalSlackDays)</f>
        <v>0</v>
      </c>
      <c r="FF158" s="43" t="n">
        <f aca="false">IF(AND(Tasks[[#This Row],[_IsLeaf]]=1,Tasks[[#This Row],[_ConstraintCode]]=1,Tasks[[#This Row],[Mode]]&lt;&gt;"Manual",N(Tasks[[#This Row],[Actual Start]])=0),MAX(0,N(Tasks[[#This Row],[Free Slack]])),0)</f>
        <v>0</v>
      </c>
      <c r="FG158" s="91" t="str">
        <f aca="false">IF(NOT(Tasks[[#This Row],[_IsLeaf]]=1),"",IF(Tasks[[#This Row],[_AlapShift]]=0,Tasks[[#This Row],[_LeafCalcStart]],WORKDAY.INTL(Tasks[[#This Row],[_LeafCalcStart]],Tasks[[#This Row],[_AlapShift]],WorkWeek,Holidays)))</f>
        <v/>
      </c>
      <c r="FH158" s="91" t="str">
        <f aca="false">IF(NOT(Tasks[[#This Row],[_IsLeaf]]=1),"",IF(Tasks[[#This Row],[_AlapShift]]=0,Tasks[[#This Row],[_LeafCalcFinish]],WORKDAY.INTL(Tasks[[#This Row],[_LeafCalcFinish]],Tasks[[#This Row],[_AlapShift]],WorkWeek,Holidays)))</f>
        <v/>
      </c>
      <c r="FI158" s="91" t="str">
        <f aca="false">IF(NOT(Tasks[[#This Row],[_IsLeaf]]=1),"",IF(Tasks[[#This Row],[_AlapShift]]=0,Tasks[[#This Row],[_LeafFcstStart]],WORKDAY.INTL(Tasks[[#This Row],[_LeafFcstStart]],Tasks[[#This Row],[_AlapShift]],WorkWeek,Holidays)))</f>
        <v/>
      </c>
      <c r="FJ158" s="91" t="str">
        <f aca="false">IF(NOT(Tasks[[#This Row],[_IsLeaf]]=1),"",IF(Tasks[[#This Row],[_AlapShift]]=0,Tasks[[#This Row],[_LeafFcstFinish]],WORKDAY.INTL(Tasks[[#This Row],[_LeafFcstFinish]],Tasks[[#This Row],[_AlapShift]],WorkWeek,Holidays)))</f>
        <v/>
      </c>
      <c r="FK158" s="91" t="str">
        <f aca="false">IF(Tasks[[#This Row],[Task Name]]="","",IF(Tasks[[#This Row],[_IsSummary]],MIN(INDEX(Tasks[_ShownCalcStart],Tasks[[#This Row],[_Row]]+1):INDEX(Tasks[_ShownCalcStart],Tasks[[#This Row],[_Row]]+Tasks[[#This Row],[_Descendants]])),Tasks[[#This Row],[_ShownCalcStart]]))</f>
        <v/>
      </c>
      <c r="FL158" s="91" t="str">
        <f aca="false">IF(Tasks[[#This Row],[Task Name]]="","",IF(Tasks[[#This Row],[_IsSummary]],MAX(INDEX(Tasks[_ShownCalcFinish],Tasks[[#This Row],[_Row]]+1):INDEX(Tasks[_ShownCalcFinish],Tasks[[#This Row],[_Row]]+Tasks[[#This Row],[_Descendants]])),Tasks[[#This Row],[_ShownCalcFinish]]))</f>
        <v/>
      </c>
      <c r="FM15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8" s="43" t="n">
        <f aca="false">IF(AND(Tasks[[#This Row],[_IsLeaf]]=1,Tasks[[#This Row],[_LeafTotalWork]]&gt;0),NETWORKDAYS.INTL(ProjectStart,Tasks[[#This Row],[_ShownFcstStart]],WorkWeek,Holidays),0)</f>
        <v>0</v>
      </c>
      <c r="FZ158" s="43" t="n">
        <f aca="false">IF(AND(Tasks[[#This Row],[_IsLeaf]]=1,Tasks[[#This Row],[_LeafTotalWork]]&gt;0),MAX(Tasks[[#This Row],[_StartWorkday]],NETWORKDAYS.INTL(ProjectStart,Tasks[[#This Row],[_ShownFcstFinish]],WorkWeek,Holidays)),0)</f>
        <v>0</v>
      </c>
      <c r="GA158" s="43" t="n">
        <f aca="false">IF(AND(Tasks[[#This Row],[_IsLeaf]]=1,Tasks[[#This Row],[_LeafTotalWork]]&gt;0),Tasks[[#This Row],[_LeafWork]]/(Tasks[[#This Row],[_FinishWorkday]]-Tasks[[#This Row],[_StartWorkday]]+1),0)</f>
        <v>0</v>
      </c>
      <c r="GB158" s="43" t="n">
        <f aca="false">Tasks[[#This Row],[_WorkPerWorkday]]*(Tasks[[#This Row],[_StartWorkday]]-1)</f>
        <v>-0</v>
      </c>
      <c r="GC158" s="43" t="n">
        <f aca="false">IF(Tasks[[#This Row],[_IsLeaf]]=1,MAX(N(Tasks[[#This Row],[_Days]]),0.1),0)</f>
        <v>0</v>
      </c>
      <c r="GD158" s="43" t="n">
        <f aca="false">Tasks[[#This Row],[_WeightDur]]*Tasks[[#This Row],[_LeafProgress]]</f>
        <v>0</v>
      </c>
      <c r="GE158" s="43" t="n">
        <f aca="false">Tasks[[#This Row],[_WeightDur]]*Tasks[[#This Row],[_PlannedPct]]</f>
        <v>0</v>
      </c>
      <c r="GF15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8" s="43" t="str">
        <f aca="false">IF(AND(Tasks[[#This Row],[_IsLeaf]]=1,N(Tasks[[#This Row],[_Days]])=0,Tasks[[#This Row],[_LeafProgress]]&lt;1),Tasks[[#This Row],[_ShownFcstFinish]]+Tasks[[#This Row],[_Row]]/100000,"")</f>
        <v/>
      </c>
      <c r="GH15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8" s="43" t="str">
        <f aca="false">IF(Tasks[[#This Row],[Task Name]]="","",LEFT(Tasks[[#This Row],[WBS]],FIND(".",Tasks[[#This Row],[WBS]]&amp;".")-1))</f>
        <v/>
      </c>
      <c r="GJ158" s="43" t="str">
        <f aca="false">IF(AND(Tasks[[#This Row],[Task Name]]&lt;&gt;"",Tasks[[#This Row],[_Level]]=1),Tasks[[#This Row],[_Row]],"")</f>
        <v/>
      </c>
      <c r="GK158" s="43" t="str">
        <f aca="false">IF(AND(Tasks[[#This Row],[_IsLeaf]]=1,N(Tasks[[#This Row],[_Days]])=0),Tasks[[#This Row],[Planned Finish]]+Tasks[[#This Row],[_Row]]/100000,"")</f>
        <v/>
      </c>
      <c r="GL158" s="43" t="str">
        <f aca="false">IF(AND(Tasks[[#This Row],[_IsLeaf]]=1,Tasks[[#This Row],[_LeafProgress]]&lt;1,OR(N(Tasks[[#This Row],[Finish Var]])&gt;0,Tasks[[#This Row],[Status]]="Late Start")),MAX(0,Tasks[[#This Row],[Finish Var]])+1-Tasks[[#This Row],[_Row]]/1000000,"")</f>
        <v/>
      </c>
      <c r="GM158" s="43" t="str">
        <f aca="false">IF(AND(Tasks[[#This Row],[_IsLeaf]]=1,N(Tasks[[#This Row],[Actual Start]])=0,Tasks[[#This Row],[_ShownFcstStart]]&gt;=StatusDate,Tasks[[#This Row],[_ShownFcstStart]]&lt;=LookaheadEnd),Tasks[[#This Row],[_ShownFcstStart]]+Tasks[[#This Row],[_Row]]/100000,"")</f>
        <v/>
      </c>
      <c r="GN158" s="43" t="str">
        <f aca="false">IF(AND(Tasks[[#This Row],[_IsLeaf]]=1,Tasks[[#This Row],[_LeafProgress]]&lt;1,Tasks[[#This Row],[_ShownFcstFinish]]&gt;=StatusDate,Tasks[[#This Row],[_ShownFcstFinish]]&lt;=LookaheadEnd),Tasks[[#This Row],[_ShownFcstFinish]]+Tasks[[#This Row],[_Row]]/100000,"")</f>
        <v/>
      </c>
      <c r="GO158" s="43" t="str">
        <f aca="false">IF(Tasks[[#This Row],[_LeafCritical]],Tasks[[#This Row],[_ShownFcstStart]]+Tasks[[#This Row],[_Row]]/100000,"")</f>
        <v/>
      </c>
      <c r="GP158" s="43" t="n">
        <f aca="false">Tasks[[#This Row],[_LeafWork]]*Tasks[[#This Row],[_LeafProgress]]</f>
        <v>0</v>
      </c>
      <c r="GQ158" s="91" t="str">
        <f aca="false">IF(AND(Tasks[[#This Row],[_IsLeaf]]=1,Tasks[[#This Row],[_LeafProgress]]&gt;=1),IF(N(Tasks[[#This Row],[Actual Finish]])&gt;0,Tasks[[#This Row],[Actual Finish]],Tasks[[#This Row],[_ShownFcstFinish]]),"")</f>
        <v/>
      </c>
      <c r="GR158" s="43" t="n">
        <f aca="false">IF(Tasks[[#This Row],[_IsLeaf]]=1,N(Tasks[[#This Row],[Story Points]]),0)</f>
        <v>0</v>
      </c>
      <c r="GS158" s="43" t="str">
        <f aca="false">""</f>
        <v/>
      </c>
      <c r="GT158" s="90" t="b">
        <f aca="false">IF(Tasks[[#This Row],[Task Name]]="",FALSE(),AND(Tasks[[#This Row],[_IsLeaf]]=1,N(Tasks[[#This Row],[_Days]])=0))</f>
        <v>0</v>
      </c>
      <c r="GU158" s="91" t="n">
        <f aca="false">IF(Tasks[[#This Row],[Task Name]]="",0,IF(AND(Tasks[[#This Row],[_IsLeaf]]=1,NOT(Tasks[[#This Row],[_IsMilestone]]),N(Tasks[[#This Row],[Progress]])&gt;0),Tasks[[#This Row],[Start]],0))</f>
        <v>0</v>
      </c>
      <c r="GV158" s="91" t="n">
        <f aca="false">IF(Tasks[[#This Row],[_DoneFrom]]=0,0,IF(Tasks[[#This Row],[Progress]]&gt;=1,Tasks[[#This Row],[Finish]],MAX(Tasks[[#This Row],[_DoneFrom]],Tasks[[#This Row],[Start]]+ROUND((Tasks[[#This Row],[Finish]]-Tasks[[#This Row],[Start]]+1)*Tasks[[#This Row],[Progress]],0)-1)))</f>
        <v>0</v>
      </c>
      <c r="GW158" s="91" t="n">
        <f aca="false">IF(Tasks[[#This Row],[Task Name]]="",0,IF(OR(NOT(Tasks[[#This Row],[_IsLeaf]]=1),Tasks[[#This Row],[_IsMilestone]],N(Tasks[[#This Row],[Progress]])&gt;=1),0,IF(Tasks[[#This Row],[_DoneTo]]&gt;0,Tasks[[#This Row],[_DoneTo]]+1,Tasks[[#This Row],[Start]])))</f>
        <v>0</v>
      </c>
      <c r="GX158" s="91" t="n">
        <f aca="false">IF(Tasks[[#This Row],[_RemFrom]]=0,0,Tasks[[#This Row],[Finish]])</f>
        <v>0</v>
      </c>
      <c r="GY158" s="90" t="b">
        <f aca="false">IF(Tasks[[#This Row],[Task Name]]="",FALSE(),OR(NOT(BaselineSet),N(Tasks[[#This Row],[Baseline Start]])&gt;0))</f>
        <v>0</v>
      </c>
      <c r="GZ15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8" s="92" t="str">
        <f aca="false">IF(Tasks[[#This Row],[_IsLeaf]]=1,Tasks[[#This Row],[_Row]],"")</f>
        <v/>
      </c>
      <c r="HD158" s="92" t="str">
        <f aca="false">IFERROR(INDEX(Tasks[UID],SMALL(Tasks[_PickKey],Tasks[[#This Row],[_Row]]))&amp;" "&amp;INDEX(Tasks[Task Name],SMALL(Tasks[_PickKey],Tasks[[#This Row],[_Row]])),"")</f>
        <v/>
      </c>
      <c r="HE158" s="43" t="str">
        <f aca="false">IF(Tasks[[#This Row],[Task Name]]="","",IF(Tasks[[#This Row],[_IsSummary]],NETWORKDAYS.INTL(Tasks[[#This Row],[Start]],Tasks[[#This Row],[Finish]],WorkWeek,Holidays),N(Tasks[[#This Row],[_Days]])))</f>
        <v/>
      </c>
      <c r="HF158" s="43" t="n">
        <f aca="false">IF(Tasks[[#This Row],[Expected]]="",0,((Tasks[[#This Row],[Pessimistic]]-Tasks[[#This Row],[Optimistic]])/6)^2)</f>
        <v>0</v>
      </c>
      <c r="HG158" s="43" t="n">
        <f aca="false">IF(Tasks[[#This Row],[Expected]]="",0,Tasks[[#This Row],[Expected]]-N(Tasks[[#This Row],[_Days]]))</f>
        <v>0</v>
      </c>
    </row>
    <row r="159" customFormat="false" ht="15" hidden="false" customHeight="false" outlineLevel="0" collapsed="false">
      <c r="A159" s="21" t="str">
        <f aca="false">IF(Tasks[[#This Row],[Task Name]]="","",COUNTA(Tasks[[#Headers],[Task Name]]:Tasks[[#This Row],[Task Name]])-1)</f>
        <v/>
      </c>
      <c r="B159" s="22" t="n">
        <v>167</v>
      </c>
      <c r="C159" s="22"/>
      <c r="D159" s="23"/>
      <c r="E159" s="22"/>
      <c r="F159" s="23"/>
      <c r="G159" s="22"/>
      <c r="H159" s="22"/>
      <c r="I159" s="23"/>
      <c r="J159" s="22"/>
      <c r="K159" s="22"/>
      <c r="L159" s="23"/>
      <c r="M159" s="22"/>
      <c r="N159" s="22"/>
      <c r="O159" s="23"/>
      <c r="P159" s="22"/>
      <c r="Q159" s="22"/>
      <c r="R159" s="23"/>
      <c r="S159" s="23"/>
      <c r="T159" s="84"/>
      <c r="U159" s="23"/>
      <c r="V159" s="84"/>
      <c r="W159" s="23"/>
      <c r="X159" s="84"/>
      <c r="Y159" s="23"/>
      <c r="Z159" s="84"/>
      <c r="AA159" s="23"/>
      <c r="AB159" s="23"/>
      <c r="AC159" s="7"/>
      <c r="AD159" s="7"/>
      <c r="AE159" s="63" t="str">
        <f aca="false">IF(Tasks[[#This Row],[Task Name]]="","",IF(Tasks[[#This Row],[_IsSummary]],MIN(INDEX(Tasks[_ShownFcstStart],Tasks[[#This Row],[_Row]]+1):INDEX(Tasks[_ShownFcstStart],Tasks[[#This Row],[_Row]]+Tasks[[#This Row],[_Descendants]])),Tasks[[#This Row],[_ShownFcstStart]]))</f>
        <v/>
      </c>
      <c r="AF159" s="63" t="str">
        <f aca="false">IF(Tasks[[#This Row],[Task Name]]="","",IF(Tasks[[#This Row],[_IsSummary]],MAX(INDEX(Tasks[_ShownFcstFinish],Tasks[[#This Row],[_Row]]+1):INDEX(Tasks[_ShownFcstFinish],Tasks[[#This Row],[_Row]]+Tasks[[#This Row],[_Descendants]])),Tasks[[#This Row],[_ShownFcstFinish]]))</f>
        <v/>
      </c>
      <c r="AG159" s="21" t="str">
        <f aca="false">""</f>
        <v/>
      </c>
      <c r="AH159" s="23"/>
      <c r="AI1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9" s="7"/>
      <c r="AK159" s="22"/>
      <c r="AL159" s="23"/>
      <c r="AM159" s="7"/>
      <c r="AN159" s="47" t="str">
        <f aca="false">IF(Tasks[[#This Row],[Task Name]]="","",IF(Tasks[[#This Row],[Finish]]&gt;=Tasks[[#This Row],[Planned Finish]],NETWORKDAYS.INTL(Tasks[[#This Row],[Planned Finish]],Tasks[[#This Row],[Finish]],WorkWeek,Holidays)-1,1-NETWORKDAYS.INTL(Tasks[[#This Row],[Finish]],Tasks[[#This Row],[Planned Finish]],WorkWeek,Holidays)))</f>
        <v/>
      </c>
      <c r="AO159" s="21" t="str">
        <f aca="false">IF(Tasks[[#This Row],[Task Name]]="","",IF(Tasks[[#This Row],[Progress]]&gt;=1,"Complete",IF(OR(N(Tasks[[#This Row],[Actual Start]])&gt;0,Tasks[[#This Row],[Progress]]&gt;0),IF(Tasks[[#This Row],[Finish Var]]&gt;0,"Behind","In Progress"),IF(Tasks[[#This Row],[Planned Start]]&lt;StatusDate,"Late Start","Not Started"))))</f>
        <v/>
      </c>
      <c r="AP159" s="21" t="str">
        <f aca="false">IF(Tasks[[#This Row],[Task Name]]="","",IF(IF(Tasks[[#This Row],[_IsSummary]],COUNTIF(INDEX(Tasks[_LeafCritical],Tasks[[#This Row],[_Row]]+1):INDEX(Tasks[_LeafCritical],Tasks[[#This Row],[_Row]]+Tasks[[#This Row],[_Descendants]]),TRUE())&gt;0,Tasks[[#This Row],[_LeafCritical]]),"Yes",""))</f>
        <v/>
      </c>
      <c r="AQ159" s="63" t="str">
        <f aca="false">IF(Tasks[[#This Row],[Task Name]]="","",IF(N(Tasks[[#This Row],[Baseline Start]])&gt;0,Tasks[[#This Row],[Baseline Start]],Tasks[[#This Row],[_CalcStart]]))</f>
        <v/>
      </c>
      <c r="AR159" s="63" t="str">
        <f aca="false">IF(Tasks[[#This Row],[Task Name]]="","",IF(N(Tasks[[#This Row],[Baseline Finish]])&gt;0,Tasks[[#This Row],[Baseline Finish]],Tasks[[#This Row],[_CalcFinish]]))</f>
        <v/>
      </c>
      <c r="AS159" s="47" t="str">
        <f aca="false">IF(Tasks[[#This Row],[Task Name]]="","",IF(Tasks[[#This Row],[Start]]&gt;=Tasks[[#This Row],[Planned Start]],NETWORKDAYS.INTL(Tasks[[#This Row],[Planned Start]],Tasks[[#This Row],[Start]],WorkWeek,Holidays)-1,1-NETWORKDAYS.INTL(Tasks[[#This Row],[Start]],Tasks[[#This Row],[Planned Start]],WorkWeek,Holidays)))</f>
        <v/>
      </c>
      <c r="AT159" s="63" t="str">
        <f aca="false">IF(Tasks[[#This Row],[Task Name]]="","",IF(Tasks[[#This Row],[_IsSummary]],MIN(INDEX(Tasks[_LeafLateStart],Tasks[[#This Row],[_Row]]+1):INDEX(Tasks[_LeafLateStart],Tasks[[#This Row],[_Row]]+Tasks[[#This Row],[_Descendants]])),Tasks[[#This Row],[_LeafLateStart]]))</f>
        <v/>
      </c>
      <c r="AU159" s="63" t="str">
        <f aca="false">IF(Tasks[[#This Row],[Task Name]]="","",IF(Tasks[[#This Row],[_IsSummary]],MAX(INDEX(Tasks[_LeafLateFinish],Tasks[[#This Row],[_Row]]+1):INDEX(Tasks[_LeafLateFinish],Tasks[[#This Row],[_Row]]+Tasks[[#This Row],[_Descendants]])),Tasks[[#This Row],[_LeafLateFinish]]))</f>
        <v/>
      </c>
      <c r="AV159" s="47" t="str">
        <f aca="false">IF(Tasks[[#This Row],[Task Name]]="","",IF(Tasks[[#This Row],[_IsSummary]],MIN(INDEX(Tasks[_LeafTotalSlack],Tasks[[#This Row],[_Row]]+1):INDEX(Tasks[_LeafTotalSlack],Tasks[[#This Row],[_Row]]+Tasks[[#This Row],[_Descendants]])),Tasks[[#This Row],[_LeafTotalSlack]]))</f>
        <v/>
      </c>
      <c r="AW1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5"/>
      <c r="BA15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1" t="str">
        <f aca="false">IF(Tasks[[#This Row],[Task Name]]="","",IF(Tasks[[#This Row],[_Level]]&lt;=OutlineShowLevel,"Yes","No"))</f>
        <v/>
      </c>
      <c r="BE159" s="86" t="str">
        <f aca="false">IF(Tasks[[#This Row],[Task Name]]="","",IF(Tasks[[#This Row],[_IsSummary]],SUM(INDEX(Tasks[_LeafTotalWork],Tasks[[#This Row],[_Row]]+1):INDEX(Tasks[_LeafTotalWork],Tasks[[#This Row],[_Row]]+Tasks[[#This Row],[_Descendants]])),Tasks[[#This Row],[_LeafTotalWork]]))</f>
        <v/>
      </c>
      <c r="BF159" s="23"/>
      <c r="BG1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9" s="21" t="str">
        <f aca="false">""</f>
        <v/>
      </c>
      <c r="BI159" s="87"/>
      <c r="BJ159" s="22"/>
      <c r="BK159" s="47" t="str">
        <f aca="false">IF(OR(Tasks[[#This Row],[Task Name]]="",Tasks[[#This Row],[Baseline Duration]]=""),"",Tasks[[#This Row],[_SpanDays]]-N(Tasks[[#This Row],[Baseline Duration]]))</f>
        <v/>
      </c>
      <c r="BL159" s="86" t="str">
        <f aca="false">IF(OR(Tasks[[#This Row],[Task Name]]="",Tasks[[#This Row],[Baseline Work]]=""),"",Tasks[[#This Row],[Work]]-N(Tasks[[#This Row],[Baseline Work]]))</f>
        <v/>
      </c>
      <c r="BM159" s="63" t="str">
        <f aca="false">IF(Tasks[[#This Row],[Task Name]]="","",IF(OR(TakeBaseline="Yes",N(Tasks[[#This Row],[Baseline Start]])=0),Tasks[[#This Row],[Start]],Tasks[[#This Row],[Baseline Start]]))</f>
        <v/>
      </c>
      <c r="BN159" s="63" t="str">
        <f aca="false">IF(Tasks[[#This Row],[Task Name]]="","",IF(OR(TakeBaseline="Yes",N(Tasks[[#This Row],[Baseline Finish]])=0),Tasks[[#This Row],[Finish]],Tasks[[#This Row],[Baseline Finish]]))</f>
        <v/>
      </c>
      <c r="BO159" s="21" t="str">
        <f aca="false">IF(Tasks[[#This Row],[Task Name]]="","",IF(OR(TakeBaseline="Yes",N(Tasks[[#This Row],[Baseline Duration]])=0),Tasks[[#This Row],[_SpanDays]],Tasks[[#This Row],[Baseline Duration]]))</f>
        <v/>
      </c>
      <c r="BP159" s="86" t="str">
        <f aca="false">IF(Tasks[[#This Row],[Task Name]]="","",IF(OR(TakeBaseline="Yes",N(Tasks[[#This Row],[Baseline Work]])=0),Tasks[[#This Row],[Work]],Tasks[[#This Row],[Baseline Work]]))</f>
        <v/>
      </c>
      <c r="BQ159" s="7"/>
      <c r="BR159" s="7"/>
      <c r="BS159" s="22"/>
      <c r="BT159" s="88"/>
      <c r="BU159" s="23"/>
      <c r="BV159" s="23"/>
      <c r="BW159" s="23"/>
      <c r="BX159" s="89" t="str">
        <f aca="false">IF(AND(Tasks[[#This Row],[_IsLeaf]]=1,ISNUMBER(Tasks[[#This Row],[Optimistic]]),ISNUMBER(Tasks[[#This Row],[Pessimistic]])),ROUND((Tasks[[#This Row],[Optimistic]]+4*N(Tasks[[#This Row],[_Days]])+Tasks[[#This Row],[Pessimistic]])/6,1),"")</f>
        <v/>
      </c>
      <c r="BY159" s="87"/>
      <c r="BZ159" s="87"/>
      <c r="CA159" s="22"/>
      <c r="CB159" s="43" t="str">
        <f aca="false">IF(Tasks[[#This Row],[Task Name]]="","",MAX(1,N(Tasks[[#This Row],[Level]])))</f>
        <v/>
      </c>
      <c r="CC159" s="43" t="n">
        <f aca="false">ROW()-ROW(Tasks[[#Headers],[ID]])</f>
        <v>154</v>
      </c>
      <c r="CD159" s="43" t="n">
        <f aca="false">IF(OR(Tasks[[#This Row],[Task Name]]="",Tasks[[#This Row],[_Level]]&lt;=1),0,IFERROR(LOOKUP(2,1/(Tasks[[#Headers],[_Level]]:Tasks[[#This Row],[_Level]]=Tasks[[#This Row],[_Level]]-1),ROW(Tasks[[#Headers],[_Level]]:Tasks[[#This Row],[_Level]])),0))</f>
        <v>0</v>
      </c>
      <c r="CE159" s="43" t="n">
        <f aca="false">IFERROR(N(INDEX(Tasks[_Level],Tasks[[#This Row],[_Row]]+1)),0)</f>
        <v>0</v>
      </c>
      <c r="CF159" s="90" t="b">
        <f aca="false">AND(Tasks[[#This Row],[Task Name]]&lt;&gt;"",Tasks[[#This Row],[_NextLevel]]&gt;Tasks[[#This Row],[_Level]])</f>
        <v>0</v>
      </c>
      <c r="CG159" s="43" t="n">
        <f aca="false">IF(Tasks[[#This Row],[_IsSummary]],COUNTIF(Tasks[WBS],Tasks[[#This Row],[WBS]]&amp;".*"),0)</f>
        <v>0</v>
      </c>
      <c r="CH159" s="43" t="n">
        <f aca="false">IF(AND(Tasks[[#This Row],[Task Name]]&lt;&gt;"",NOT(Tasks[[#This Row],[_IsSummary]])),1,0)</f>
        <v>0</v>
      </c>
      <c r="CI159" s="43" t="n">
        <f aca="false">IF(N(Tasks[[#This Row],[_Pred1UID]])=0,0,IFERROR(MATCH(Tasks[[#This Row],[_Pred1UID]],Tasks[UID],0),-1))</f>
        <v>0</v>
      </c>
      <c r="CJ159" s="43" t="n">
        <f aca="false">IF(N(Tasks[[#This Row],[_Pred2UID]])=0,0,IFERROR(MATCH(Tasks[[#This Row],[_Pred2UID]],Tasks[UID],0),-1))</f>
        <v>0</v>
      </c>
      <c r="CK159" s="43" t="n">
        <f aca="false">IF(N(Tasks[[#This Row],[_Pred3UID]])=0,0,IFERROR(MATCH(Tasks[[#This Row],[_Pred3UID]],Tasks[UID],0),-1))</f>
        <v>0</v>
      </c>
      <c r="CL159" s="43" t="n">
        <f aca="false">IF(N(Tasks[[#This Row],[_Pred4UID]])=0,0,IFERROR(MATCH(Tasks[[#This Row],[_Pred4UID]],Tasks[UID],0),-1))</f>
        <v>0</v>
      </c>
      <c r="CM15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9" s="91" t="n">
        <f aca="false">IF(OR(Tasks[[#This Row],[_ConstraintCode]]=2,Tasks[[#This Row],[_ConstraintCode]]=3,Tasks[[#This Row],[_ConstraintCode]]=4,Tasks[[#This Row],[_ConstraintCode]]=6),Tasks[[#This Row],[_ConstraintStart]],0)</f>
        <v>0</v>
      </c>
      <c r="CP159" s="91" t="n">
        <f aca="false">IF(OR(Tasks[[#This Row],[_ConstraintCode]]=2,Tasks[[#This Row],[_ConstraintCode]]=3,Tasks[[#This Row],[_ConstraintCode]]=5,Tasks[[#This Row],[_ConstraintCode]]=7),Tasks[[#This Row],[_ConstraintStart]],2958465)</f>
        <v>2958465</v>
      </c>
      <c r="CQ15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9" s="91" t="str">
        <f aca="false">IF(NOT(Tasks[[#This Row],[_IsLeaf]]=1),"",IF(N(Tasks[[#This Row],[_Days]])&lt;=0,Tasks[[#This Row],[_LeafCalcStart]],WORKDAY.INTL(Tasks[[#This Row],[_LeafCalcStart]],Tasks[[#This Row],[_Days]]-1,WorkWeek,Holidays)))</f>
        <v/>
      </c>
      <c r="CS15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9" s="43" t="str">
        <f aca="false">IF(Tasks[[#This Row],[_Predecessors]]="","",TRIM(MID(SUBSTITUTE(SUBSTITUTE(SUBSTITUTE(UPPER(Tasks[[#This Row],[_Predecessors]]),";",",")," ",""),",",REPT(" ",99)),1,99)))</f>
        <v/>
      </c>
      <c r="CV159" s="43" t="str">
        <f aca="false">IF(Tasks[[#This Row],[_Pred1Text]]="","",IFERROR(VALUE(LEFT(Tasks[[#This Row],[_Pred1Text]],MIN(FIND("F",Tasks[[#This Row],[_Pred1Text]]&amp;"F"),FIND("S",Tasks[[#This Row],[_Pred1Text]]&amp;"S"),FIND("+",Tasks[[#This Row],[_Pred1Text]]&amp;"+"),FIND("-",Tasks[[#This Row],[_Pred1Text]]&amp;"-"))-1)),""))</f>
        <v/>
      </c>
      <c r="CW15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9" s="43" t="str">
        <f aca="false">IF(Tasks[[#This Row],[_Pred1Text]]="","",TRIM(MID(SUBSTITUTE(SUBSTITUTE(SUBSTITUTE(UPPER(Tasks[[#This Row],[_Predecessors]]),";",",")," ",""),",",REPT(" ",99)),100,99)))</f>
        <v/>
      </c>
      <c r="CZ159" s="43" t="str">
        <f aca="false">IF(Tasks[[#This Row],[_Pred2Text]]="","",IFERROR(VALUE(LEFT(Tasks[[#This Row],[_Pred2Text]],MIN(FIND("F",Tasks[[#This Row],[_Pred2Text]]&amp;"F"),FIND("S",Tasks[[#This Row],[_Pred2Text]]&amp;"S"),FIND("+",Tasks[[#This Row],[_Pred2Text]]&amp;"+"),FIND("-",Tasks[[#This Row],[_Pred2Text]]&amp;"-"))-1)),""))</f>
        <v/>
      </c>
      <c r="DA15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9" s="43" t="str">
        <f aca="false">IF(Tasks[[#This Row],[_Pred2Text]]="","",TRIM(MID(SUBSTITUTE(SUBSTITUTE(SUBSTITUTE(UPPER(Tasks[[#This Row],[_Predecessors]]),";",",")," ",""),",",REPT(" ",99)),199,99)))</f>
        <v/>
      </c>
      <c r="DD159" s="43" t="str">
        <f aca="false">IF(Tasks[[#This Row],[_Pred3Text]]="","",IFERROR(VALUE(LEFT(Tasks[[#This Row],[_Pred3Text]],MIN(FIND("F",Tasks[[#This Row],[_Pred3Text]]&amp;"F"),FIND("S",Tasks[[#This Row],[_Pred3Text]]&amp;"S"),FIND("+",Tasks[[#This Row],[_Pred3Text]]&amp;"+"),FIND("-",Tasks[[#This Row],[_Pred3Text]]&amp;"-"))-1)),""))</f>
        <v/>
      </c>
      <c r="DE15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9" s="43" t="str">
        <f aca="false">IF(Tasks[[#This Row],[_Pred3Text]]="","",TRIM(MID(SUBSTITUTE(SUBSTITUTE(SUBSTITUTE(UPPER(Tasks[[#This Row],[_Predecessors]]),";",",")," ",""),",",REPT(" ",99)),298,99)))</f>
        <v/>
      </c>
      <c r="DH159" s="43" t="str">
        <f aca="false">IF(Tasks[[#This Row],[_Pred4Text]]="","",IFERROR(VALUE(LEFT(Tasks[[#This Row],[_Pred4Text]],MIN(FIND("F",Tasks[[#This Row],[_Pred4Text]]&amp;"F"),FIND("S",Tasks[[#This Row],[_Pred4Text]]&amp;"S"),FIND("+",Tasks[[#This Row],[_Pred4Text]]&amp;"+"),FIND("-",Tasks[[#This Row],[_Pred4Text]]&amp;"-"))-1)),""))</f>
        <v/>
      </c>
      <c r="DI15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9" s="43" t="str">
        <f aca="false">IF(OR(Tasks[[#This Row],[Task Name]]="",Tasks[[#This Row],[_Resources]]=""),"",TRIM(MID(SUBSTITUTE(Tasks[[#This Row],[_Resources]],",",REPT(" ",99)),1,99)))</f>
        <v/>
      </c>
      <c r="DL159" s="43" t="str">
        <f aca="false">IF(Tasks[[#This Row],[_Res1Text]]="","",TRIM(MID(SUBSTITUTE(Tasks[[#This Row],[_Resources]],",",REPT(" ",99)),100,99)))</f>
        <v/>
      </c>
      <c r="DM159" s="43" t="str">
        <f aca="false">IF(Tasks[[#This Row],[_Res2Text]]="","",TRIM(MID(SUBSTITUTE(Tasks[[#This Row],[_Resources]],",",REPT(" ",99)),199,99)))</f>
        <v/>
      </c>
      <c r="DN159" s="43" t="str">
        <f aca="false">IF(Tasks[[#This Row],[_Res3Text]]="","",TRIM(MID(SUBSTITUTE(Tasks[[#This Row],[_Resources]],",",REPT(" ",99)),298,99)))</f>
        <v/>
      </c>
      <c r="DO159" s="43" t="n">
        <f aca="false">IF(Tasks[[#This Row],[_Res1Text]]="",0,IFERROR(MATCH(TRIM(LEFT(Tasks[[#This Row],[_Res1Text]],FIND("[",Tasks[[#This Row],[_Res1Text]]&amp;"[")-1)),res_Name,0),IFERROR(MATCH(TRIM(LEFT(Tasks[[#This Row],[_Res1Text]],FIND("[",Tasks[[#This Row],[_Res1Text]]&amp;"[")-1)),res_Initials,0),0)))</f>
        <v>0</v>
      </c>
      <c r="DP159" s="43" t="n">
        <f aca="false">IF(Tasks[[#This Row],[_Res2Text]]="",0,IFERROR(MATCH(TRIM(LEFT(Tasks[[#This Row],[_Res2Text]],FIND("[",Tasks[[#This Row],[_Res2Text]]&amp;"[")-1)),res_Name,0),IFERROR(MATCH(TRIM(LEFT(Tasks[[#This Row],[_Res2Text]],FIND("[",Tasks[[#This Row],[_Res2Text]]&amp;"[")-1)),res_Initials,0),0)))</f>
        <v>0</v>
      </c>
      <c r="DQ159" s="43" t="n">
        <f aca="false">IF(Tasks[[#This Row],[_Res3Text]]="",0,IFERROR(MATCH(TRIM(LEFT(Tasks[[#This Row],[_Res3Text]],FIND("[",Tasks[[#This Row],[_Res3Text]]&amp;"[")-1)),res_Name,0),IFERROR(MATCH(TRIM(LEFT(Tasks[[#This Row],[_Res3Text]],FIND("[",Tasks[[#This Row],[_Res3Text]]&amp;"[")-1)),res_Initials,0),0)))</f>
        <v>0</v>
      </c>
      <c r="DR159" s="43" t="n">
        <f aca="false">IF(Tasks[[#This Row],[_Res4Text]]="",0,IFERROR(MATCH(TRIM(LEFT(Tasks[[#This Row],[_Res4Text]],FIND("[",Tasks[[#This Row],[_Res4Text]]&amp;"[")-1)),res_Name,0),IFERROR(MATCH(TRIM(LEFT(Tasks[[#This Row],[_Res4Text]],FIND("[",Tasks[[#This Row],[_Res4Text]]&amp;"[")-1)),res_Initials,0),0)))</f>
        <v>0</v>
      </c>
      <c r="DS159" s="43" t="str">
        <f aca="false">IF(Tasks[[#This Row],[_Res1Text]]="","",IF(Tasks[[#This Row],[_Res1Row]]&gt;0,INDEX(res_Name,Tasks[[#This Row],[_Res1Row]]),TRIM(LEFT(Tasks[[#This Row],[_Res1Text]],FIND("[",Tasks[[#This Row],[_Res1Text]]&amp;"[")-1))))</f>
        <v/>
      </c>
      <c r="DT15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9" s="43" t="n">
        <f aca="false">IF(NOT(Tasks[[#This Row],[_IsLeaf]]=1),0,(Tasks[[#This Row],[_Resource1]]&lt;&gt;"")+(Tasks[[#This Row],[_Res2]]&lt;&gt;"")+(Tasks[[#This Row],[_Res3]]&lt;&gt;"")+(Tasks[[#This Row],[_Res4]]&lt;&gt;""))</f>
        <v>0</v>
      </c>
      <c r="DV159" s="43" t="str">
        <f aca="false">IF(Tasks[[#This Row],[_Res2Text]]="","",IF(Tasks[[#This Row],[_Res2Row]]&gt;0,INDEX(res_Name,Tasks[[#This Row],[_Res2Row]]),TRIM(LEFT(Tasks[[#This Row],[_Res2Text]],FIND("[",Tasks[[#This Row],[_Res2Text]]&amp;"[")-1))))</f>
        <v/>
      </c>
      <c r="DW15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9" s="43" t="n">
        <f aca="false">IF(OR(NOT(Tasks[[#This Row],[_IsLeaf]]=1),Tasks[[#This Row],[_Res2Row]]=0),0,N(Tasks[[#This Row],[_Days]])*HoursPerDay*IF(Tasks[[#This Row],[_Res2Units]]="",DefaultUnits,Tasks[[#This Row],[_Res2Units]]))</f>
        <v>0</v>
      </c>
      <c r="DY159" s="43" t="n">
        <f aca="false">IF(AND(AND(Tasks[[#This Row],[_IsLeaf]]=1,Tasks[[#This Row],[_LeafTotalWork]]&gt;0),Tasks[[#This Row],[_Res2Work]]&gt;0),Tasks[[#This Row],[_Res2Work]]/(Tasks[[#This Row],[_FinishWorkday]]-Tasks[[#This Row],[_StartWorkday]]+1),0)</f>
        <v>0</v>
      </c>
      <c r="DZ159" s="43" t="n">
        <f aca="false">Tasks[[#This Row],[_Res2WorkPerWD]]*MAX(0,Tasks[[#This Row],[_StartWorkday]]-1)</f>
        <v>0</v>
      </c>
      <c r="EA159" s="43" t="n">
        <f aca="false">Tasks[[#This Row],[_Res2Work]]*Tasks[[#This Row],[_LeafProgress]]</f>
        <v>0</v>
      </c>
      <c r="EB159" s="43" t="str">
        <f aca="false">IF(Tasks[[#This Row],[_Res3Text]]="","",IF(Tasks[[#This Row],[_Res3Row]]&gt;0,INDEX(res_Name,Tasks[[#This Row],[_Res3Row]]),TRIM(LEFT(Tasks[[#This Row],[_Res3Text]],FIND("[",Tasks[[#This Row],[_Res3Text]]&amp;"[")-1))))</f>
        <v/>
      </c>
      <c r="EC15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9" s="43" t="n">
        <f aca="false">IF(OR(NOT(Tasks[[#This Row],[_IsLeaf]]=1),Tasks[[#This Row],[_Res3Row]]=0),0,N(Tasks[[#This Row],[_Days]])*HoursPerDay*IF(Tasks[[#This Row],[_Res3Units]]="",DefaultUnits,Tasks[[#This Row],[_Res3Units]]))</f>
        <v>0</v>
      </c>
      <c r="EE159" s="43" t="n">
        <f aca="false">IF(AND(AND(Tasks[[#This Row],[_IsLeaf]]=1,Tasks[[#This Row],[_LeafTotalWork]]&gt;0),Tasks[[#This Row],[_Res3Work]]&gt;0),Tasks[[#This Row],[_Res3Work]]/(Tasks[[#This Row],[_FinishWorkday]]-Tasks[[#This Row],[_StartWorkday]]+1),0)</f>
        <v>0</v>
      </c>
      <c r="EF159" s="43" t="n">
        <f aca="false">Tasks[[#This Row],[_Res3WorkPerWD]]*MAX(0,Tasks[[#This Row],[_StartWorkday]]-1)</f>
        <v>0</v>
      </c>
      <c r="EG159" s="43" t="n">
        <f aca="false">Tasks[[#This Row],[_Res3Work]]*Tasks[[#This Row],[_LeafProgress]]</f>
        <v>0</v>
      </c>
      <c r="EH159" s="43" t="str">
        <f aca="false">IF(Tasks[[#This Row],[_Res4Text]]="","",IF(Tasks[[#This Row],[_Res4Row]]&gt;0,INDEX(res_Name,Tasks[[#This Row],[_Res4Row]]),TRIM(LEFT(Tasks[[#This Row],[_Res4Text]],FIND("[",Tasks[[#This Row],[_Res4Text]]&amp;"[")-1))))</f>
        <v/>
      </c>
      <c r="EI15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9" s="43" t="n">
        <f aca="false">IF(OR(NOT(Tasks[[#This Row],[_IsLeaf]]=1),Tasks[[#This Row],[_Res4Row]]=0),0,N(Tasks[[#This Row],[_Days]])*HoursPerDay*IF(Tasks[[#This Row],[_Res4Units]]="",DefaultUnits,Tasks[[#This Row],[_Res4Units]]))</f>
        <v>0</v>
      </c>
      <c r="EK159" s="43" t="n">
        <f aca="false">IF(AND(AND(Tasks[[#This Row],[_IsLeaf]]=1,Tasks[[#This Row],[_LeafTotalWork]]&gt;0),Tasks[[#This Row],[_Res4Work]]&gt;0),Tasks[[#This Row],[_Res4Work]]/(Tasks[[#This Row],[_FinishWorkday]]-Tasks[[#This Row],[_StartWorkday]]+1),0)</f>
        <v>0</v>
      </c>
      <c r="EL159" s="43" t="n">
        <f aca="false">Tasks[[#This Row],[_Res4WorkPerWD]]*MAX(0,Tasks[[#This Row],[_StartWorkday]]-1)</f>
        <v>0</v>
      </c>
      <c r="EM159" s="43" t="n">
        <f aca="false">Tasks[[#This Row],[_Res4Work]]*Tasks[[#This Row],[_LeafProgress]]</f>
        <v>0</v>
      </c>
      <c r="EN159" s="43" t="n">
        <f aca="false">IF(ISNUMBER(Tasks[[#This Row],[% Complete]]),Tasks[[#This Row],[% Complete]],IF(Tasks[[#This Row],[Stage]]="",0,IFERROR(INDEX(stg_Pct,MATCH(Tasks[[#This Row],[Stage]],stg_Name,0)),0)))</f>
        <v>0</v>
      </c>
      <c r="EO159" s="43" t="n">
        <f aca="false">IF(NOT(Tasks[[#This Row],[_IsLeaf]]=1),0,IF(N(Tasks[[#This Row],[Actual Finish]])&gt;0,1,MIN(1,Tasks[[#This Row],[_Pct]])))</f>
        <v>0</v>
      </c>
      <c r="EP159" s="43" t="n">
        <f aca="false">IF(OR(NOT(Tasks[[#This Row],[_IsLeaf]]=1),Tasks[[#This Row],[_Res1Row]]=0),0,N(Tasks[[#This Row],[_Days]])*HoursPerDay*IF(Tasks[[#This Row],[_Units1]]="",DefaultUnits,Tasks[[#This Row],[_Units1]]))</f>
        <v>0</v>
      </c>
      <c r="EQ159" s="43" t="n">
        <f aca="false">Tasks[[#This Row],[_LeafWork]]+Tasks[[#This Row],[_Res2Work]]+Tasks[[#This Row],[_Res3Work]]+Tasks[[#This Row],[_Res4Work]]</f>
        <v>0</v>
      </c>
      <c r="ER15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9" s="43" t="n">
        <f aca="false">IF(NOT(Tasks[[#This Row],[_IsLeaf]]=1),0,MAX(_xlfn.MAXIFS(Tasks[_Row],Tasks[_Pred1UID],Tasks[[#This Row],[UID]]),_xlfn.MAXIFS(Tasks[_Row],Tasks[_Pred2UID],Tasks[[#This Row],[UID]]),_xlfn.MAXIFS(Tasks[_Row],Tasks[_Pred3UID],Tasks[[#This Row],[UID]]),_xlfn.MAXIFS(Tasks[_Row],Tasks[_Pred4UID],Tasks[[#This Row],[UID]])))</f>
        <v>0</v>
      </c>
      <c r="FA15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9" s="91" t="str">
        <f aca="false">IF(NOT(Tasks[[#This Row],[_IsLeaf]]=1),"",IF(N(Tasks[[#This Row],[_Days]])&lt;=0,Tasks[[#This Row],[_LeafLateFinish]],WORKDAY.INTL(Tasks[[#This Row],[_LeafLateFinish]],-(Tasks[[#This Row],[_Days]]-1),WorkWeek,Holidays)))</f>
        <v/>
      </c>
      <c r="FD15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9" s="90" t="b">
        <f aca="false">AND(Tasks[[#This Row],[_IsLeaf]]=1,Tasks[[#This Row],[_LeafProgress]]&lt;1,N(Tasks[[#This Row],[_LeafTotalSlack]])&lt;=CriticalSlackDays)</f>
        <v>0</v>
      </c>
      <c r="FF159" s="43" t="n">
        <f aca="false">IF(AND(Tasks[[#This Row],[_IsLeaf]]=1,Tasks[[#This Row],[_ConstraintCode]]=1,Tasks[[#This Row],[Mode]]&lt;&gt;"Manual",N(Tasks[[#This Row],[Actual Start]])=0),MAX(0,N(Tasks[[#This Row],[Free Slack]])),0)</f>
        <v>0</v>
      </c>
      <c r="FG159" s="91" t="str">
        <f aca="false">IF(NOT(Tasks[[#This Row],[_IsLeaf]]=1),"",IF(Tasks[[#This Row],[_AlapShift]]=0,Tasks[[#This Row],[_LeafCalcStart]],WORKDAY.INTL(Tasks[[#This Row],[_LeafCalcStart]],Tasks[[#This Row],[_AlapShift]],WorkWeek,Holidays)))</f>
        <v/>
      </c>
      <c r="FH159" s="91" t="str">
        <f aca="false">IF(NOT(Tasks[[#This Row],[_IsLeaf]]=1),"",IF(Tasks[[#This Row],[_AlapShift]]=0,Tasks[[#This Row],[_LeafCalcFinish]],WORKDAY.INTL(Tasks[[#This Row],[_LeafCalcFinish]],Tasks[[#This Row],[_AlapShift]],WorkWeek,Holidays)))</f>
        <v/>
      </c>
      <c r="FI159" s="91" t="str">
        <f aca="false">IF(NOT(Tasks[[#This Row],[_IsLeaf]]=1),"",IF(Tasks[[#This Row],[_AlapShift]]=0,Tasks[[#This Row],[_LeafFcstStart]],WORKDAY.INTL(Tasks[[#This Row],[_LeafFcstStart]],Tasks[[#This Row],[_AlapShift]],WorkWeek,Holidays)))</f>
        <v/>
      </c>
      <c r="FJ159" s="91" t="str">
        <f aca="false">IF(NOT(Tasks[[#This Row],[_IsLeaf]]=1),"",IF(Tasks[[#This Row],[_AlapShift]]=0,Tasks[[#This Row],[_LeafFcstFinish]],WORKDAY.INTL(Tasks[[#This Row],[_LeafFcstFinish]],Tasks[[#This Row],[_AlapShift]],WorkWeek,Holidays)))</f>
        <v/>
      </c>
      <c r="FK159" s="91" t="str">
        <f aca="false">IF(Tasks[[#This Row],[Task Name]]="","",IF(Tasks[[#This Row],[_IsSummary]],MIN(INDEX(Tasks[_ShownCalcStart],Tasks[[#This Row],[_Row]]+1):INDEX(Tasks[_ShownCalcStart],Tasks[[#This Row],[_Row]]+Tasks[[#This Row],[_Descendants]])),Tasks[[#This Row],[_ShownCalcStart]]))</f>
        <v/>
      </c>
      <c r="FL159" s="91" t="str">
        <f aca="false">IF(Tasks[[#This Row],[Task Name]]="","",IF(Tasks[[#This Row],[_IsSummary]],MAX(INDEX(Tasks[_ShownCalcFinish],Tasks[[#This Row],[_Row]]+1):INDEX(Tasks[_ShownCalcFinish],Tasks[[#This Row],[_Row]]+Tasks[[#This Row],[_Descendants]])),Tasks[[#This Row],[_ShownCalcFinish]]))</f>
        <v/>
      </c>
      <c r="FM15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9" s="43" t="n">
        <f aca="false">IF(AND(Tasks[[#This Row],[_IsLeaf]]=1,Tasks[[#This Row],[_LeafTotalWork]]&gt;0),NETWORKDAYS.INTL(ProjectStart,Tasks[[#This Row],[_ShownFcstStart]],WorkWeek,Holidays),0)</f>
        <v>0</v>
      </c>
      <c r="FZ159" s="43" t="n">
        <f aca="false">IF(AND(Tasks[[#This Row],[_IsLeaf]]=1,Tasks[[#This Row],[_LeafTotalWork]]&gt;0),MAX(Tasks[[#This Row],[_StartWorkday]],NETWORKDAYS.INTL(ProjectStart,Tasks[[#This Row],[_ShownFcstFinish]],WorkWeek,Holidays)),0)</f>
        <v>0</v>
      </c>
      <c r="GA159" s="43" t="n">
        <f aca="false">IF(AND(Tasks[[#This Row],[_IsLeaf]]=1,Tasks[[#This Row],[_LeafTotalWork]]&gt;0),Tasks[[#This Row],[_LeafWork]]/(Tasks[[#This Row],[_FinishWorkday]]-Tasks[[#This Row],[_StartWorkday]]+1),0)</f>
        <v>0</v>
      </c>
      <c r="GB159" s="43" t="n">
        <f aca="false">Tasks[[#This Row],[_WorkPerWorkday]]*(Tasks[[#This Row],[_StartWorkday]]-1)</f>
        <v>-0</v>
      </c>
      <c r="GC159" s="43" t="n">
        <f aca="false">IF(Tasks[[#This Row],[_IsLeaf]]=1,MAX(N(Tasks[[#This Row],[_Days]]),0.1),0)</f>
        <v>0</v>
      </c>
      <c r="GD159" s="43" t="n">
        <f aca="false">Tasks[[#This Row],[_WeightDur]]*Tasks[[#This Row],[_LeafProgress]]</f>
        <v>0</v>
      </c>
      <c r="GE159" s="43" t="n">
        <f aca="false">Tasks[[#This Row],[_WeightDur]]*Tasks[[#This Row],[_PlannedPct]]</f>
        <v>0</v>
      </c>
      <c r="GF15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9" s="43" t="str">
        <f aca="false">IF(AND(Tasks[[#This Row],[_IsLeaf]]=1,N(Tasks[[#This Row],[_Days]])=0,Tasks[[#This Row],[_LeafProgress]]&lt;1),Tasks[[#This Row],[_ShownFcstFinish]]+Tasks[[#This Row],[_Row]]/100000,"")</f>
        <v/>
      </c>
      <c r="GH15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9" s="43" t="str">
        <f aca="false">IF(Tasks[[#This Row],[Task Name]]="","",LEFT(Tasks[[#This Row],[WBS]],FIND(".",Tasks[[#This Row],[WBS]]&amp;".")-1))</f>
        <v/>
      </c>
      <c r="GJ159" s="43" t="str">
        <f aca="false">IF(AND(Tasks[[#This Row],[Task Name]]&lt;&gt;"",Tasks[[#This Row],[_Level]]=1),Tasks[[#This Row],[_Row]],"")</f>
        <v/>
      </c>
      <c r="GK159" s="43" t="str">
        <f aca="false">IF(AND(Tasks[[#This Row],[_IsLeaf]]=1,N(Tasks[[#This Row],[_Days]])=0),Tasks[[#This Row],[Planned Finish]]+Tasks[[#This Row],[_Row]]/100000,"")</f>
        <v/>
      </c>
      <c r="GL159" s="43" t="str">
        <f aca="false">IF(AND(Tasks[[#This Row],[_IsLeaf]]=1,Tasks[[#This Row],[_LeafProgress]]&lt;1,OR(N(Tasks[[#This Row],[Finish Var]])&gt;0,Tasks[[#This Row],[Status]]="Late Start")),MAX(0,Tasks[[#This Row],[Finish Var]])+1-Tasks[[#This Row],[_Row]]/1000000,"")</f>
        <v/>
      </c>
      <c r="GM159" s="43" t="str">
        <f aca="false">IF(AND(Tasks[[#This Row],[_IsLeaf]]=1,N(Tasks[[#This Row],[Actual Start]])=0,Tasks[[#This Row],[_ShownFcstStart]]&gt;=StatusDate,Tasks[[#This Row],[_ShownFcstStart]]&lt;=LookaheadEnd),Tasks[[#This Row],[_ShownFcstStart]]+Tasks[[#This Row],[_Row]]/100000,"")</f>
        <v/>
      </c>
      <c r="GN159" s="43" t="str">
        <f aca="false">IF(AND(Tasks[[#This Row],[_IsLeaf]]=1,Tasks[[#This Row],[_LeafProgress]]&lt;1,Tasks[[#This Row],[_ShownFcstFinish]]&gt;=StatusDate,Tasks[[#This Row],[_ShownFcstFinish]]&lt;=LookaheadEnd),Tasks[[#This Row],[_ShownFcstFinish]]+Tasks[[#This Row],[_Row]]/100000,"")</f>
        <v/>
      </c>
      <c r="GO159" s="43" t="str">
        <f aca="false">IF(Tasks[[#This Row],[_LeafCritical]],Tasks[[#This Row],[_ShownFcstStart]]+Tasks[[#This Row],[_Row]]/100000,"")</f>
        <v/>
      </c>
      <c r="GP159" s="43" t="n">
        <f aca="false">Tasks[[#This Row],[_LeafWork]]*Tasks[[#This Row],[_LeafProgress]]</f>
        <v>0</v>
      </c>
      <c r="GQ159" s="91" t="str">
        <f aca="false">IF(AND(Tasks[[#This Row],[_IsLeaf]]=1,Tasks[[#This Row],[_LeafProgress]]&gt;=1),IF(N(Tasks[[#This Row],[Actual Finish]])&gt;0,Tasks[[#This Row],[Actual Finish]],Tasks[[#This Row],[_ShownFcstFinish]]),"")</f>
        <v/>
      </c>
      <c r="GR159" s="43" t="n">
        <f aca="false">IF(Tasks[[#This Row],[_IsLeaf]]=1,N(Tasks[[#This Row],[Story Points]]),0)</f>
        <v>0</v>
      </c>
      <c r="GS159" s="43" t="str">
        <f aca="false">""</f>
        <v/>
      </c>
      <c r="GT159" s="90" t="b">
        <f aca="false">IF(Tasks[[#This Row],[Task Name]]="",FALSE(),AND(Tasks[[#This Row],[_IsLeaf]]=1,N(Tasks[[#This Row],[_Days]])=0))</f>
        <v>0</v>
      </c>
      <c r="GU159" s="91" t="n">
        <f aca="false">IF(Tasks[[#This Row],[Task Name]]="",0,IF(AND(Tasks[[#This Row],[_IsLeaf]]=1,NOT(Tasks[[#This Row],[_IsMilestone]]),N(Tasks[[#This Row],[Progress]])&gt;0),Tasks[[#This Row],[Start]],0))</f>
        <v>0</v>
      </c>
      <c r="GV159" s="91" t="n">
        <f aca="false">IF(Tasks[[#This Row],[_DoneFrom]]=0,0,IF(Tasks[[#This Row],[Progress]]&gt;=1,Tasks[[#This Row],[Finish]],MAX(Tasks[[#This Row],[_DoneFrom]],Tasks[[#This Row],[Start]]+ROUND((Tasks[[#This Row],[Finish]]-Tasks[[#This Row],[Start]]+1)*Tasks[[#This Row],[Progress]],0)-1)))</f>
        <v>0</v>
      </c>
      <c r="GW159" s="91" t="n">
        <f aca="false">IF(Tasks[[#This Row],[Task Name]]="",0,IF(OR(NOT(Tasks[[#This Row],[_IsLeaf]]=1),Tasks[[#This Row],[_IsMilestone]],N(Tasks[[#This Row],[Progress]])&gt;=1),0,IF(Tasks[[#This Row],[_DoneTo]]&gt;0,Tasks[[#This Row],[_DoneTo]]+1,Tasks[[#This Row],[Start]])))</f>
        <v>0</v>
      </c>
      <c r="GX159" s="91" t="n">
        <f aca="false">IF(Tasks[[#This Row],[_RemFrom]]=0,0,Tasks[[#This Row],[Finish]])</f>
        <v>0</v>
      </c>
      <c r="GY159" s="90" t="b">
        <f aca="false">IF(Tasks[[#This Row],[Task Name]]="",FALSE(),OR(NOT(BaselineSet),N(Tasks[[#This Row],[Baseline Start]])&gt;0))</f>
        <v>0</v>
      </c>
      <c r="GZ15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9" s="92" t="str">
        <f aca="false">IF(Tasks[[#This Row],[_IsLeaf]]=1,Tasks[[#This Row],[_Row]],"")</f>
        <v/>
      </c>
      <c r="HD159" s="92" t="str">
        <f aca="false">IFERROR(INDEX(Tasks[UID],SMALL(Tasks[_PickKey],Tasks[[#This Row],[_Row]]))&amp;" "&amp;INDEX(Tasks[Task Name],SMALL(Tasks[_PickKey],Tasks[[#This Row],[_Row]])),"")</f>
        <v/>
      </c>
      <c r="HE159" s="43" t="str">
        <f aca="false">IF(Tasks[[#This Row],[Task Name]]="","",IF(Tasks[[#This Row],[_IsSummary]],NETWORKDAYS.INTL(Tasks[[#This Row],[Start]],Tasks[[#This Row],[Finish]],WorkWeek,Holidays),N(Tasks[[#This Row],[_Days]])))</f>
        <v/>
      </c>
      <c r="HF159" s="43" t="n">
        <f aca="false">IF(Tasks[[#This Row],[Expected]]="",0,((Tasks[[#This Row],[Pessimistic]]-Tasks[[#This Row],[Optimistic]])/6)^2)</f>
        <v>0</v>
      </c>
      <c r="HG159" s="43" t="n">
        <f aca="false">IF(Tasks[[#This Row],[Expected]]="",0,Tasks[[#This Row],[Expected]]-N(Tasks[[#This Row],[_Days]]))</f>
        <v>0</v>
      </c>
    </row>
    <row r="160" customFormat="false" ht="15" hidden="false" customHeight="false" outlineLevel="0" collapsed="false">
      <c r="A160" s="21" t="str">
        <f aca="false">IF(Tasks[[#This Row],[Task Name]]="","",COUNTA(Tasks[[#Headers],[Task Name]]:Tasks[[#This Row],[Task Name]])-1)</f>
        <v/>
      </c>
      <c r="B160" s="22" t="n">
        <v>168</v>
      </c>
      <c r="C160" s="22"/>
      <c r="D160" s="23"/>
      <c r="E160" s="22"/>
      <c r="F160" s="23"/>
      <c r="G160" s="22"/>
      <c r="H160" s="22"/>
      <c r="I160" s="23"/>
      <c r="J160" s="22"/>
      <c r="K160" s="22"/>
      <c r="L160" s="23"/>
      <c r="M160" s="22"/>
      <c r="N160" s="22"/>
      <c r="O160" s="23"/>
      <c r="P160" s="22"/>
      <c r="Q160" s="22"/>
      <c r="R160" s="23"/>
      <c r="S160" s="23"/>
      <c r="T160" s="84"/>
      <c r="U160" s="23"/>
      <c r="V160" s="84"/>
      <c r="W160" s="23"/>
      <c r="X160" s="84"/>
      <c r="Y160" s="23"/>
      <c r="Z160" s="84"/>
      <c r="AA160" s="23"/>
      <c r="AB160" s="23"/>
      <c r="AC160" s="7"/>
      <c r="AD160" s="7"/>
      <c r="AE160" s="63" t="str">
        <f aca="false">IF(Tasks[[#This Row],[Task Name]]="","",IF(Tasks[[#This Row],[_IsSummary]],MIN(INDEX(Tasks[_ShownFcstStart],Tasks[[#This Row],[_Row]]+1):INDEX(Tasks[_ShownFcstStart],Tasks[[#This Row],[_Row]]+Tasks[[#This Row],[_Descendants]])),Tasks[[#This Row],[_ShownFcstStart]]))</f>
        <v/>
      </c>
      <c r="AF160" s="63" t="str">
        <f aca="false">IF(Tasks[[#This Row],[Task Name]]="","",IF(Tasks[[#This Row],[_IsSummary]],MAX(INDEX(Tasks[_ShownFcstFinish],Tasks[[#This Row],[_Row]]+1):INDEX(Tasks[_ShownFcstFinish],Tasks[[#This Row],[_Row]]+Tasks[[#This Row],[_Descendants]])),Tasks[[#This Row],[_ShownFcstFinish]]))</f>
        <v/>
      </c>
      <c r="AG160" s="21" t="str">
        <f aca="false">""</f>
        <v/>
      </c>
      <c r="AH160" s="23"/>
      <c r="AI1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0" s="7"/>
      <c r="AK160" s="22"/>
      <c r="AL160" s="23"/>
      <c r="AM160" s="7"/>
      <c r="AN160" s="47" t="str">
        <f aca="false">IF(Tasks[[#This Row],[Task Name]]="","",IF(Tasks[[#This Row],[Finish]]&gt;=Tasks[[#This Row],[Planned Finish]],NETWORKDAYS.INTL(Tasks[[#This Row],[Planned Finish]],Tasks[[#This Row],[Finish]],WorkWeek,Holidays)-1,1-NETWORKDAYS.INTL(Tasks[[#This Row],[Finish]],Tasks[[#This Row],[Planned Finish]],WorkWeek,Holidays)))</f>
        <v/>
      </c>
      <c r="AO160" s="21" t="str">
        <f aca="false">IF(Tasks[[#This Row],[Task Name]]="","",IF(Tasks[[#This Row],[Progress]]&gt;=1,"Complete",IF(OR(N(Tasks[[#This Row],[Actual Start]])&gt;0,Tasks[[#This Row],[Progress]]&gt;0),IF(Tasks[[#This Row],[Finish Var]]&gt;0,"Behind","In Progress"),IF(Tasks[[#This Row],[Planned Start]]&lt;StatusDate,"Late Start","Not Started"))))</f>
        <v/>
      </c>
      <c r="AP160" s="21" t="str">
        <f aca="false">IF(Tasks[[#This Row],[Task Name]]="","",IF(IF(Tasks[[#This Row],[_IsSummary]],COUNTIF(INDEX(Tasks[_LeafCritical],Tasks[[#This Row],[_Row]]+1):INDEX(Tasks[_LeafCritical],Tasks[[#This Row],[_Row]]+Tasks[[#This Row],[_Descendants]]),TRUE())&gt;0,Tasks[[#This Row],[_LeafCritical]]),"Yes",""))</f>
        <v/>
      </c>
      <c r="AQ160" s="63" t="str">
        <f aca="false">IF(Tasks[[#This Row],[Task Name]]="","",IF(N(Tasks[[#This Row],[Baseline Start]])&gt;0,Tasks[[#This Row],[Baseline Start]],Tasks[[#This Row],[_CalcStart]]))</f>
        <v/>
      </c>
      <c r="AR160" s="63" t="str">
        <f aca="false">IF(Tasks[[#This Row],[Task Name]]="","",IF(N(Tasks[[#This Row],[Baseline Finish]])&gt;0,Tasks[[#This Row],[Baseline Finish]],Tasks[[#This Row],[_CalcFinish]]))</f>
        <v/>
      </c>
      <c r="AS160" s="47" t="str">
        <f aca="false">IF(Tasks[[#This Row],[Task Name]]="","",IF(Tasks[[#This Row],[Start]]&gt;=Tasks[[#This Row],[Planned Start]],NETWORKDAYS.INTL(Tasks[[#This Row],[Planned Start]],Tasks[[#This Row],[Start]],WorkWeek,Holidays)-1,1-NETWORKDAYS.INTL(Tasks[[#This Row],[Start]],Tasks[[#This Row],[Planned Start]],WorkWeek,Holidays)))</f>
        <v/>
      </c>
      <c r="AT160" s="63" t="str">
        <f aca="false">IF(Tasks[[#This Row],[Task Name]]="","",IF(Tasks[[#This Row],[_IsSummary]],MIN(INDEX(Tasks[_LeafLateStart],Tasks[[#This Row],[_Row]]+1):INDEX(Tasks[_LeafLateStart],Tasks[[#This Row],[_Row]]+Tasks[[#This Row],[_Descendants]])),Tasks[[#This Row],[_LeafLateStart]]))</f>
        <v/>
      </c>
      <c r="AU160" s="63" t="str">
        <f aca="false">IF(Tasks[[#This Row],[Task Name]]="","",IF(Tasks[[#This Row],[_IsSummary]],MAX(INDEX(Tasks[_LeafLateFinish],Tasks[[#This Row],[_Row]]+1):INDEX(Tasks[_LeafLateFinish],Tasks[[#This Row],[_Row]]+Tasks[[#This Row],[_Descendants]])),Tasks[[#This Row],[_LeafLateFinish]]))</f>
        <v/>
      </c>
      <c r="AV160" s="47" t="str">
        <f aca="false">IF(Tasks[[#This Row],[Task Name]]="","",IF(Tasks[[#This Row],[_IsSummary]],MIN(INDEX(Tasks[_LeafTotalSlack],Tasks[[#This Row],[_Row]]+1):INDEX(Tasks[_LeafTotalSlack],Tasks[[#This Row],[_Row]]+Tasks[[#This Row],[_Descendants]])),Tasks[[#This Row],[_LeafTotalSlack]]))</f>
        <v/>
      </c>
      <c r="AW1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5"/>
      <c r="BA16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1" t="str">
        <f aca="false">IF(Tasks[[#This Row],[Task Name]]="","",IF(Tasks[[#This Row],[_Level]]&lt;=OutlineShowLevel,"Yes","No"))</f>
        <v/>
      </c>
      <c r="BE160" s="86" t="str">
        <f aca="false">IF(Tasks[[#This Row],[Task Name]]="","",IF(Tasks[[#This Row],[_IsSummary]],SUM(INDEX(Tasks[_LeafTotalWork],Tasks[[#This Row],[_Row]]+1):INDEX(Tasks[_LeafTotalWork],Tasks[[#This Row],[_Row]]+Tasks[[#This Row],[_Descendants]])),Tasks[[#This Row],[_LeafTotalWork]]))</f>
        <v/>
      </c>
      <c r="BF160" s="23"/>
      <c r="BG1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0" s="21" t="str">
        <f aca="false">""</f>
        <v/>
      </c>
      <c r="BI160" s="87"/>
      <c r="BJ160" s="22"/>
      <c r="BK160" s="47" t="str">
        <f aca="false">IF(OR(Tasks[[#This Row],[Task Name]]="",Tasks[[#This Row],[Baseline Duration]]=""),"",Tasks[[#This Row],[_SpanDays]]-N(Tasks[[#This Row],[Baseline Duration]]))</f>
        <v/>
      </c>
      <c r="BL160" s="86" t="str">
        <f aca="false">IF(OR(Tasks[[#This Row],[Task Name]]="",Tasks[[#This Row],[Baseline Work]]=""),"",Tasks[[#This Row],[Work]]-N(Tasks[[#This Row],[Baseline Work]]))</f>
        <v/>
      </c>
      <c r="BM160" s="63" t="str">
        <f aca="false">IF(Tasks[[#This Row],[Task Name]]="","",IF(OR(TakeBaseline="Yes",N(Tasks[[#This Row],[Baseline Start]])=0),Tasks[[#This Row],[Start]],Tasks[[#This Row],[Baseline Start]]))</f>
        <v/>
      </c>
      <c r="BN160" s="63" t="str">
        <f aca="false">IF(Tasks[[#This Row],[Task Name]]="","",IF(OR(TakeBaseline="Yes",N(Tasks[[#This Row],[Baseline Finish]])=0),Tasks[[#This Row],[Finish]],Tasks[[#This Row],[Baseline Finish]]))</f>
        <v/>
      </c>
      <c r="BO160" s="21" t="str">
        <f aca="false">IF(Tasks[[#This Row],[Task Name]]="","",IF(OR(TakeBaseline="Yes",N(Tasks[[#This Row],[Baseline Duration]])=0),Tasks[[#This Row],[_SpanDays]],Tasks[[#This Row],[Baseline Duration]]))</f>
        <v/>
      </c>
      <c r="BP160" s="86" t="str">
        <f aca="false">IF(Tasks[[#This Row],[Task Name]]="","",IF(OR(TakeBaseline="Yes",N(Tasks[[#This Row],[Baseline Work]])=0),Tasks[[#This Row],[Work]],Tasks[[#This Row],[Baseline Work]]))</f>
        <v/>
      </c>
      <c r="BQ160" s="7"/>
      <c r="BR160" s="7"/>
      <c r="BS160" s="22"/>
      <c r="BT160" s="88"/>
      <c r="BU160" s="23"/>
      <c r="BV160" s="23"/>
      <c r="BW160" s="23"/>
      <c r="BX160" s="89" t="str">
        <f aca="false">IF(AND(Tasks[[#This Row],[_IsLeaf]]=1,ISNUMBER(Tasks[[#This Row],[Optimistic]]),ISNUMBER(Tasks[[#This Row],[Pessimistic]])),ROUND((Tasks[[#This Row],[Optimistic]]+4*N(Tasks[[#This Row],[_Days]])+Tasks[[#This Row],[Pessimistic]])/6,1),"")</f>
        <v/>
      </c>
      <c r="BY160" s="87"/>
      <c r="BZ160" s="87"/>
      <c r="CA160" s="22"/>
      <c r="CB160" s="43" t="str">
        <f aca="false">IF(Tasks[[#This Row],[Task Name]]="","",MAX(1,N(Tasks[[#This Row],[Level]])))</f>
        <v/>
      </c>
      <c r="CC160" s="43" t="n">
        <f aca="false">ROW()-ROW(Tasks[[#Headers],[ID]])</f>
        <v>155</v>
      </c>
      <c r="CD160" s="43" t="n">
        <f aca="false">IF(OR(Tasks[[#This Row],[Task Name]]="",Tasks[[#This Row],[_Level]]&lt;=1),0,IFERROR(LOOKUP(2,1/(Tasks[[#Headers],[_Level]]:Tasks[[#This Row],[_Level]]=Tasks[[#This Row],[_Level]]-1),ROW(Tasks[[#Headers],[_Level]]:Tasks[[#This Row],[_Level]])),0))</f>
        <v>0</v>
      </c>
      <c r="CE160" s="43" t="n">
        <f aca="false">IFERROR(N(INDEX(Tasks[_Level],Tasks[[#This Row],[_Row]]+1)),0)</f>
        <v>0</v>
      </c>
      <c r="CF160" s="90" t="b">
        <f aca="false">AND(Tasks[[#This Row],[Task Name]]&lt;&gt;"",Tasks[[#This Row],[_NextLevel]]&gt;Tasks[[#This Row],[_Level]])</f>
        <v>0</v>
      </c>
      <c r="CG160" s="43" t="n">
        <f aca="false">IF(Tasks[[#This Row],[_IsSummary]],COUNTIF(Tasks[WBS],Tasks[[#This Row],[WBS]]&amp;".*"),0)</f>
        <v>0</v>
      </c>
      <c r="CH160" s="43" t="n">
        <f aca="false">IF(AND(Tasks[[#This Row],[Task Name]]&lt;&gt;"",NOT(Tasks[[#This Row],[_IsSummary]])),1,0)</f>
        <v>0</v>
      </c>
      <c r="CI160" s="43" t="n">
        <f aca="false">IF(N(Tasks[[#This Row],[_Pred1UID]])=0,0,IFERROR(MATCH(Tasks[[#This Row],[_Pred1UID]],Tasks[UID],0),-1))</f>
        <v>0</v>
      </c>
      <c r="CJ160" s="43" t="n">
        <f aca="false">IF(N(Tasks[[#This Row],[_Pred2UID]])=0,0,IFERROR(MATCH(Tasks[[#This Row],[_Pred2UID]],Tasks[UID],0),-1))</f>
        <v>0</v>
      </c>
      <c r="CK160" s="43" t="n">
        <f aca="false">IF(N(Tasks[[#This Row],[_Pred3UID]])=0,0,IFERROR(MATCH(Tasks[[#This Row],[_Pred3UID]],Tasks[UID],0),-1))</f>
        <v>0</v>
      </c>
      <c r="CL160" s="43" t="n">
        <f aca="false">IF(N(Tasks[[#This Row],[_Pred4UID]])=0,0,IFERROR(MATCH(Tasks[[#This Row],[_Pred4UID]],Tasks[UID],0),-1))</f>
        <v>0</v>
      </c>
      <c r="CM16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0" s="91" t="n">
        <f aca="false">IF(OR(Tasks[[#This Row],[_ConstraintCode]]=2,Tasks[[#This Row],[_ConstraintCode]]=3,Tasks[[#This Row],[_ConstraintCode]]=4,Tasks[[#This Row],[_ConstraintCode]]=6),Tasks[[#This Row],[_ConstraintStart]],0)</f>
        <v>0</v>
      </c>
      <c r="CP160" s="91" t="n">
        <f aca="false">IF(OR(Tasks[[#This Row],[_ConstraintCode]]=2,Tasks[[#This Row],[_ConstraintCode]]=3,Tasks[[#This Row],[_ConstraintCode]]=5,Tasks[[#This Row],[_ConstraintCode]]=7),Tasks[[#This Row],[_ConstraintStart]],2958465)</f>
        <v>2958465</v>
      </c>
      <c r="CQ16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0" s="91" t="str">
        <f aca="false">IF(NOT(Tasks[[#This Row],[_IsLeaf]]=1),"",IF(N(Tasks[[#This Row],[_Days]])&lt;=0,Tasks[[#This Row],[_LeafCalcStart]],WORKDAY.INTL(Tasks[[#This Row],[_LeafCalcStart]],Tasks[[#This Row],[_Days]]-1,WorkWeek,Holidays)))</f>
        <v/>
      </c>
      <c r="CS16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0" s="43" t="str">
        <f aca="false">IF(Tasks[[#This Row],[_Predecessors]]="","",TRIM(MID(SUBSTITUTE(SUBSTITUTE(SUBSTITUTE(UPPER(Tasks[[#This Row],[_Predecessors]]),";",",")," ",""),",",REPT(" ",99)),1,99)))</f>
        <v/>
      </c>
      <c r="CV160" s="43" t="str">
        <f aca="false">IF(Tasks[[#This Row],[_Pred1Text]]="","",IFERROR(VALUE(LEFT(Tasks[[#This Row],[_Pred1Text]],MIN(FIND("F",Tasks[[#This Row],[_Pred1Text]]&amp;"F"),FIND("S",Tasks[[#This Row],[_Pred1Text]]&amp;"S"),FIND("+",Tasks[[#This Row],[_Pred1Text]]&amp;"+"),FIND("-",Tasks[[#This Row],[_Pred1Text]]&amp;"-"))-1)),""))</f>
        <v/>
      </c>
      <c r="CW16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0" s="43" t="str">
        <f aca="false">IF(Tasks[[#This Row],[_Pred1Text]]="","",TRIM(MID(SUBSTITUTE(SUBSTITUTE(SUBSTITUTE(UPPER(Tasks[[#This Row],[_Predecessors]]),";",",")," ",""),",",REPT(" ",99)),100,99)))</f>
        <v/>
      </c>
      <c r="CZ160" s="43" t="str">
        <f aca="false">IF(Tasks[[#This Row],[_Pred2Text]]="","",IFERROR(VALUE(LEFT(Tasks[[#This Row],[_Pred2Text]],MIN(FIND("F",Tasks[[#This Row],[_Pred2Text]]&amp;"F"),FIND("S",Tasks[[#This Row],[_Pred2Text]]&amp;"S"),FIND("+",Tasks[[#This Row],[_Pred2Text]]&amp;"+"),FIND("-",Tasks[[#This Row],[_Pred2Text]]&amp;"-"))-1)),""))</f>
        <v/>
      </c>
      <c r="DA16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0" s="43" t="str">
        <f aca="false">IF(Tasks[[#This Row],[_Pred2Text]]="","",TRIM(MID(SUBSTITUTE(SUBSTITUTE(SUBSTITUTE(UPPER(Tasks[[#This Row],[_Predecessors]]),";",",")," ",""),",",REPT(" ",99)),199,99)))</f>
        <v/>
      </c>
      <c r="DD160" s="43" t="str">
        <f aca="false">IF(Tasks[[#This Row],[_Pred3Text]]="","",IFERROR(VALUE(LEFT(Tasks[[#This Row],[_Pred3Text]],MIN(FIND("F",Tasks[[#This Row],[_Pred3Text]]&amp;"F"),FIND("S",Tasks[[#This Row],[_Pred3Text]]&amp;"S"),FIND("+",Tasks[[#This Row],[_Pred3Text]]&amp;"+"),FIND("-",Tasks[[#This Row],[_Pred3Text]]&amp;"-"))-1)),""))</f>
        <v/>
      </c>
      <c r="DE16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0" s="43" t="str">
        <f aca="false">IF(Tasks[[#This Row],[_Pred3Text]]="","",TRIM(MID(SUBSTITUTE(SUBSTITUTE(SUBSTITUTE(UPPER(Tasks[[#This Row],[_Predecessors]]),";",",")," ",""),",",REPT(" ",99)),298,99)))</f>
        <v/>
      </c>
      <c r="DH160" s="43" t="str">
        <f aca="false">IF(Tasks[[#This Row],[_Pred4Text]]="","",IFERROR(VALUE(LEFT(Tasks[[#This Row],[_Pred4Text]],MIN(FIND("F",Tasks[[#This Row],[_Pred4Text]]&amp;"F"),FIND("S",Tasks[[#This Row],[_Pred4Text]]&amp;"S"),FIND("+",Tasks[[#This Row],[_Pred4Text]]&amp;"+"),FIND("-",Tasks[[#This Row],[_Pred4Text]]&amp;"-"))-1)),""))</f>
        <v/>
      </c>
      <c r="DI16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0" s="43" t="str">
        <f aca="false">IF(OR(Tasks[[#This Row],[Task Name]]="",Tasks[[#This Row],[_Resources]]=""),"",TRIM(MID(SUBSTITUTE(Tasks[[#This Row],[_Resources]],",",REPT(" ",99)),1,99)))</f>
        <v/>
      </c>
      <c r="DL160" s="43" t="str">
        <f aca="false">IF(Tasks[[#This Row],[_Res1Text]]="","",TRIM(MID(SUBSTITUTE(Tasks[[#This Row],[_Resources]],",",REPT(" ",99)),100,99)))</f>
        <v/>
      </c>
      <c r="DM160" s="43" t="str">
        <f aca="false">IF(Tasks[[#This Row],[_Res2Text]]="","",TRIM(MID(SUBSTITUTE(Tasks[[#This Row],[_Resources]],",",REPT(" ",99)),199,99)))</f>
        <v/>
      </c>
      <c r="DN160" s="43" t="str">
        <f aca="false">IF(Tasks[[#This Row],[_Res3Text]]="","",TRIM(MID(SUBSTITUTE(Tasks[[#This Row],[_Resources]],",",REPT(" ",99)),298,99)))</f>
        <v/>
      </c>
      <c r="DO160" s="43" t="n">
        <f aca="false">IF(Tasks[[#This Row],[_Res1Text]]="",0,IFERROR(MATCH(TRIM(LEFT(Tasks[[#This Row],[_Res1Text]],FIND("[",Tasks[[#This Row],[_Res1Text]]&amp;"[")-1)),res_Name,0),IFERROR(MATCH(TRIM(LEFT(Tasks[[#This Row],[_Res1Text]],FIND("[",Tasks[[#This Row],[_Res1Text]]&amp;"[")-1)),res_Initials,0),0)))</f>
        <v>0</v>
      </c>
      <c r="DP160" s="43" t="n">
        <f aca="false">IF(Tasks[[#This Row],[_Res2Text]]="",0,IFERROR(MATCH(TRIM(LEFT(Tasks[[#This Row],[_Res2Text]],FIND("[",Tasks[[#This Row],[_Res2Text]]&amp;"[")-1)),res_Name,0),IFERROR(MATCH(TRIM(LEFT(Tasks[[#This Row],[_Res2Text]],FIND("[",Tasks[[#This Row],[_Res2Text]]&amp;"[")-1)),res_Initials,0),0)))</f>
        <v>0</v>
      </c>
      <c r="DQ160" s="43" t="n">
        <f aca="false">IF(Tasks[[#This Row],[_Res3Text]]="",0,IFERROR(MATCH(TRIM(LEFT(Tasks[[#This Row],[_Res3Text]],FIND("[",Tasks[[#This Row],[_Res3Text]]&amp;"[")-1)),res_Name,0),IFERROR(MATCH(TRIM(LEFT(Tasks[[#This Row],[_Res3Text]],FIND("[",Tasks[[#This Row],[_Res3Text]]&amp;"[")-1)),res_Initials,0),0)))</f>
        <v>0</v>
      </c>
      <c r="DR160" s="43" t="n">
        <f aca="false">IF(Tasks[[#This Row],[_Res4Text]]="",0,IFERROR(MATCH(TRIM(LEFT(Tasks[[#This Row],[_Res4Text]],FIND("[",Tasks[[#This Row],[_Res4Text]]&amp;"[")-1)),res_Name,0),IFERROR(MATCH(TRIM(LEFT(Tasks[[#This Row],[_Res4Text]],FIND("[",Tasks[[#This Row],[_Res4Text]]&amp;"[")-1)),res_Initials,0),0)))</f>
        <v>0</v>
      </c>
      <c r="DS160" s="43" t="str">
        <f aca="false">IF(Tasks[[#This Row],[_Res1Text]]="","",IF(Tasks[[#This Row],[_Res1Row]]&gt;0,INDEX(res_Name,Tasks[[#This Row],[_Res1Row]]),TRIM(LEFT(Tasks[[#This Row],[_Res1Text]],FIND("[",Tasks[[#This Row],[_Res1Text]]&amp;"[")-1))))</f>
        <v/>
      </c>
      <c r="DT16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0" s="43" t="n">
        <f aca="false">IF(NOT(Tasks[[#This Row],[_IsLeaf]]=1),0,(Tasks[[#This Row],[_Resource1]]&lt;&gt;"")+(Tasks[[#This Row],[_Res2]]&lt;&gt;"")+(Tasks[[#This Row],[_Res3]]&lt;&gt;"")+(Tasks[[#This Row],[_Res4]]&lt;&gt;""))</f>
        <v>0</v>
      </c>
      <c r="DV160" s="43" t="str">
        <f aca="false">IF(Tasks[[#This Row],[_Res2Text]]="","",IF(Tasks[[#This Row],[_Res2Row]]&gt;0,INDEX(res_Name,Tasks[[#This Row],[_Res2Row]]),TRIM(LEFT(Tasks[[#This Row],[_Res2Text]],FIND("[",Tasks[[#This Row],[_Res2Text]]&amp;"[")-1))))</f>
        <v/>
      </c>
      <c r="DW16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0" s="43" t="n">
        <f aca="false">IF(OR(NOT(Tasks[[#This Row],[_IsLeaf]]=1),Tasks[[#This Row],[_Res2Row]]=0),0,N(Tasks[[#This Row],[_Days]])*HoursPerDay*IF(Tasks[[#This Row],[_Res2Units]]="",DefaultUnits,Tasks[[#This Row],[_Res2Units]]))</f>
        <v>0</v>
      </c>
      <c r="DY160" s="43" t="n">
        <f aca="false">IF(AND(AND(Tasks[[#This Row],[_IsLeaf]]=1,Tasks[[#This Row],[_LeafTotalWork]]&gt;0),Tasks[[#This Row],[_Res2Work]]&gt;0),Tasks[[#This Row],[_Res2Work]]/(Tasks[[#This Row],[_FinishWorkday]]-Tasks[[#This Row],[_StartWorkday]]+1),0)</f>
        <v>0</v>
      </c>
      <c r="DZ160" s="43" t="n">
        <f aca="false">Tasks[[#This Row],[_Res2WorkPerWD]]*MAX(0,Tasks[[#This Row],[_StartWorkday]]-1)</f>
        <v>0</v>
      </c>
      <c r="EA160" s="43" t="n">
        <f aca="false">Tasks[[#This Row],[_Res2Work]]*Tasks[[#This Row],[_LeafProgress]]</f>
        <v>0</v>
      </c>
      <c r="EB160" s="43" t="str">
        <f aca="false">IF(Tasks[[#This Row],[_Res3Text]]="","",IF(Tasks[[#This Row],[_Res3Row]]&gt;0,INDEX(res_Name,Tasks[[#This Row],[_Res3Row]]),TRIM(LEFT(Tasks[[#This Row],[_Res3Text]],FIND("[",Tasks[[#This Row],[_Res3Text]]&amp;"[")-1))))</f>
        <v/>
      </c>
      <c r="EC16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0" s="43" t="n">
        <f aca="false">IF(OR(NOT(Tasks[[#This Row],[_IsLeaf]]=1),Tasks[[#This Row],[_Res3Row]]=0),0,N(Tasks[[#This Row],[_Days]])*HoursPerDay*IF(Tasks[[#This Row],[_Res3Units]]="",DefaultUnits,Tasks[[#This Row],[_Res3Units]]))</f>
        <v>0</v>
      </c>
      <c r="EE160" s="43" t="n">
        <f aca="false">IF(AND(AND(Tasks[[#This Row],[_IsLeaf]]=1,Tasks[[#This Row],[_LeafTotalWork]]&gt;0),Tasks[[#This Row],[_Res3Work]]&gt;0),Tasks[[#This Row],[_Res3Work]]/(Tasks[[#This Row],[_FinishWorkday]]-Tasks[[#This Row],[_StartWorkday]]+1),0)</f>
        <v>0</v>
      </c>
      <c r="EF160" s="43" t="n">
        <f aca="false">Tasks[[#This Row],[_Res3WorkPerWD]]*MAX(0,Tasks[[#This Row],[_StartWorkday]]-1)</f>
        <v>0</v>
      </c>
      <c r="EG160" s="43" t="n">
        <f aca="false">Tasks[[#This Row],[_Res3Work]]*Tasks[[#This Row],[_LeafProgress]]</f>
        <v>0</v>
      </c>
      <c r="EH160" s="43" t="str">
        <f aca="false">IF(Tasks[[#This Row],[_Res4Text]]="","",IF(Tasks[[#This Row],[_Res4Row]]&gt;0,INDEX(res_Name,Tasks[[#This Row],[_Res4Row]]),TRIM(LEFT(Tasks[[#This Row],[_Res4Text]],FIND("[",Tasks[[#This Row],[_Res4Text]]&amp;"[")-1))))</f>
        <v/>
      </c>
      <c r="EI16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0" s="43" t="n">
        <f aca="false">IF(OR(NOT(Tasks[[#This Row],[_IsLeaf]]=1),Tasks[[#This Row],[_Res4Row]]=0),0,N(Tasks[[#This Row],[_Days]])*HoursPerDay*IF(Tasks[[#This Row],[_Res4Units]]="",DefaultUnits,Tasks[[#This Row],[_Res4Units]]))</f>
        <v>0</v>
      </c>
      <c r="EK160" s="43" t="n">
        <f aca="false">IF(AND(AND(Tasks[[#This Row],[_IsLeaf]]=1,Tasks[[#This Row],[_LeafTotalWork]]&gt;0),Tasks[[#This Row],[_Res4Work]]&gt;0),Tasks[[#This Row],[_Res4Work]]/(Tasks[[#This Row],[_FinishWorkday]]-Tasks[[#This Row],[_StartWorkday]]+1),0)</f>
        <v>0</v>
      </c>
      <c r="EL160" s="43" t="n">
        <f aca="false">Tasks[[#This Row],[_Res4WorkPerWD]]*MAX(0,Tasks[[#This Row],[_StartWorkday]]-1)</f>
        <v>0</v>
      </c>
      <c r="EM160" s="43" t="n">
        <f aca="false">Tasks[[#This Row],[_Res4Work]]*Tasks[[#This Row],[_LeafProgress]]</f>
        <v>0</v>
      </c>
      <c r="EN160" s="43" t="n">
        <f aca="false">IF(ISNUMBER(Tasks[[#This Row],[% Complete]]),Tasks[[#This Row],[% Complete]],IF(Tasks[[#This Row],[Stage]]="",0,IFERROR(INDEX(stg_Pct,MATCH(Tasks[[#This Row],[Stage]],stg_Name,0)),0)))</f>
        <v>0</v>
      </c>
      <c r="EO160" s="43" t="n">
        <f aca="false">IF(NOT(Tasks[[#This Row],[_IsLeaf]]=1),0,IF(N(Tasks[[#This Row],[Actual Finish]])&gt;0,1,MIN(1,Tasks[[#This Row],[_Pct]])))</f>
        <v>0</v>
      </c>
      <c r="EP160" s="43" t="n">
        <f aca="false">IF(OR(NOT(Tasks[[#This Row],[_IsLeaf]]=1),Tasks[[#This Row],[_Res1Row]]=0),0,N(Tasks[[#This Row],[_Days]])*HoursPerDay*IF(Tasks[[#This Row],[_Units1]]="",DefaultUnits,Tasks[[#This Row],[_Units1]]))</f>
        <v>0</v>
      </c>
      <c r="EQ160" s="43" t="n">
        <f aca="false">Tasks[[#This Row],[_LeafWork]]+Tasks[[#This Row],[_Res2Work]]+Tasks[[#This Row],[_Res3Work]]+Tasks[[#This Row],[_Res4Work]]</f>
        <v>0</v>
      </c>
      <c r="ER16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0" s="43" t="n">
        <f aca="false">IF(NOT(Tasks[[#This Row],[_IsLeaf]]=1),0,MAX(_xlfn.MAXIFS(Tasks[_Row],Tasks[_Pred1UID],Tasks[[#This Row],[UID]]),_xlfn.MAXIFS(Tasks[_Row],Tasks[_Pred2UID],Tasks[[#This Row],[UID]]),_xlfn.MAXIFS(Tasks[_Row],Tasks[_Pred3UID],Tasks[[#This Row],[UID]]),_xlfn.MAXIFS(Tasks[_Row],Tasks[_Pred4UID],Tasks[[#This Row],[UID]])))</f>
        <v>0</v>
      </c>
      <c r="FA16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0" s="91" t="str">
        <f aca="false">IF(NOT(Tasks[[#This Row],[_IsLeaf]]=1),"",IF(N(Tasks[[#This Row],[_Days]])&lt;=0,Tasks[[#This Row],[_LeafLateFinish]],WORKDAY.INTL(Tasks[[#This Row],[_LeafLateFinish]],-(Tasks[[#This Row],[_Days]]-1),WorkWeek,Holidays)))</f>
        <v/>
      </c>
      <c r="FD16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0" s="90" t="b">
        <f aca="false">AND(Tasks[[#This Row],[_IsLeaf]]=1,Tasks[[#This Row],[_LeafProgress]]&lt;1,N(Tasks[[#This Row],[_LeafTotalSlack]])&lt;=CriticalSlackDays)</f>
        <v>0</v>
      </c>
      <c r="FF160" s="43" t="n">
        <f aca="false">IF(AND(Tasks[[#This Row],[_IsLeaf]]=1,Tasks[[#This Row],[_ConstraintCode]]=1,Tasks[[#This Row],[Mode]]&lt;&gt;"Manual",N(Tasks[[#This Row],[Actual Start]])=0),MAX(0,N(Tasks[[#This Row],[Free Slack]])),0)</f>
        <v>0</v>
      </c>
      <c r="FG160" s="91" t="str">
        <f aca="false">IF(NOT(Tasks[[#This Row],[_IsLeaf]]=1),"",IF(Tasks[[#This Row],[_AlapShift]]=0,Tasks[[#This Row],[_LeafCalcStart]],WORKDAY.INTL(Tasks[[#This Row],[_LeafCalcStart]],Tasks[[#This Row],[_AlapShift]],WorkWeek,Holidays)))</f>
        <v/>
      </c>
      <c r="FH160" s="91" t="str">
        <f aca="false">IF(NOT(Tasks[[#This Row],[_IsLeaf]]=1),"",IF(Tasks[[#This Row],[_AlapShift]]=0,Tasks[[#This Row],[_LeafCalcFinish]],WORKDAY.INTL(Tasks[[#This Row],[_LeafCalcFinish]],Tasks[[#This Row],[_AlapShift]],WorkWeek,Holidays)))</f>
        <v/>
      </c>
      <c r="FI160" s="91" t="str">
        <f aca="false">IF(NOT(Tasks[[#This Row],[_IsLeaf]]=1),"",IF(Tasks[[#This Row],[_AlapShift]]=0,Tasks[[#This Row],[_LeafFcstStart]],WORKDAY.INTL(Tasks[[#This Row],[_LeafFcstStart]],Tasks[[#This Row],[_AlapShift]],WorkWeek,Holidays)))</f>
        <v/>
      </c>
      <c r="FJ160" s="91" t="str">
        <f aca="false">IF(NOT(Tasks[[#This Row],[_IsLeaf]]=1),"",IF(Tasks[[#This Row],[_AlapShift]]=0,Tasks[[#This Row],[_LeafFcstFinish]],WORKDAY.INTL(Tasks[[#This Row],[_LeafFcstFinish]],Tasks[[#This Row],[_AlapShift]],WorkWeek,Holidays)))</f>
        <v/>
      </c>
      <c r="FK160" s="91" t="str">
        <f aca="false">IF(Tasks[[#This Row],[Task Name]]="","",IF(Tasks[[#This Row],[_IsSummary]],MIN(INDEX(Tasks[_ShownCalcStart],Tasks[[#This Row],[_Row]]+1):INDEX(Tasks[_ShownCalcStart],Tasks[[#This Row],[_Row]]+Tasks[[#This Row],[_Descendants]])),Tasks[[#This Row],[_ShownCalcStart]]))</f>
        <v/>
      </c>
      <c r="FL160" s="91" t="str">
        <f aca="false">IF(Tasks[[#This Row],[Task Name]]="","",IF(Tasks[[#This Row],[_IsSummary]],MAX(INDEX(Tasks[_ShownCalcFinish],Tasks[[#This Row],[_Row]]+1):INDEX(Tasks[_ShownCalcFinish],Tasks[[#This Row],[_Row]]+Tasks[[#This Row],[_Descendants]])),Tasks[[#This Row],[_ShownCalcFinish]]))</f>
        <v/>
      </c>
      <c r="FM16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0" s="43" t="n">
        <f aca="false">IF(AND(Tasks[[#This Row],[_IsLeaf]]=1,Tasks[[#This Row],[_LeafTotalWork]]&gt;0),NETWORKDAYS.INTL(ProjectStart,Tasks[[#This Row],[_ShownFcstStart]],WorkWeek,Holidays),0)</f>
        <v>0</v>
      </c>
      <c r="FZ160" s="43" t="n">
        <f aca="false">IF(AND(Tasks[[#This Row],[_IsLeaf]]=1,Tasks[[#This Row],[_LeafTotalWork]]&gt;0),MAX(Tasks[[#This Row],[_StartWorkday]],NETWORKDAYS.INTL(ProjectStart,Tasks[[#This Row],[_ShownFcstFinish]],WorkWeek,Holidays)),0)</f>
        <v>0</v>
      </c>
      <c r="GA160" s="43" t="n">
        <f aca="false">IF(AND(Tasks[[#This Row],[_IsLeaf]]=1,Tasks[[#This Row],[_LeafTotalWork]]&gt;0),Tasks[[#This Row],[_LeafWork]]/(Tasks[[#This Row],[_FinishWorkday]]-Tasks[[#This Row],[_StartWorkday]]+1),0)</f>
        <v>0</v>
      </c>
      <c r="GB160" s="43" t="n">
        <f aca="false">Tasks[[#This Row],[_WorkPerWorkday]]*(Tasks[[#This Row],[_StartWorkday]]-1)</f>
        <v>-0</v>
      </c>
      <c r="GC160" s="43" t="n">
        <f aca="false">IF(Tasks[[#This Row],[_IsLeaf]]=1,MAX(N(Tasks[[#This Row],[_Days]]),0.1),0)</f>
        <v>0</v>
      </c>
      <c r="GD160" s="43" t="n">
        <f aca="false">Tasks[[#This Row],[_WeightDur]]*Tasks[[#This Row],[_LeafProgress]]</f>
        <v>0</v>
      </c>
      <c r="GE160" s="43" t="n">
        <f aca="false">Tasks[[#This Row],[_WeightDur]]*Tasks[[#This Row],[_PlannedPct]]</f>
        <v>0</v>
      </c>
      <c r="GF16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0" s="43" t="str">
        <f aca="false">IF(AND(Tasks[[#This Row],[_IsLeaf]]=1,N(Tasks[[#This Row],[_Days]])=0,Tasks[[#This Row],[_LeafProgress]]&lt;1),Tasks[[#This Row],[_ShownFcstFinish]]+Tasks[[#This Row],[_Row]]/100000,"")</f>
        <v/>
      </c>
      <c r="GH16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0" s="43" t="str">
        <f aca="false">IF(Tasks[[#This Row],[Task Name]]="","",LEFT(Tasks[[#This Row],[WBS]],FIND(".",Tasks[[#This Row],[WBS]]&amp;".")-1))</f>
        <v/>
      </c>
      <c r="GJ160" s="43" t="str">
        <f aca="false">IF(AND(Tasks[[#This Row],[Task Name]]&lt;&gt;"",Tasks[[#This Row],[_Level]]=1),Tasks[[#This Row],[_Row]],"")</f>
        <v/>
      </c>
      <c r="GK160" s="43" t="str">
        <f aca="false">IF(AND(Tasks[[#This Row],[_IsLeaf]]=1,N(Tasks[[#This Row],[_Days]])=0),Tasks[[#This Row],[Planned Finish]]+Tasks[[#This Row],[_Row]]/100000,"")</f>
        <v/>
      </c>
      <c r="GL160" s="43" t="str">
        <f aca="false">IF(AND(Tasks[[#This Row],[_IsLeaf]]=1,Tasks[[#This Row],[_LeafProgress]]&lt;1,OR(N(Tasks[[#This Row],[Finish Var]])&gt;0,Tasks[[#This Row],[Status]]="Late Start")),MAX(0,Tasks[[#This Row],[Finish Var]])+1-Tasks[[#This Row],[_Row]]/1000000,"")</f>
        <v/>
      </c>
      <c r="GM160" s="43" t="str">
        <f aca="false">IF(AND(Tasks[[#This Row],[_IsLeaf]]=1,N(Tasks[[#This Row],[Actual Start]])=0,Tasks[[#This Row],[_ShownFcstStart]]&gt;=StatusDate,Tasks[[#This Row],[_ShownFcstStart]]&lt;=LookaheadEnd),Tasks[[#This Row],[_ShownFcstStart]]+Tasks[[#This Row],[_Row]]/100000,"")</f>
        <v/>
      </c>
      <c r="GN160" s="43" t="str">
        <f aca="false">IF(AND(Tasks[[#This Row],[_IsLeaf]]=1,Tasks[[#This Row],[_LeafProgress]]&lt;1,Tasks[[#This Row],[_ShownFcstFinish]]&gt;=StatusDate,Tasks[[#This Row],[_ShownFcstFinish]]&lt;=LookaheadEnd),Tasks[[#This Row],[_ShownFcstFinish]]+Tasks[[#This Row],[_Row]]/100000,"")</f>
        <v/>
      </c>
      <c r="GO160" s="43" t="str">
        <f aca="false">IF(Tasks[[#This Row],[_LeafCritical]],Tasks[[#This Row],[_ShownFcstStart]]+Tasks[[#This Row],[_Row]]/100000,"")</f>
        <v/>
      </c>
      <c r="GP160" s="43" t="n">
        <f aca="false">Tasks[[#This Row],[_LeafWork]]*Tasks[[#This Row],[_LeafProgress]]</f>
        <v>0</v>
      </c>
      <c r="GQ160" s="91" t="str">
        <f aca="false">IF(AND(Tasks[[#This Row],[_IsLeaf]]=1,Tasks[[#This Row],[_LeafProgress]]&gt;=1),IF(N(Tasks[[#This Row],[Actual Finish]])&gt;0,Tasks[[#This Row],[Actual Finish]],Tasks[[#This Row],[_ShownFcstFinish]]),"")</f>
        <v/>
      </c>
      <c r="GR160" s="43" t="n">
        <f aca="false">IF(Tasks[[#This Row],[_IsLeaf]]=1,N(Tasks[[#This Row],[Story Points]]),0)</f>
        <v>0</v>
      </c>
      <c r="GS160" s="43" t="str">
        <f aca="false">""</f>
        <v/>
      </c>
      <c r="GT160" s="90" t="b">
        <f aca="false">IF(Tasks[[#This Row],[Task Name]]="",FALSE(),AND(Tasks[[#This Row],[_IsLeaf]]=1,N(Tasks[[#This Row],[_Days]])=0))</f>
        <v>0</v>
      </c>
      <c r="GU160" s="91" t="n">
        <f aca="false">IF(Tasks[[#This Row],[Task Name]]="",0,IF(AND(Tasks[[#This Row],[_IsLeaf]]=1,NOT(Tasks[[#This Row],[_IsMilestone]]),N(Tasks[[#This Row],[Progress]])&gt;0),Tasks[[#This Row],[Start]],0))</f>
        <v>0</v>
      </c>
      <c r="GV160" s="91" t="n">
        <f aca="false">IF(Tasks[[#This Row],[_DoneFrom]]=0,0,IF(Tasks[[#This Row],[Progress]]&gt;=1,Tasks[[#This Row],[Finish]],MAX(Tasks[[#This Row],[_DoneFrom]],Tasks[[#This Row],[Start]]+ROUND((Tasks[[#This Row],[Finish]]-Tasks[[#This Row],[Start]]+1)*Tasks[[#This Row],[Progress]],0)-1)))</f>
        <v>0</v>
      </c>
      <c r="GW160" s="91" t="n">
        <f aca="false">IF(Tasks[[#This Row],[Task Name]]="",0,IF(OR(NOT(Tasks[[#This Row],[_IsLeaf]]=1),Tasks[[#This Row],[_IsMilestone]],N(Tasks[[#This Row],[Progress]])&gt;=1),0,IF(Tasks[[#This Row],[_DoneTo]]&gt;0,Tasks[[#This Row],[_DoneTo]]+1,Tasks[[#This Row],[Start]])))</f>
        <v>0</v>
      </c>
      <c r="GX160" s="91" t="n">
        <f aca="false">IF(Tasks[[#This Row],[_RemFrom]]=0,0,Tasks[[#This Row],[Finish]])</f>
        <v>0</v>
      </c>
      <c r="GY160" s="90" t="b">
        <f aca="false">IF(Tasks[[#This Row],[Task Name]]="",FALSE(),OR(NOT(BaselineSet),N(Tasks[[#This Row],[Baseline Start]])&gt;0))</f>
        <v>0</v>
      </c>
      <c r="GZ16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0" s="92" t="str">
        <f aca="false">IF(Tasks[[#This Row],[_IsLeaf]]=1,Tasks[[#This Row],[_Row]],"")</f>
        <v/>
      </c>
      <c r="HD160" s="92" t="str">
        <f aca="false">IFERROR(INDEX(Tasks[UID],SMALL(Tasks[_PickKey],Tasks[[#This Row],[_Row]]))&amp;" "&amp;INDEX(Tasks[Task Name],SMALL(Tasks[_PickKey],Tasks[[#This Row],[_Row]])),"")</f>
        <v/>
      </c>
      <c r="HE160" s="43" t="str">
        <f aca="false">IF(Tasks[[#This Row],[Task Name]]="","",IF(Tasks[[#This Row],[_IsSummary]],NETWORKDAYS.INTL(Tasks[[#This Row],[Start]],Tasks[[#This Row],[Finish]],WorkWeek,Holidays),N(Tasks[[#This Row],[_Days]])))</f>
        <v/>
      </c>
      <c r="HF160" s="43" t="n">
        <f aca="false">IF(Tasks[[#This Row],[Expected]]="",0,((Tasks[[#This Row],[Pessimistic]]-Tasks[[#This Row],[Optimistic]])/6)^2)</f>
        <v>0</v>
      </c>
      <c r="HG160" s="43" t="n">
        <f aca="false">IF(Tasks[[#This Row],[Expected]]="",0,Tasks[[#This Row],[Expected]]-N(Tasks[[#This Row],[_Days]]))</f>
        <v>0</v>
      </c>
    </row>
    <row r="161" customFormat="false" ht="15" hidden="false" customHeight="false" outlineLevel="0" collapsed="false">
      <c r="A161" s="21" t="str">
        <f aca="false">IF(Tasks[[#This Row],[Task Name]]="","",COUNTA(Tasks[[#Headers],[Task Name]]:Tasks[[#This Row],[Task Name]])-1)</f>
        <v/>
      </c>
      <c r="B161" s="22" t="n">
        <v>169</v>
      </c>
      <c r="C161" s="22"/>
      <c r="D161" s="23"/>
      <c r="E161" s="22"/>
      <c r="F161" s="23"/>
      <c r="G161" s="22"/>
      <c r="H161" s="22"/>
      <c r="I161" s="23"/>
      <c r="J161" s="22"/>
      <c r="K161" s="22"/>
      <c r="L161" s="23"/>
      <c r="M161" s="22"/>
      <c r="N161" s="22"/>
      <c r="O161" s="23"/>
      <c r="P161" s="22"/>
      <c r="Q161" s="22"/>
      <c r="R161" s="23"/>
      <c r="S161" s="23"/>
      <c r="T161" s="84"/>
      <c r="U161" s="23"/>
      <c r="V161" s="84"/>
      <c r="W161" s="23"/>
      <c r="X161" s="84"/>
      <c r="Y161" s="23"/>
      <c r="Z161" s="84"/>
      <c r="AA161" s="23"/>
      <c r="AB161" s="23"/>
      <c r="AC161" s="7"/>
      <c r="AD161" s="7"/>
      <c r="AE161" s="63" t="str">
        <f aca="false">IF(Tasks[[#This Row],[Task Name]]="","",IF(Tasks[[#This Row],[_IsSummary]],MIN(INDEX(Tasks[_ShownFcstStart],Tasks[[#This Row],[_Row]]+1):INDEX(Tasks[_ShownFcstStart],Tasks[[#This Row],[_Row]]+Tasks[[#This Row],[_Descendants]])),Tasks[[#This Row],[_ShownFcstStart]]))</f>
        <v/>
      </c>
      <c r="AF161" s="63" t="str">
        <f aca="false">IF(Tasks[[#This Row],[Task Name]]="","",IF(Tasks[[#This Row],[_IsSummary]],MAX(INDEX(Tasks[_ShownFcstFinish],Tasks[[#This Row],[_Row]]+1):INDEX(Tasks[_ShownFcstFinish],Tasks[[#This Row],[_Row]]+Tasks[[#This Row],[_Descendants]])),Tasks[[#This Row],[_ShownFcstFinish]]))</f>
        <v/>
      </c>
      <c r="AG161" s="21" t="str">
        <f aca="false">""</f>
        <v/>
      </c>
      <c r="AH161" s="23"/>
      <c r="AI1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1" s="7"/>
      <c r="AK161" s="22"/>
      <c r="AL161" s="23"/>
      <c r="AM161" s="7"/>
      <c r="AN161" s="47" t="str">
        <f aca="false">IF(Tasks[[#This Row],[Task Name]]="","",IF(Tasks[[#This Row],[Finish]]&gt;=Tasks[[#This Row],[Planned Finish]],NETWORKDAYS.INTL(Tasks[[#This Row],[Planned Finish]],Tasks[[#This Row],[Finish]],WorkWeek,Holidays)-1,1-NETWORKDAYS.INTL(Tasks[[#This Row],[Finish]],Tasks[[#This Row],[Planned Finish]],WorkWeek,Holidays)))</f>
        <v/>
      </c>
      <c r="AO161" s="21" t="str">
        <f aca="false">IF(Tasks[[#This Row],[Task Name]]="","",IF(Tasks[[#This Row],[Progress]]&gt;=1,"Complete",IF(OR(N(Tasks[[#This Row],[Actual Start]])&gt;0,Tasks[[#This Row],[Progress]]&gt;0),IF(Tasks[[#This Row],[Finish Var]]&gt;0,"Behind","In Progress"),IF(Tasks[[#This Row],[Planned Start]]&lt;StatusDate,"Late Start","Not Started"))))</f>
        <v/>
      </c>
      <c r="AP161" s="21" t="str">
        <f aca="false">IF(Tasks[[#This Row],[Task Name]]="","",IF(IF(Tasks[[#This Row],[_IsSummary]],COUNTIF(INDEX(Tasks[_LeafCritical],Tasks[[#This Row],[_Row]]+1):INDEX(Tasks[_LeafCritical],Tasks[[#This Row],[_Row]]+Tasks[[#This Row],[_Descendants]]),TRUE())&gt;0,Tasks[[#This Row],[_LeafCritical]]),"Yes",""))</f>
        <v/>
      </c>
      <c r="AQ161" s="63" t="str">
        <f aca="false">IF(Tasks[[#This Row],[Task Name]]="","",IF(N(Tasks[[#This Row],[Baseline Start]])&gt;0,Tasks[[#This Row],[Baseline Start]],Tasks[[#This Row],[_CalcStart]]))</f>
        <v/>
      </c>
      <c r="AR161" s="63" t="str">
        <f aca="false">IF(Tasks[[#This Row],[Task Name]]="","",IF(N(Tasks[[#This Row],[Baseline Finish]])&gt;0,Tasks[[#This Row],[Baseline Finish]],Tasks[[#This Row],[_CalcFinish]]))</f>
        <v/>
      </c>
      <c r="AS161" s="47" t="str">
        <f aca="false">IF(Tasks[[#This Row],[Task Name]]="","",IF(Tasks[[#This Row],[Start]]&gt;=Tasks[[#This Row],[Planned Start]],NETWORKDAYS.INTL(Tasks[[#This Row],[Planned Start]],Tasks[[#This Row],[Start]],WorkWeek,Holidays)-1,1-NETWORKDAYS.INTL(Tasks[[#This Row],[Start]],Tasks[[#This Row],[Planned Start]],WorkWeek,Holidays)))</f>
        <v/>
      </c>
      <c r="AT161" s="63" t="str">
        <f aca="false">IF(Tasks[[#This Row],[Task Name]]="","",IF(Tasks[[#This Row],[_IsSummary]],MIN(INDEX(Tasks[_LeafLateStart],Tasks[[#This Row],[_Row]]+1):INDEX(Tasks[_LeafLateStart],Tasks[[#This Row],[_Row]]+Tasks[[#This Row],[_Descendants]])),Tasks[[#This Row],[_LeafLateStart]]))</f>
        <v/>
      </c>
      <c r="AU161" s="63" t="str">
        <f aca="false">IF(Tasks[[#This Row],[Task Name]]="","",IF(Tasks[[#This Row],[_IsSummary]],MAX(INDEX(Tasks[_LeafLateFinish],Tasks[[#This Row],[_Row]]+1):INDEX(Tasks[_LeafLateFinish],Tasks[[#This Row],[_Row]]+Tasks[[#This Row],[_Descendants]])),Tasks[[#This Row],[_LeafLateFinish]]))</f>
        <v/>
      </c>
      <c r="AV161" s="47" t="str">
        <f aca="false">IF(Tasks[[#This Row],[Task Name]]="","",IF(Tasks[[#This Row],[_IsSummary]],MIN(INDEX(Tasks[_LeafTotalSlack],Tasks[[#This Row],[_Row]]+1):INDEX(Tasks[_LeafTotalSlack],Tasks[[#This Row],[_Row]]+Tasks[[#This Row],[_Descendants]])),Tasks[[#This Row],[_LeafTotalSlack]]))</f>
        <v/>
      </c>
      <c r="AW1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5"/>
      <c r="BA16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1" t="str">
        <f aca="false">IF(Tasks[[#This Row],[Task Name]]="","",IF(Tasks[[#This Row],[_Level]]&lt;=OutlineShowLevel,"Yes","No"))</f>
        <v/>
      </c>
      <c r="BE161" s="86" t="str">
        <f aca="false">IF(Tasks[[#This Row],[Task Name]]="","",IF(Tasks[[#This Row],[_IsSummary]],SUM(INDEX(Tasks[_LeafTotalWork],Tasks[[#This Row],[_Row]]+1):INDEX(Tasks[_LeafTotalWork],Tasks[[#This Row],[_Row]]+Tasks[[#This Row],[_Descendants]])),Tasks[[#This Row],[_LeafTotalWork]]))</f>
        <v/>
      </c>
      <c r="BF161" s="23"/>
      <c r="BG1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1" s="21" t="str">
        <f aca="false">""</f>
        <v/>
      </c>
      <c r="BI161" s="87"/>
      <c r="BJ161" s="22"/>
      <c r="BK161" s="47" t="str">
        <f aca="false">IF(OR(Tasks[[#This Row],[Task Name]]="",Tasks[[#This Row],[Baseline Duration]]=""),"",Tasks[[#This Row],[_SpanDays]]-N(Tasks[[#This Row],[Baseline Duration]]))</f>
        <v/>
      </c>
      <c r="BL161" s="86" t="str">
        <f aca="false">IF(OR(Tasks[[#This Row],[Task Name]]="",Tasks[[#This Row],[Baseline Work]]=""),"",Tasks[[#This Row],[Work]]-N(Tasks[[#This Row],[Baseline Work]]))</f>
        <v/>
      </c>
      <c r="BM161" s="63" t="str">
        <f aca="false">IF(Tasks[[#This Row],[Task Name]]="","",IF(OR(TakeBaseline="Yes",N(Tasks[[#This Row],[Baseline Start]])=0),Tasks[[#This Row],[Start]],Tasks[[#This Row],[Baseline Start]]))</f>
        <v/>
      </c>
      <c r="BN161" s="63" t="str">
        <f aca="false">IF(Tasks[[#This Row],[Task Name]]="","",IF(OR(TakeBaseline="Yes",N(Tasks[[#This Row],[Baseline Finish]])=0),Tasks[[#This Row],[Finish]],Tasks[[#This Row],[Baseline Finish]]))</f>
        <v/>
      </c>
      <c r="BO161" s="21" t="str">
        <f aca="false">IF(Tasks[[#This Row],[Task Name]]="","",IF(OR(TakeBaseline="Yes",N(Tasks[[#This Row],[Baseline Duration]])=0),Tasks[[#This Row],[_SpanDays]],Tasks[[#This Row],[Baseline Duration]]))</f>
        <v/>
      </c>
      <c r="BP161" s="86" t="str">
        <f aca="false">IF(Tasks[[#This Row],[Task Name]]="","",IF(OR(TakeBaseline="Yes",N(Tasks[[#This Row],[Baseline Work]])=0),Tasks[[#This Row],[Work]],Tasks[[#This Row],[Baseline Work]]))</f>
        <v/>
      </c>
      <c r="BQ161" s="7"/>
      <c r="BR161" s="7"/>
      <c r="BS161" s="22"/>
      <c r="BT161" s="88"/>
      <c r="BU161" s="23"/>
      <c r="BV161" s="23"/>
      <c r="BW161" s="23"/>
      <c r="BX161" s="89" t="str">
        <f aca="false">IF(AND(Tasks[[#This Row],[_IsLeaf]]=1,ISNUMBER(Tasks[[#This Row],[Optimistic]]),ISNUMBER(Tasks[[#This Row],[Pessimistic]])),ROUND((Tasks[[#This Row],[Optimistic]]+4*N(Tasks[[#This Row],[_Days]])+Tasks[[#This Row],[Pessimistic]])/6,1),"")</f>
        <v/>
      </c>
      <c r="BY161" s="87"/>
      <c r="BZ161" s="87"/>
      <c r="CA161" s="22"/>
      <c r="CB161" s="43" t="str">
        <f aca="false">IF(Tasks[[#This Row],[Task Name]]="","",MAX(1,N(Tasks[[#This Row],[Level]])))</f>
        <v/>
      </c>
      <c r="CC161" s="43" t="n">
        <f aca="false">ROW()-ROW(Tasks[[#Headers],[ID]])</f>
        <v>156</v>
      </c>
      <c r="CD161" s="43" t="n">
        <f aca="false">IF(OR(Tasks[[#This Row],[Task Name]]="",Tasks[[#This Row],[_Level]]&lt;=1),0,IFERROR(LOOKUP(2,1/(Tasks[[#Headers],[_Level]]:Tasks[[#This Row],[_Level]]=Tasks[[#This Row],[_Level]]-1),ROW(Tasks[[#Headers],[_Level]]:Tasks[[#This Row],[_Level]])),0))</f>
        <v>0</v>
      </c>
      <c r="CE161" s="43" t="n">
        <f aca="false">IFERROR(N(INDEX(Tasks[_Level],Tasks[[#This Row],[_Row]]+1)),0)</f>
        <v>0</v>
      </c>
      <c r="CF161" s="90" t="b">
        <f aca="false">AND(Tasks[[#This Row],[Task Name]]&lt;&gt;"",Tasks[[#This Row],[_NextLevel]]&gt;Tasks[[#This Row],[_Level]])</f>
        <v>0</v>
      </c>
      <c r="CG161" s="43" t="n">
        <f aca="false">IF(Tasks[[#This Row],[_IsSummary]],COUNTIF(Tasks[WBS],Tasks[[#This Row],[WBS]]&amp;".*"),0)</f>
        <v>0</v>
      </c>
      <c r="CH161" s="43" t="n">
        <f aca="false">IF(AND(Tasks[[#This Row],[Task Name]]&lt;&gt;"",NOT(Tasks[[#This Row],[_IsSummary]])),1,0)</f>
        <v>0</v>
      </c>
      <c r="CI161" s="43" t="n">
        <f aca="false">IF(N(Tasks[[#This Row],[_Pred1UID]])=0,0,IFERROR(MATCH(Tasks[[#This Row],[_Pred1UID]],Tasks[UID],0),-1))</f>
        <v>0</v>
      </c>
      <c r="CJ161" s="43" t="n">
        <f aca="false">IF(N(Tasks[[#This Row],[_Pred2UID]])=0,0,IFERROR(MATCH(Tasks[[#This Row],[_Pred2UID]],Tasks[UID],0),-1))</f>
        <v>0</v>
      </c>
      <c r="CK161" s="43" t="n">
        <f aca="false">IF(N(Tasks[[#This Row],[_Pred3UID]])=0,0,IFERROR(MATCH(Tasks[[#This Row],[_Pred3UID]],Tasks[UID],0),-1))</f>
        <v>0</v>
      </c>
      <c r="CL161" s="43" t="n">
        <f aca="false">IF(N(Tasks[[#This Row],[_Pred4UID]])=0,0,IFERROR(MATCH(Tasks[[#This Row],[_Pred4UID]],Tasks[UID],0),-1))</f>
        <v>0</v>
      </c>
      <c r="CM16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1" s="91" t="n">
        <f aca="false">IF(OR(Tasks[[#This Row],[_ConstraintCode]]=2,Tasks[[#This Row],[_ConstraintCode]]=3,Tasks[[#This Row],[_ConstraintCode]]=4,Tasks[[#This Row],[_ConstraintCode]]=6),Tasks[[#This Row],[_ConstraintStart]],0)</f>
        <v>0</v>
      </c>
      <c r="CP161" s="91" t="n">
        <f aca="false">IF(OR(Tasks[[#This Row],[_ConstraintCode]]=2,Tasks[[#This Row],[_ConstraintCode]]=3,Tasks[[#This Row],[_ConstraintCode]]=5,Tasks[[#This Row],[_ConstraintCode]]=7),Tasks[[#This Row],[_ConstraintStart]],2958465)</f>
        <v>2958465</v>
      </c>
      <c r="CQ16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1" s="91" t="str">
        <f aca="false">IF(NOT(Tasks[[#This Row],[_IsLeaf]]=1),"",IF(N(Tasks[[#This Row],[_Days]])&lt;=0,Tasks[[#This Row],[_LeafCalcStart]],WORKDAY.INTL(Tasks[[#This Row],[_LeafCalcStart]],Tasks[[#This Row],[_Days]]-1,WorkWeek,Holidays)))</f>
        <v/>
      </c>
      <c r="CS16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1" s="43" t="str">
        <f aca="false">IF(Tasks[[#This Row],[_Predecessors]]="","",TRIM(MID(SUBSTITUTE(SUBSTITUTE(SUBSTITUTE(UPPER(Tasks[[#This Row],[_Predecessors]]),";",",")," ",""),",",REPT(" ",99)),1,99)))</f>
        <v/>
      </c>
      <c r="CV161" s="43" t="str">
        <f aca="false">IF(Tasks[[#This Row],[_Pred1Text]]="","",IFERROR(VALUE(LEFT(Tasks[[#This Row],[_Pred1Text]],MIN(FIND("F",Tasks[[#This Row],[_Pred1Text]]&amp;"F"),FIND("S",Tasks[[#This Row],[_Pred1Text]]&amp;"S"),FIND("+",Tasks[[#This Row],[_Pred1Text]]&amp;"+"),FIND("-",Tasks[[#This Row],[_Pred1Text]]&amp;"-"))-1)),""))</f>
        <v/>
      </c>
      <c r="CW16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1" s="43" t="str">
        <f aca="false">IF(Tasks[[#This Row],[_Pred1Text]]="","",TRIM(MID(SUBSTITUTE(SUBSTITUTE(SUBSTITUTE(UPPER(Tasks[[#This Row],[_Predecessors]]),";",",")," ",""),",",REPT(" ",99)),100,99)))</f>
        <v/>
      </c>
      <c r="CZ161" s="43" t="str">
        <f aca="false">IF(Tasks[[#This Row],[_Pred2Text]]="","",IFERROR(VALUE(LEFT(Tasks[[#This Row],[_Pred2Text]],MIN(FIND("F",Tasks[[#This Row],[_Pred2Text]]&amp;"F"),FIND("S",Tasks[[#This Row],[_Pred2Text]]&amp;"S"),FIND("+",Tasks[[#This Row],[_Pred2Text]]&amp;"+"),FIND("-",Tasks[[#This Row],[_Pred2Text]]&amp;"-"))-1)),""))</f>
        <v/>
      </c>
      <c r="DA16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1" s="43" t="str">
        <f aca="false">IF(Tasks[[#This Row],[_Pred2Text]]="","",TRIM(MID(SUBSTITUTE(SUBSTITUTE(SUBSTITUTE(UPPER(Tasks[[#This Row],[_Predecessors]]),";",",")," ",""),",",REPT(" ",99)),199,99)))</f>
        <v/>
      </c>
      <c r="DD161" s="43" t="str">
        <f aca="false">IF(Tasks[[#This Row],[_Pred3Text]]="","",IFERROR(VALUE(LEFT(Tasks[[#This Row],[_Pred3Text]],MIN(FIND("F",Tasks[[#This Row],[_Pred3Text]]&amp;"F"),FIND("S",Tasks[[#This Row],[_Pred3Text]]&amp;"S"),FIND("+",Tasks[[#This Row],[_Pred3Text]]&amp;"+"),FIND("-",Tasks[[#This Row],[_Pred3Text]]&amp;"-"))-1)),""))</f>
        <v/>
      </c>
      <c r="DE16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1" s="43" t="str">
        <f aca="false">IF(Tasks[[#This Row],[_Pred3Text]]="","",TRIM(MID(SUBSTITUTE(SUBSTITUTE(SUBSTITUTE(UPPER(Tasks[[#This Row],[_Predecessors]]),";",",")," ",""),",",REPT(" ",99)),298,99)))</f>
        <v/>
      </c>
      <c r="DH161" s="43" t="str">
        <f aca="false">IF(Tasks[[#This Row],[_Pred4Text]]="","",IFERROR(VALUE(LEFT(Tasks[[#This Row],[_Pred4Text]],MIN(FIND("F",Tasks[[#This Row],[_Pred4Text]]&amp;"F"),FIND("S",Tasks[[#This Row],[_Pred4Text]]&amp;"S"),FIND("+",Tasks[[#This Row],[_Pred4Text]]&amp;"+"),FIND("-",Tasks[[#This Row],[_Pred4Text]]&amp;"-"))-1)),""))</f>
        <v/>
      </c>
      <c r="DI16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1" s="43" t="str">
        <f aca="false">IF(OR(Tasks[[#This Row],[Task Name]]="",Tasks[[#This Row],[_Resources]]=""),"",TRIM(MID(SUBSTITUTE(Tasks[[#This Row],[_Resources]],",",REPT(" ",99)),1,99)))</f>
        <v/>
      </c>
      <c r="DL161" s="43" t="str">
        <f aca="false">IF(Tasks[[#This Row],[_Res1Text]]="","",TRIM(MID(SUBSTITUTE(Tasks[[#This Row],[_Resources]],",",REPT(" ",99)),100,99)))</f>
        <v/>
      </c>
      <c r="DM161" s="43" t="str">
        <f aca="false">IF(Tasks[[#This Row],[_Res2Text]]="","",TRIM(MID(SUBSTITUTE(Tasks[[#This Row],[_Resources]],",",REPT(" ",99)),199,99)))</f>
        <v/>
      </c>
      <c r="DN161" s="43" t="str">
        <f aca="false">IF(Tasks[[#This Row],[_Res3Text]]="","",TRIM(MID(SUBSTITUTE(Tasks[[#This Row],[_Resources]],",",REPT(" ",99)),298,99)))</f>
        <v/>
      </c>
      <c r="DO161" s="43" t="n">
        <f aca="false">IF(Tasks[[#This Row],[_Res1Text]]="",0,IFERROR(MATCH(TRIM(LEFT(Tasks[[#This Row],[_Res1Text]],FIND("[",Tasks[[#This Row],[_Res1Text]]&amp;"[")-1)),res_Name,0),IFERROR(MATCH(TRIM(LEFT(Tasks[[#This Row],[_Res1Text]],FIND("[",Tasks[[#This Row],[_Res1Text]]&amp;"[")-1)),res_Initials,0),0)))</f>
        <v>0</v>
      </c>
      <c r="DP161" s="43" t="n">
        <f aca="false">IF(Tasks[[#This Row],[_Res2Text]]="",0,IFERROR(MATCH(TRIM(LEFT(Tasks[[#This Row],[_Res2Text]],FIND("[",Tasks[[#This Row],[_Res2Text]]&amp;"[")-1)),res_Name,0),IFERROR(MATCH(TRIM(LEFT(Tasks[[#This Row],[_Res2Text]],FIND("[",Tasks[[#This Row],[_Res2Text]]&amp;"[")-1)),res_Initials,0),0)))</f>
        <v>0</v>
      </c>
      <c r="DQ161" s="43" t="n">
        <f aca="false">IF(Tasks[[#This Row],[_Res3Text]]="",0,IFERROR(MATCH(TRIM(LEFT(Tasks[[#This Row],[_Res3Text]],FIND("[",Tasks[[#This Row],[_Res3Text]]&amp;"[")-1)),res_Name,0),IFERROR(MATCH(TRIM(LEFT(Tasks[[#This Row],[_Res3Text]],FIND("[",Tasks[[#This Row],[_Res3Text]]&amp;"[")-1)),res_Initials,0),0)))</f>
        <v>0</v>
      </c>
      <c r="DR161" s="43" t="n">
        <f aca="false">IF(Tasks[[#This Row],[_Res4Text]]="",0,IFERROR(MATCH(TRIM(LEFT(Tasks[[#This Row],[_Res4Text]],FIND("[",Tasks[[#This Row],[_Res4Text]]&amp;"[")-1)),res_Name,0),IFERROR(MATCH(TRIM(LEFT(Tasks[[#This Row],[_Res4Text]],FIND("[",Tasks[[#This Row],[_Res4Text]]&amp;"[")-1)),res_Initials,0),0)))</f>
        <v>0</v>
      </c>
      <c r="DS161" s="43" t="str">
        <f aca="false">IF(Tasks[[#This Row],[_Res1Text]]="","",IF(Tasks[[#This Row],[_Res1Row]]&gt;0,INDEX(res_Name,Tasks[[#This Row],[_Res1Row]]),TRIM(LEFT(Tasks[[#This Row],[_Res1Text]],FIND("[",Tasks[[#This Row],[_Res1Text]]&amp;"[")-1))))</f>
        <v/>
      </c>
      <c r="DT16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1" s="43" t="n">
        <f aca="false">IF(NOT(Tasks[[#This Row],[_IsLeaf]]=1),0,(Tasks[[#This Row],[_Resource1]]&lt;&gt;"")+(Tasks[[#This Row],[_Res2]]&lt;&gt;"")+(Tasks[[#This Row],[_Res3]]&lt;&gt;"")+(Tasks[[#This Row],[_Res4]]&lt;&gt;""))</f>
        <v>0</v>
      </c>
      <c r="DV161" s="43" t="str">
        <f aca="false">IF(Tasks[[#This Row],[_Res2Text]]="","",IF(Tasks[[#This Row],[_Res2Row]]&gt;0,INDEX(res_Name,Tasks[[#This Row],[_Res2Row]]),TRIM(LEFT(Tasks[[#This Row],[_Res2Text]],FIND("[",Tasks[[#This Row],[_Res2Text]]&amp;"[")-1))))</f>
        <v/>
      </c>
      <c r="DW16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1" s="43" t="n">
        <f aca="false">IF(OR(NOT(Tasks[[#This Row],[_IsLeaf]]=1),Tasks[[#This Row],[_Res2Row]]=0),0,N(Tasks[[#This Row],[_Days]])*HoursPerDay*IF(Tasks[[#This Row],[_Res2Units]]="",DefaultUnits,Tasks[[#This Row],[_Res2Units]]))</f>
        <v>0</v>
      </c>
      <c r="DY161" s="43" t="n">
        <f aca="false">IF(AND(AND(Tasks[[#This Row],[_IsLeaf]]=1,Tasks[[#This Row],[_LeafTotalWork]]&gt;0),Tasks[[#This Row],[_Res2Work]]&gt;0),Tasks[[#This Row],[_Res2Work]]/(Tasks[[#This Row],[_FinishWorkday]]-Tasks[[#This Row],[_StartWorkday]]+1),0)</f>
        <v>0</v>
      </c>
      <c r="DZ161" s="43" t="n">
        <f aca="false">Tasks[[#This Row],[_Res2WorkPerWD]]*MAX(0,Tasks[[#This Row],[_StartWorkday]]-1)</f>
        <v>0</v>
      </c>
      <c r="EA161" s="43" t="n">
        <f aca="false">Tasks[[#This Row],[_Res2Work]]*Tasks[[#This Row],[_LeafProgress]]</f>
        <v>0</v>
      </c>
      <c r="EB161" s="43" t="str">
        <f aca="false">IF(Tasks[[#This Row],[_Res3Text]]="","",IF(Tasks[[#This Row],[_Res3Row]]&gt;0,INDEX(res_Name,Tasks[[#This Row],[_Res3Row]]),TRIM(LEFT(Tasks[[#This Row],[_Res3Text]],FIND("[",Tasks[[#This Row],[_Res3Text]]&amp;"[")-1))))</f>
        <v/>
      </c>
      <c r="EC16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1" s="43" t="n">
        <f aca="false">IF(OR(NOT(Tasks[[#This Row],[_IsLeaf]]=1),Tasks[[#This Row],[_Res3Row]]=0),0,N(Tasks[[#This Row],[_Days]])*HoursPerDay*IF(Tasks[[#This Row],[_Res3Units]]="",DefaultUnits,Tasks[[#This Row],[_Res3Units]]))</f>
        <v>0</v>
      </c>
      <c r="EE161" s="43" t="n">
        <f aca="false">IF(AND(AND(Tasks[[#This Row],[_IsLeaf]]=1,Tasks[[#This Row],[_LeafTotalWork]]&gt;0),Tasks[[#This Row],[_Res3Work]]&gt;0),Tasks[[#This Row],[_Res3Work]]/(Tasks[[#This Row],[_FinishWorkday]]-Tasks[[#This Row],[_StartWorkday]]+1),0)</f>
        <v>0</v>
      </c>
      <c r="EF161" s="43" t="n">
        <f aca="false">Tasks[[#This Row],[_Res3WorkPerWD]]*MAX(0,Tasks[[#This Row],[_StartWorkday]]-1)</f>
        <v>0</v>
      </c>
      <c r="EG161" s="43" t="n">
        <f aca="false">Tasks[[#This Row],[_Res3Work]]*Tasks[[#This Row],[_LeafProgress]]</f>
        <v>0</v>
      </c>
      <c r="EH161" s="43" t="str">
        <f aca="false">IF(Tasks[[#This Row],[_Res4Text]]="","",IF(Tasks[[#This Row],[_Res4Row]]&gt;0,INDEX(res_Name,Tasks[[#This Row],[_Res4Row]]),TRIM(LEFT(Tasks[[#This Row],[_Res4Text]],FIND("[",Tasks[[#This Row],[_Res4Text]]&amp;"[")-1))))</f>
        <v/>
      </c>
      <c r="EI16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1" s="43" t="n">
        <f aca="false">IF(OR(NOT(Tasks[[#This Row],[_IsLeaf]]=1),Tasks[[#This Row],[_Res4Row]]=0),0,N(Tasks[[#This Row],[_Days]])*HoursPerDay*IF(Tasks[[#This Row],[_Res4Units]]="",DefaultUnits,Tasks[[#This Row],[_Res4Units]]))</f>
        <v>0</v>
      </c>
      <c r="EK161" s="43" t="n">
        <f aca="false">IF(AND(AND(Tasks[[#This Row],[_IsLeaf]]=1,Tasks[[#This Row],[_LeafTotalWork]]&gt;0),Tasks[[#This Row],[_Res4Work]]&gt;0),Tasks[[#This Row],[_Res4Work]]/(Tasks[[#This Row],[_FinishWorkday]]-Tasks[[#This Row],[_StartWorkday]]+1),0)</f>
        <v>0</v>
      </c>
      <c r="EL161" s="43" t="n">
        <f aca="false">Tasks[[#This Row],[_Res4WorkPerWD]]*MAX(0,Tasks[[#This Row],[_StartWorkday]]-1)</f>
        <v>0</v>
      </c>
      <c r="EM161" s="43" t="n">
        <f aca="false">Tasks[[#This Row],[_Res4Work]]*Tasks[[#This Row],[_LeafProgress]]</f>
        <v>0</v>
      </c>
      <c r="EN161" s="43" t="n">
        <f aca="false">IF(ISNUMBER(Tasks[[#This Row],[% Complete]]),Tasks[[#This Row],[% Complete]],IF(Tasks[[#This Row],[Stage]]="",0,IFERROR(INDEX(stg_Pct,MATCH(Tasks[[#This Row],[Stage]],stg_Name,0)),0)))</f>
        <v>0</v>
      </c>
      <c r="EO161" s="43" t="n">
        <f aca="false">IF(NOT(Tasks[[#This Row],[_IsLeaf]]=1),0,IF(N(Tasks[[#This Row],[Actual Finish]])&gt;0,1,MIN(1,Tasks[[#This Row],[_Pct]])))</f>
        <v>0</v>
      </c>
      <c r="EP161" s="43" t="n">
        <f aca="false">IF(OR(NOT(Tasks[[#This Row],[_IsLeaf]]=1),Tasks[[#This Row],[_Res1Row]]=0),0,N(Tasks[[#This Row],[_Days]])*HoursPerDay*IF(Tasks[[#This Row],[_Units1]]="",DefaultUnits,Tasks[[#This Row],[_Units1]]))</f>
        <v>0</v>
      </c>
      <c r="EQ161" s="43" t="n">
        <f aca="false">Tasks[[#This Row],[_LeafWork]]+Tasks[[#This Row],[_Res2Work]]+Tasks[[#This Row],[_Res3Work]]+Tasks[[#This Row],[_Res4Work]]</f>
        <v>0</v>
      </c>
      <c r="ER16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1" s="43" t="n">
        <f aca="false">IF(NOT(Tasks[[#This Row],[_IsLeaf]]=1),0,MAX(_xlfn.MAXIFS(Tasks[_Row],Tasks[_Pred1UID],Tasks[[#This Row],[UID]]),_xlfn.MAXIFS(Tasks[_Row],Tasks[_Pred2UID],Tasks[[#This Row],[UID]]),_xlfn.MAXIFS(Tasks[_Row],Tasks[_Pred3UID],Tasks[[#This Row],[UID]]),_xlfn.MAXIFS(Tasks[_Row],Tasks[_Pred4UID],Tasks[[#This Row],[UID]])))</f>
        <v>0</v>
      </c>
      <c r="FA16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1" s="91" t="str">
        <f aca="false">IF(NOT(Tasks[[#This Row],[_IsLeaf]]=1),"",IF(N(Tasks[[#This Row],[_Days]])&lt;=0,Tasks[[#This Row],[_LeafLateFinish]],WORKDAY.INTL(Tasks[[#This Row],[_LeafLateFinish]],-(Tasks[[#This Row],[_Days]]-1),WorkWeek,Holidays)))</f>
        <v/>
      </c>
      <c r="FD16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1" s="90" t="b">
        <f aca="false">AND(Tasks[[#This Row],[_IsLeaf]]=1,Tasks[[#This Row],[_LeafProgress]]&lt;1,N(Tasks[[#This Row],[_LeafTotalSlack]])&lt;=CriticalSlackDays)</f>
        <v>0</v>
      </c>
      <c r="FF161" s="43" t="n">
        <f aca="false">IF(AND(Tasks[[#This Row],[_IsLeaf]]=1,Tasks[[#This Row],[_ConstraintCode]]=1,Tasks[[#This Row],[Mode]]&lt;&gt;"Manual",N(Tasks[[#This Row],[Actual Start]])=0),MAX(0,N(Tasks[[#This Row],[Free Slack]])),0)</f>
        <v>0</v>
      </c>
      <c r="FG161" s="91" t="str">
        <f aca="false">IF(NOT(Tasks[[#This Row],[_IsLeaf]]=1),"",IF(Tasks[[#This Row],[_AlapShift]]=0,Tasks[[#This Row],[_LeafCalcStart]],WORKDAY.INTL(Tasks[[#This Row],[_LeafCalcStart]],Tasks[[#This Row],[_AlapShift]],WorkWeek,Holidays)))</f>
        <v/>
      </c>
      <c r="FH161" s="91" t="str">
        <f aca="false">IF(NOT(Tasks[[#This Row],[_IsLeaf]]=1),"",IF(Tasks[[#This Row],[_AlapShift]]=0,Tasks[[#This Row],[_LeafCalcFinish]],WORKDAY.INTL(Tasks[[#This Row],[_LeafCalcFinish]],Tasks[[#This Row],[_AlapShift]],WorkWeek,Holidays)))</f>
        <v/>
      </c>
      <c r="FI161" s="91" t="str">
        <f aca="false">IF(NOT(Tasks[[#This Row],[_IsLeaf]]=1),"",IF(Tasks[[#This Row],[_AlapShift]]=0,Tasks[[#This Row],[_LeafFcstStart]],WORKDAY.INTL(Tasks[[#This Row],[_LeafFcstStart]],Tasks[[#This Row],[_AlapShift]],WorkWeek,Holidays)))</f>
        <v/>
      </c>
      <c r="FJ161" s="91" t="str">
        <f aca="false">IF(NOT(Tasks[[#This Row],[_IsLeaf]]=1),"",IF(Tasks[[#This Row],[_AlapShift]]=0,Tasks[[#This Row],[_LeafFcstFinish]],WORKDAY.INTL(Tasks[[#This Row],[_LeafFcstFinish]],Tasks[[#This Row],[_AlapShift]],WorkWeek,Holidays)))</f>
        <v/>
      </c>
      <c r="FK161" s="91" t="str">
        <f aca="false">IF(Tasks[[#This Row],[Task Name]]="","",IF(Tasks[[#This Row],[_IsSummary]],MIN(INDEX(Tasks[_ShownCalcStart],Tasks[[#This Row],[_Row]]+1):INDEX(Tasks[_ShownCalcStart],Tasks[[#This Row],[_Row]]+Tasks[[#This Row],[_Descendants]])),Tasks[[#This Row],[_ShownCalcStart]]))</f>
        <v/>
      </c>
      <c r="FL161" s="91" t="str">
        <f aca="false">IF(Tasks[[#This Row],[Task Name]]="","",IF(Tasks[[#This Row],[_IsSummary]],MAX(INDEX(Tasks[_ShownCalcFinish],Tasks[[#This Row],[_Row]]+1):INDEX(Tasks[_ShownCalcFinish],Tasks[[#This Row],[_Row]]+Tasks[[#This Row],[_Descendants]])),Tasks[[#This Row],[_ShownCalcFinish]]))</f>
        <v/>
      </c>
      <c r="FM16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1" s="43" t="n">
        <f aca="false">IF(AND(Tasks[[#This Row],[_IsLeaf]]=1,Tasks[[#This Row],[_LeafTotalWork]]&gt;0),NETWORKDAYS.INTL(ProjectStart,Tasks[[#This Row],[_ShownFcstStart]],WorkWeek,Holidays),0)</f>
        <v>0</v>
      </c>
      <c r="FZ161" s="43" t="n">
        <f aca="false">IF(AND(Tasks[[#This Row],[_IsLeaf]]=1,Tasks[[#This Row],[_LeafTotalWork]]&gt;0),MAX(Tasks[[#This Row],[_StartWorkday]],NETWORKDAYS.INTL(ProjectStart,Tasks[[#This Row],[_ShownFcstFinish]],WorkWeek,Holidays)),0)</f>
        <v>0</v>
      </c>
      <c r="GA161" s="43" t="n">
        <f aca="false">IF(AND(Tasks[[#This Row],[_IsLeaf]]=1,Tasks[[#This Row],[_LeafTotalWork]]&gt;0),Tasks[[#This Row],[_LeafWork]]/(Tasks[[#This Row],[_FinishWorkday]]-Tasks[[#This Row],[_StartWorkday]]+1),0)</f>
        <v>0</v>
      </c>
      <c r="GB161" s="43" t="n">
        <f aca="false">Tasks[[#This Row],[_WorkPerWorkday]]*(Tasks[[#This Row],[_StartWorkday]]-1)</f>
        <v>-0</v>
      </c>
      <c r="GC161" s="43" t="n">
        <f aca="false">IF(Tasks[[#This Row],[_IsLeaf]]=1,MAX(N(Tasks[[#This Row],[_Days]]),0.1),0)</f>
        <v>0</v>
      </c>
      <c r="GD161" s="43" t="n">
        <f aca="false">Tasks[[#This Row],[_WeightDur]]*Tasks[[#This Row],[_LeafProgress]]</f>
        <v>0</v>
      </c>
      <c r="GE161" s="43" t="n">
        <f aca="false">Tasks[[#This Row],[_WeightDur]]*Tasks[[#This Row],[_PlannedPct]]</f>
        <v>0</v>
      </c>
      <c r="GF16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1" s="43" t="str">
        <f aca="false">IF(AND(Tasks[[#This Row],[_IsLeaf]]=1,N(Tasks[[#This Row],[_Days]])=0,Tasks[[#This Row],[_LeafProgress]]&lt;1),Tasks[[#This Row],[_ShownFcstFinish]]+Tasks[[#This Row],[_Row]]/100000,"")</f>
        <v/>
      </c>
      <c r="GH16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1" s="43" t="str">
        <f aca="false">IF(Tasks[[#This Row],[Task Name]]="","",LEFT(Tasks[[#This Row],[WBS]],FIND(".",Tasks[[#This Row],[WBS]]&amp;".")-1))</f>
        <v/>
      </c>
      <c r="GJ161" s="43" t="str">
        <f aca="false">IF(AND(Tasks[[#This Row],[Task Name]]&lt;&gt;"",Tasks[[#This Row],[_Level]]=1),Tasks[[#This Row],[_Row]],"")</f>
        <v/>
      </c>
      <c r="GK161" s="43" t="str">
        <f aca="false">IF(AND(Tasks[[#This Row],[_IsLeaf]]=1,N(Tasks[[#This Row],[_Days]])=0),Tasks[[#This Row],[Planned Finish]]+Tasks[[#This Row],[_Row]]/100000,"")</f>
        <v/>
      </c>
      <c r="GL161" s="43" t="str">
        <f aca="false">IF(AND(Tasks[[#This Row],[_IsLeaf]]=1,Tasks[[#This Row],[_LeafProgress]]&lt;1,OR(N(Tasks[[#This Row],[Finish Var]])&gt;0,Tasks[[#This Row],[Status]]="Late Start")),MAX(0,Tasks[[#This Row],[Finish Var]])+1-Tasks[[#This Row],[_Row]]/1000000,"")</f>
        <v/>
      </c>
      <c r="GM161" s="43" t="str">
        <f aca="false">IF(AND(Tasks[[#This Row],[_IsLeaf]]=1,N(Tasks[[#This Row],[Actual Start]])=0,Tasks[[#This Row],[_ShownFcstStart]]&gt;=StatusDate,Tasks[[#This Row],[_ShownFcstStart]]&lt;=LookaheadEnd),Tasks[[#This Row],[_ShownFcstStart]]+Tasks[[#This Row],[_Row]]/100000,"")</f>
        <v/>
      </c>
      <c r="GN161" s="43" t="str">
        <f aca="false">IF(AND(Tasks[[#This Row],[_IsLeaf]]=1,Tasks[[#This Row],[_LeafProgress]]&lt;1,Tasks[[#This Row],[_ShownFcstFinish]]&gt;=StatusDate,Tasks[[#This Row],[_ShownFcstFinish]]&lt;=LookaheadEnd),Tasks[[#This Row],[_ShownFcstFinish]]+Tasks[[#This Row],[_Row]]/100000,"")</f>
        <v/>
      </c>
      <c r="GO161" s="43" t="str">
        <f aca="false">IF(Tasks[[#This Row],[_LeafCritical]],Tasks[[#This Row],[_ShownFcstStart]]+Tasks[[#This Row],[_Row]]/100000,"")</f>
        <v/>
      </c>
      <c r="GP161" s="43" t="n">
        <f aca="false">Tasks[[#This Row],[_LeafWork]]*Tasks[[#This Row],[_LeafProgress]]</f>
        <v>0</v>
      </c>
      <c r="GQ161" s="91" t="str">
        <f aca="false">IF(AND(Tasks[[#This Row],[_IsLeaf]]=1,Tasks[[#This Row],[_LeafProgress]]&gt;=1),IF(N(Tasks[[#This Row],[Actual Finish]])&gt;0,Tasks[[#This Row],[Actual Finish]],Tasks[[#This Row],[_ShownFcstFinish]]),"")</f>
        <v/>
      </c>
      <c r="GR161" s="43" t="n">
        <f aca="false">IF(Tasks[[#This Row],[_IsLeaf]]=1,N(Tasks[[#This Row],[Story Points]]),0)</f>
        <v>0</v>
      </c>
      <c r="GS161" s="43" t="str">
        <f aca="false">""</f>
        <v/>
      </c>
      <c r="GT161" s="90" t="b">
        <f aca="false">IF(Tasks[[#This Row],[Task Name]]="",FALSE(),AND(Tasks[[#This Row],[_IsLeaf]]=1,N(Tasks[[#This Row],[_Days]])=0))</f>
        <v>0</v>
      </c>
      <c r="GU161" s="91" t="n">
        <f aca="false">IF(Tasks[[#This Row],[Task Name]]="",0,IF(AND(Tasks[[#This Row],[_IsLeaf]]=1,NOT(Tasks[[#This Row],[_IsMilestone]]),N(Tasks[[#This Row],[Progress]])&gt;0),Tasks[[#This Row],[Start]],0))</f>
        <v>0</v>
      </c>
      <c r="GV161" s="91" t="n">
        <f aca="false">IF(Tasks[[#This Row],[_DoneFrom]]=0,0,IF(Tasks[[#This Row],[Progress]]&gt;=1,Tasks[[#This Row],[Finish]],MAX(Tasks[[#This Row],[_DoneFrom]],Tasks[[#This Row],[Start]]+ROUND((Tasks[[#This Row],[Finish]]-Tasks[[#This Row],[Start]]+1)*Tasks[[#This Row],[Progress]],0)-1)))</f>
        <v>0</v>
      </c>
      <c r="GW161" s="91" t="n">
        <f aca="false">IF(Tasks[[#This Row],[Task Name]]="",0,IF(OR(NOT(Tasks[[#This Row],[_IsLeaf]]=1),Tasks[[#This Row],[_IsMilestone]],N(Tasks[[#This Row],[Progress]])&gt;=1),0,IF(Tasks[[#This Row],[_DoneTo]]&gt;0,Tasks[[#This Row],[_DoneTo]]+1,Tasks[[#This Row],[Start]])))</f>
        <v>0</v>
      </c>
      <c r="GX161" s="91" t="n">
        <f aca="false">IF(Tasks[[#This Row],[_RemFrom]]=0,0,Tasks[[#This Row],[Finish]])</f>
        <v>0</v>
      </c>
      <c r="GY161" s="90" t="b">
        <f aca="false">IF(Tasks[[#This Row],[Task Name]]="",FALSE(),OR(NOT(BaselineSet),N(Tasks[[#This Row],[Baseline Start]])&gt;0))</f>
        <v>0</v>
      </c>
      <c r="GZ16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1" s="92" t="str">
        <f aca="false">IF(Tasks[[#This Row],[_IsLeaf]]=1,Tasks[[#This Row],[_Row]],"")</f>
        <v/>
      </c>
      <c r="HD161" s="92" t="str">
        <f aca="false">IFERROR(INDEX(Tasks[UID],SMALL(Tasks[_PickKey],Tasks[[#This Row],[_Row]]))&amp;" "&amp;INDEX(Tasks[Task Name],SMALL(Tasks[_PickKey],Tasks[[#This Row],[_Row]])),"")</f>
        <v/>
      </c>
      <c r="HE161" s="43" t="str">
        <f aca="false">IF(Tasks[[#This Row],[Task Name]]="","",IF(Tasks[[#This Row],[_IsSummary]],NETWORKDAYS.INTL(Tasks[[#This Row],[Start]],Tasks[[#This Row],[Finish]],WorkWeek,Holidays),N(Tasks[[#This Row],[_Days]])))</f>
        <v/>
      </c>
      <c r="HF161" s="43" t="n">
        <f aca="false">IF(Tasks[[#This Row],[Expected]]="",0,((Tasks[[#This Row],[Pessimistic]]-Tasks[[#This Row],[Optimistic]])/6)^2)</f>
        <v>0</v>
      </c>
      <c r="HG161" s="43" t="n">
        <f aca="false">IF(Tasks[[#This Row],[Expected]]="",0,Tasks[[#This Row],[Expected]]-N(Tasks[[#This Row],[_Days]]))</f>
        <v>0</v>
      </c>
    </row>
    <row r="162" customFormat="false" ht="15" hidden="false" customHeight="false" outlineLevel="0" collapsed="false">
      <c r="A162" s="21" t="str">
        <f aca="false">IF(Tasks[[#This Row],[Task Name]]="","",COUNTA(Tasks[[#Headers],[Task Name]]:Tasks[[#This Row],[Task Name]])-1)</f>
        <v/>
      </c>
      <c r="B162" s="22" t="n">
        <v>170</v>
      </c>
      <c r="C162" s="22"/>
      <c r="D162" s="23"/>
      <c r="E162" s="22"/>
      <c r="F162" s="23"/>
      <c r="G162" s="22"/>
      <c r="H162" s="22"/>
      <c r="I162" s="23"/>
      <c r="J162" s="22"/>
      <c r="K162" s="22"/>
      <c r="L162" s="23"/>
      <c r="M162" s="22"/>
      <c r="N162" s="22"/>
      <c r="O162" s="23"/>
      <c r="P162" s="22"/>
      <c r="Q162" s="22"/>
      <c r="R162" s="23"/>
      <c r="S162" s="23"/>
      <c r="T162" s="84"/>
      <c r="U162" s="23"/>
      <c r="V162" s="84"/>
      <c r="W162" s="23"/>
      <c r="X162" s="84"/>
      <c r="Y162" s="23"/>
      <c r="Z162" s="84"/>
      <c r="AA162" s="23"/>
      <c r="AB162" s="23"/>
      <c r="AC162" s="7"/>
      <c r="AD162" s="7"/>
      <c r="AE162" s="63" t="str">
        <f aca="false">IF(Tasks[[#This Row],[Task Name]]="","",IF(Tasks[[#This Row],[_IsSummary]],MIN(INDEX(Tasks[_ShownFcstStart],Tasks[[#This Row],[_Row]]+1):INDEX(Tasks[_ShownFcstStart],Tasks[[#This Row],[_Row]]+Tasks[[#This Row],[_Descendants]])),Tasks[[#This Row],[_ShownFcstStart]]))</f>
        <v/>
      </c>
      <c r="AF162" s="63" t="str">
        <f aca="false">IF(Tasks[[#This Row],[Task Name]]="","",IF(Tasks[[#This Row],[_IsSummary]],MAX(INDEX(Tasks[_ShownFcstFinish],Tasks[[#This Row],[_Row]]+1):INDEX(Tasks[_ShownFcstFinish],Tasks[[#This Row],[_Row]]+Tasks[[#This Row],[_Descendants]])),Tasks[[#This Row],[_ShownFcstFinish]]))</f>
        <v/>
      </c>
      <c r="AG162" s="21" t="str">
        <f aca="false">""</f>
        <v/>
      </c>
      <c r="AH162" s="23"/>
      <c r="AI1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2" s="7"/>
      <c r="AK162" s="22"/>
      <c r="AL162" s="23"/>
      <c r="AM162" s="7"/>
      <c r="AN162" s="47" t="str">
        <f aca="false">IF(Tasks[[#This Row],[Task Name]]="","",IF(Tasks[[#This Row],[Finish]]&gt;=Tasks[[#This Row],[Planned Finish]],NETWORKDAYS.INTL(Tasks[[#This Row],[Planned Finish]],Tasks[[#This Row],[Finish]],WorkWeek,Holidays)-1,1-NETWORKDAYS.INTL(Tasks[[#This Row],[Finish]],Tasks[[#This Row],[Planned Finish]],WorkWeek,Holidays)))</f>
        <v/>
      </c>
      <c r="AO162" s="21" t="str">
        <f aca="false">IF(Tasks[[#This Row],[Task Name]]="","",IF(Tasks[[#This Row],[Progress]]&gt;=1,"Complete",IF(OR(N(Tasks[[#This Row],[Actual Start]])&gt;0,Tasks[[#This Row],[Progress]]&gt;0),IF(Tasks[[#This Row],[Finish Var]]&gt;0,"Behind","In Progress"),IF(Tasks[[#This Row],[Planned Start]]&lt;StatusDate,"Late Start","Not Started"))))</f>
        <v/>
      </c>
      <c r="AP162" s="21" t="str">
        <f aca="false">IF(Tasks[[#This Row],[Task Name]]="","",IF(IF(Tasks[[#This Row],[_IsSummary]],COUNTIF(INDEX(Tasks[_LeafCritical],Tasks[[#This Row],[_Row]]+1):INDEX(Tasks[_LeafCritical],Tasks[[#This Row],[_Row]]+Tasks[[#This Row],[_Descendants]]),TRUE())&gt;0,Tasks[[#This Row],[_LeafCritical]]),"Yes",""))</f>
        <v/>
      </c>
      <c r="AQ162" s="63" t="str">
        <f aca="false">IF(Tasks[[#This Row],[Task Name]]="","",IF(N(Tasks[[#This Row],[Baseline Start]])&gt;0,Tasks[[#This Row],[Baseline Start]],Tasks[[#This Row],[_CalcStart]]))</f>
        <v/>
      </c>
      <c r="AR162" s="63" t="str">
        <f aca="false">IF(Tasks[[#This Row],[Task Name]]="","",IF(N(Tasks[[#This Row],[Baseline Finish]])&gt;0,Tasks[[#This Row],[Baseline Finish]],Tasks[[#This Row],[_CalcFinish]]))</f>
        <v/>
      </c>
      <c r="AS162" s="47" t="str">
        <f aca="false">IF(Tasks[[#This Row],[Task Name]]="","",IF(Tasks[[#This Row],[Start]]&gt;=Tasks[[#This Row],[Planned Start]],NETWORKDAYS.INTL(Tasks[[#This Row],[Planned Start]],Tasks[[#This Row],[Start]],WorkWeek,Holidays)-1,1-NETWORKDAYS.INTL(Tasks[[#This Row],[Start]],Tasks[[#This Row],[Planned Start]],WorkWeek,Holidays)))</f>
        <v/>
      </c>
      <c r="AT162" s="63" t="str">
        <f aca="false">IF(Tasks[[#This Row],[Task Name]]="","",IF(Tasks[[#This Row],[_IsSummary]],MIN(INDEX(Tasks[_LeafLateStart],Tasks[[#This Row],[_Row]]+1):INDEX(Tasks[_LeafLateStart],Tasks[[#This Row],[_Row]]+Tasks[[#This Row],[_Descendants]])),Tasks[[#This Row],[_LeafLateStart]]))</f>
        <v/>
      </c>
      <c r="AU162" s="63" t="str">
        <f aca="false">IF(Tasks[[#This Row],[Task Name]]="","",IF(Tasks[[#This Row],[_IsSummary]],MAX(INDEX(Tasks[_LeafLateFinish],Tasks[[#This Row],[_Row]]+1):INDEX(Tasks[_LeafLateFinish],Tasks[[#This Row],[_Row]]+Tasks[[#This Row],[_Descendants]])),Tasks[[#This Row],[_LeafLateFinish]]))</f>
        <v/>
      </c>
      <c r="AV162" s="47" t="str">
        <f aca="false">IF(Tasks[[#This Row],[Task Name]]="","",IF(Tasks[[#This Row],[_IsSummary]],MIN(INDEX(Tasks[_LeafTotalSlack],Tasks[[#This Row],[_Row]]+1):INDEX(Tasks[_LeafTotalSlack],Tasks[[#This Row],[_Row]]+Tasks[[#This Row],[_Descendants]])),Tasks[[#This Row],[_LeafTotalSlack]]))</f>
        <v/>
      </c>
      <c r="AW1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5"/>
      <c r="BA16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1" t="str">
        <f aca="false">IF(Tasks[[#This Row],[Task Name]]="","",IF(Tasks[[#This Row],[_Level]]&lt;=OutlineShowLevel,"Yes","No"))</f>
        <v/>
      </c>
      <c r="BE162" s="86" t="str">
        <f aca="false">IF(Tasks[[#This Row],[Task Name]]="","",IF(Tasks[[#This Row],[_IsSummary]],SUM(INDEX(Tasks[_LeafTotalWork],Tasks[[#This Row],[_Row]]+1):INDEX(Tasks[_LeafTotalWork],Tasks[[#This Row],[_Row]]+Tasks[[#This Row],[_Descendants]])),Tasks[[#This Row],[_LeafTotalWork]]))</f>
        <v/>
      </c>
      <c r="BF162" s="23"/>
      <c r="BG1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2" s="21" t="str">
        <f aca="false">""</f>
        <v/>
      </c>
      <c r="BI162" s="87"/>
      <c r="BJ162" s="22"/>
      <c r="BK162" s="47" t="str">
        <f aca="false">IF(OR(Tasks[[#This Row],[Task Name]]="",Tasks[[#This Row],[Baseline Duration]]=""),"",Tasks[[#This Row],[_SpanDays]]-N(Tasks[[#This Row],[Baseline Duration]]))</f>
        <v/>
      </c>
      <c r="BL162" s="86" t="str">
        <f aca="false">IF(OR(Tasks[[#This Row],[Task Name]]="",Tasks[[#This Row],[Baseline Work]]=""),"",Tasks[[#This Row],[Work]]-N(Tasks[[#This Row],[Baseline Work]]))</f>
        <v/>
      </c>
      <c r="BM162" s="63" t="str">
        <f aca="false">IF(Tasks[[#This Row],[Task Name]]="","",IF(OR(TakeBaseline="Yes",N(Tasks[[#This Row],[Baseline Start]])=0),Tasks[[#This Row],[Start]],Tasks[[#This Row],[Baseline Start]]))</f>
        <v/>
      </c>
      <c r="BN162" s="63" t="str">
        <f aca="false">IF(Tasks[[#This Row],[Task Name]]="","",IF(OR(TakeBaseline="Yes",N(Tasks[[#This Row],[Baseline Finish]])=0),Tasks[[#This Row],[Finish]],Tasks[[#This Row],[Baseline Finish]]))</f>
        <v/>
      </c>
      <c r="BO162" s="21" t="str">
        <f aca="false">IF(Tasks[[#This Row],[Task Name]]="","",IF(OR(TakeBaseline="Yes",N(Tasks[[#This Row],[Baseline Duration]])=0),Tasks[[#This Row],[_SpanDays]],Tasks[[#This Row],[Baseline Duration]]))</f>
        <v/>
      </c>
      <c r="BP162" s="86" t="str">
        <f aca="false">IF(Tasks[[#This Row],[Task Name]]="","",IF(OR(TakeBaseline="Yes",N(Tasks[[#This Row],[Baseline Work]])=0),Tasks[[#This Row],[Work]],Tasks[[#This Row],[Baseline Work]]))</f>
        <v/>
      </c>
      <c r="BQ162" s="7"/>
      <c r="BR162" s="7"/>
      <c r="BS162" s="22"/>
      <c r="BT162" s="88"/>
      <c r="BU162" s="23"/>
      <c r="BV162" s="23"/>
      <c r="BW162" s="23"/>
      <c r="BX162" s="89" t="str">
        <f aca="false">IF(AND(Tasks[[#This Row],[_IsLeaf]]=1,ISNUMBER(Tasks[[#This Row],[Optimistic]]),ISNUMBER(Tasks[[#This Row],[Pessimistic]])),ROUND((Tasks[[#This Row],[Optimistic]]+4*N(Tasks[[#This Row],[_Days]])+Tasks[[#This Row],[Pessimistic]])/6,1),"")</f>
        <v/>
      </c>
      <c r="BY162" s="87"/>
      <c r="BZ162" s="87"/>
      <c r="CA162" s="22"/>
      <c r="CB162" s="43" t="str">
        <f aca="false">IF(Tasks[[#This Row],[Task Name]]="","",MAX(1,N(Tasks[[#This Row],[Level]])))</f>
        <v/>
      </c>
      <c r="CC162" s="43" t="n">
        <f aca="false">ROW()-ROW(Tasks[[#Headers],[ID]])</f>
        <v>157</v>
      </c>
      <c r="CD162" s="43" t="n">
        <f aca="false">IF(OR(Tasks[[#This Row],[Task Name]]="",Tasks[[#This Row],[_Level]]&lt;=1),0,IFERROR(LOOKUP(2,1/(Tasks[[#Headers],[_Level]]:Tasks[[#This Row],[_Level]]=Tasks[[#This Row],[_Level]]-1),ROW(Tasks[[#Headers],[_Level]]:Tasks[[#This Row],[_Level]])),0))</f>
        <v>0</v>
      </c>
      <c r="CE162" s="43" t="n">
        <f aca="false">IFERROR(N(INDEX(Tasks[_Level],Tasks[[#This Row],[_Row]]+1)),0)</f>
        <v>0</v>
      </c>
      <c r="CF162" s="90" t="b">
        <f aca="false">AND(Tasks[[#This Row],[Task Name]]&lt;&gt;"",Tasks[[#This Row],[_NextLevel]]&gt;Tasks[[#This Row],[_Level]])</f>
        <v>0</v>
      </c>
      <c r="CG162" s="43" t="n">
        <f aca="false">IF(Tasks[[#This Row],[_IsSummary]],COUNTIF(Tasks[WBS],Tasks[[#This Row],[WBS]]&amp;".*"),0)</f>
        <v>0</v>
      </c>
      <c r="CH162" s="43" t="n">
        <f aca="false">IF(AND(Tasks[[#This Row],[Task Name]]&lt;&gt;"",NOT(Tasks[[#This Row],[_IsSummary]])),1,0)</f>
        <v>0</v>
      </c>
      <c r="CI162" s="43" t="n">
        <f aca="false">IF(N(Tasks[[#This Row],[_Pred1UID]])=0,0,IFERROR(MATCH(Tasks[[#This Row],[_Pred1UID]],Tasks[UID],0),-1))</f>
        <v>0</v>
      </c>
      <c r="CJ162" s="43" t="n">
        <f aca="false">IF(N(Tasks[[#This Row],[_Pred2UID]])=0,0,IFERROR(MATCH(Tasks[[#This Row],[_Pred2UID]],Tasks[UID],0),-1))</f>
        <v>0</v>
      </c>
      <c r="CK162" s="43" t="n">
        <f aca="false">IF(N(Tasks[[#This Row],[_Pred3UID]])=0,0,IFERROR(MATCH(Tasks[[#This Row],[_Pred3UID]],Tasks[UID],0),-1))</f>
        <v>0</v>
      </c>
      <c r="CL162" s="43" t="n">
        <f aca="false">IF(N(Tasks[[#This Row],[_Pred4UID]])=0,0,IFERROR(MATCH(Tasks[[#This Row],[_Pred4UID]],Tasks[UID],0),-1))</f>
        <v>0</v>
      </c>
      <c r="CM16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2" s="91" t="n">
        <f aca="false">IF(OR(Tasks[[#This Row],[_ConstraintCode]]=2,Tasks[[#This Row],[_ConstraintCode]]=3,Tasks[[#This Row],[_ConstraintCode]]=4,Tasks[[#This Row],[_ConstraintCode]]=6),Tasks[[#This Row],[_ConstraintStart]],0)</f>
        <v>0</v>
      </c>
      <c r="CP162" s="91" t="n">
        <f aca="false">IF(OR(Tasks[[#This Row],[_ConstraintCode]]=2,Tasks[[#This Row],[_ConstraintCode]]=3,Tasks[[#This Row],[_ConstraintCode]]=5,Tasks[[#This Row],[_ConstraintCode]]=7),Tasks[[#This Row],[_ConstraintStart]],2958465)</f>
        <v>2958465</v>
      </c>
      <c r="CQ16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2" s="91" t="str">
        <f aca="false">IF(NOT(Tasks[[#This Row],[_IsLeaf]]=1),"",IF(N(Tasks[[#This Row],[_Days]])&lt;=0,Tasks[[#This Row],[_LeafCalcStart]],WORKDAY.INTL(Tasks[[#This Row],[_LeafCalcStart]],Tasks[[#This Row],[_Days]]-1,WorkWeek,Holidays)))</f>
        <v/>
      </c>
      <c r="CS16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2" s="43" t="str">
        <f aca="false">IF(Tasks[[#This Row],[_Predecessors]]="","",TRIM(MID(SUBSTITUTE(SUBSTITUTE(SUBSTITUTE(UPPER(Tasks[[#This Row],[_Predecessors]]),";",",")," ",""),",",REPT(" ",99)),1,99)))</f>
        <v/>
      </c>
      <c r="CV162" s="43" t="str">
        <f aca="false">IF(Tasks[[#This Row],[_Pred1Text]]="","",IFERROR(VALUE(LEFT(Tasks[[#This Row],[_Pred1Text]],MIN(FIND("F",Tasks[[#This Row],[_Pred1Text]]&amp;"F"),FIND("S",Tasks[[#This Row],[_Pred1Text]]&amp;"S"),FIND("+",Tasks[[#This Row],[_Pred1Text]]&amp;"+"),FIND("-",Tasks[[#This Row],[_Pred1Text]]&amp;"-"))-1)),""))</f>
        <v/>
      </c>
      <c r="CW16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2" s="43" t="str">
        <f aca="false">IF(Tasks[[#This Row],[_Pred1Text]]="","",TRIM(MID(SUBSTITUTE(SUBSTITUTE(SUBSTITUTE(UPPER(Tasks[[#This Row],[_Predecessors]]),";",",")," ",""),",",REPT(" ",99)),100,99)))</f>
        <v/>
      </c>
      <c r="CZ162" s="43" t="str">
        <f aca="false">IF(Tasks[[#This Row],[_Pred2Text]]="","",IFERROR(VALUE(LEFT(Tasks[[#This Row],[_Pred2Text]],MIN(FIND("F",Tasks[[#This Row],[_Pred2Text]]&amp;"F"),FIND("S",Tasks[[#This Row],[_Pred2Text]]&amp;"S"),FIND("+",Tasks[[#This Row],[_Pred2Text]]&amp;"+"),FIND("-",Tasks[[#This Row],[_Pred2Text]]&amp;"-"))-1)),""))</f>
        <v/>
      </c>
      <c r="DA16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2" s="43" t="str">
        <f aca="false">IF(Tasks[[#This Row],[_Pred2Text]]="","",TRIM(MID(SUBSTITUTE(SUBSTITUTE(SUBSTITUTE(UPPER(Tasks[[#This Row],[_Predecessors]]),";",",")," ",""),",",REPT(" ",99)),199,99)))</f>
        <v/>
      </c>
      <c r="DD162" s="43" t="str">
        <f aca="false">IF(Tasks[[#This Row],[_Pred3Text]]="","",IFERROR(VALUE(LEFT(Tasks[[#This Row],[_Pred3Text]],MIN(FIND("F",Tasks[[#This Row],[_Pred3Text]]&amp;"F"),FIND("S",Tasks[[#This Row],[_Pred3Text]]&amp;"S"),FIND("+",Tasks[[#This Row],[_Pred3Text]]&amp;"+"),FIND("-",Tasks[[#This Row],[_Pred3Text]]&amp;"-"))-1)),""))</f>
        <v/>
      </c>
      <c r="DE16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2" s="43" t="str">
        <f aca="false">IF(Tasks[[#This Row],[_Pred3Text]]="","",TRIM(MID(SUBSTITUTE(SUBSTITUTE(SUBSTITUTE(UPPER(Tasks[[#This Row],[_Predecessors]]),";",",")," ",""),",",REPT(" ",99)),298,99)))</f>
        <v/>
      </c>
      <c r="DH162" s="43" t="str">
        <f aca="false">IF(Tasks[[#This Row],[_Pred4Text]]="","",IFERROR(VALUE(LEFT(Tasks[[#This Row],[_Pred4Text]],MIN(FIND("F",Tasks[[#This Row],[_Pred4Text]]&amp;"F"),FIND("S",Tasks[[#This Row],[_Pred4Text]]&amp;"S"),FIND("+",Tasks[[#This Row],[_Pred4Text]]&amp;"+"),FIND("-",Tasks[[#This Row],[_Pred4Text]]&amp;"-"))-1)),""))</f>
        <v/>
      </c>
      <c r="DI16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2" s="43" t="str">
        <f aca="false">IF(OR(Tasks[[#This Row],[Task Name]]="",Tasks[[#This Row],[_Resources]]=""),"",TRIM(MID(SUBSTITUTE(Tasks[[#This Row],[_Resources]],",",REPT(" ",99)),1,99)))</f>
        <v/>
      </c>
      <c r="DL162" s="43" t="str">
        <f aca="false">IF(Tasks[[#This Row],[_Res1Text]]="","",TRIM(MID(SUBSTITUTE(Tasks[[#This Row],[_Resources]],",",REPT(" ",99)),100,99)))</f>
        <v/>
      </c>
      <c r="DM162" s="43" t="str">
        <f aca="false">IF(Tasks[[#This Row],[_Res2Text]]="","",TRIM(MID(SUBSTITUTE(Tasks[[#This Row],[_Resources]],",",REPT(" ",99)),199,99)))</f>
        <v/>
      </c>
      <c r="DN162" s="43" t="str">
        <f aca="false">IF(Tasks[[#This Row],[_Res3Text]]="","",TRIM(MID(SUBSTITUTE(Tasks[[#This Row],[_Resources]],",",REPT(" ",99)),298,99)))</f>
        <v/>
      </c>
      <c r="DO162" s="43" t="n">
        <f aca="false">IF(Tasks[[#This Row],[_Res1Text]]="",0,IFERROR(MATCH(TRIM(LEFT(Tasks[[#This Row],[_Res1Text]],FIND("[",Tasks[[#This Row],[_Res1Text]]&amp;"[")-1)),res_Name,0),IFERROR(MATCH(TRIM(LEFT(Tasks[[#This Row],[_Res1Text]],FIND("[",Tasks[[#This Row],[_Res1Text]]&amp;"[")-1)),res_Initials,0),0)))</f>
        <v>0</v>
      </c>
      <c r="DP162" s="43" t="n">
        <f aca="false">IF(Tasks[[#This Row],[_Res2Text]]="",0,IFERROR(MATCH(TRIM(LEFT(Tasks[[#This Row],[_Res2Text]],FIND("[",Tasks[[#This Row],[_Res2Text]]&amp;"[")-1)),res_Name,0),IFERROR(MATCH(TRIM(LEFT(Tasks[[#This Row],[_Res2Text]],FIND("[",Tasks[[#This Row],[_Res2Text]]&amp;"[")-1)),res_Initials,0),0)))</f>
        <v>0</v>
      </c>
      <c r="DQ162" s="43" t="n">
        <f aca="false">IF(Tasks[[#This Row],[_Res3Text]]="",0,IFERROR(MATCH(TRIM(LEFT(Tasks[[#This Row],[_Res3Text]],FIND("[",Tasks[[#This Row],[_Res3Text]]&amp;"[")-1)),res_Name,0),IFERROR(MATCH(TRIM(LEFT(Tasks[[#This Row],[_Res3Text]],FIND("[",Tasks[[#This Row],[_Res3Text]]&amp;"[")-1)),res_Initials,0),0)))</f>
        <v>0</v>
      </c>
      <c r="DR162" s="43" t="n">
        <f aca="false">IF(Tasks[[#This Row],[_Res4Text]]="",0,IFERROR(MATCH(TRIM(LEFT(Tasks[[#This Row],[_Res4Text]],FIND("[",Tasks[[#This Row],[_Res4Text]]&amp;"[")-1)),res_Name,0),IFERROR(MATCH(TRIM(LEFT(Tasks[[#This Row],[_Res4Text]],FIND("[",Tasks[[#This Row],[_Res4Text]]&amp;"[")-1)),res_Initials,0),0)))</f>
        <v>0</v>
      </c>
      <c r="DS162" s="43" t="str">
        <f aca="false">IF(Tasks[[#This Row],[_Res1Text]]="","",IF(Tasks[[#This Row],[_Res1Row]]&gt;0,INDEX(res_Name,Tasks[[#This Row],[_Res1Row]]),TRIM(LEFT(Tasks[[#This Row],[_Res1Text]],FIND("[",Tasks[[#This Row],[_Res1Text]]&amp;"[")-1))))</f>
        <v/>
      </c>
      <c r="DT16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2" s="43" t="n">
        <f aca="false">IF(NOT(Tasks[[#This Row],[_IsLeaf]]=1),0,(Tasks[[#This Row],[_Resource1]]&lt;&gt;"")+(Tasks[[#This Row],[_Res2]]&lt;&gt;"")+(Tasks[[#This Row],[_Res3]]&lt;&gt;"")+(Tasks[[#This Row],[_Res4]]&lt;&gt;""))</f>
        <v>0</v>
      </c>
      <c r="DV162" s="43" t="str">
        <f aca="false">IF(Tasks[[#This Row],[_Res2Text]]="","",IF(Tasks[[#This Row],[_Res2Row]]&gt;0,INDEX(res_Name,Tasks[[#This Row],[_Res2Row]]),TRIM(LEFT(Tasks[[#This Row],[_Res2Text]],FIND("[",Tasks[[#This Row],[_Res2Text]]&amp;"[")-1))))</f>
        <v/>
      </c>
      <c r="DW16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2" s="43" t="n">
        <f aca="false">IF(OR(NOT(Tasks[[#This Row],[_IsLeaf]]=1),Tasks[[#This Row],[_Res2Row]]=0),0,N(Tasks[[#This Row],[_Days]])*HoursPerDay*IF(Tasks[[#This Row],[_Res2Units]]="",DefaultUnits,Tasks[[#This Row],[_Res2Units]]))</f>
        <v>0</v>
      </c>
      <c r="DY162" s="43" t="n">
        <f aca="false">IF(AND(AND(Tasks[[#This Row],[_IsLeaf]]=1,Tasks[[#This Row],[_LeafTotalWork]]&gt;0),Tasks[[#This Row],[_Res2Work]]&gt;0),Tasks[[#This Row],[_Res2Work]]/(Tasks[[#This Row],[_FinishWorkday]]-Tasks[[#This Row],[_StartWorkday]]+1),0)</f>
        <v>0</v>
      </c>
      <c r="DZ162" s="43" t="n">
        <f aca="false">Tasks[[#This Row],[_Res2WorkPerWD]]*MAX(0,Tasks[[#This Row],[_StartWorkday]]-1)</f>
        <v>0</v>
      </c>
      <c r="EA162" s="43" t="n">
        <f aca="false">Tasks[[#This Row],[_Res2Work]]*Tasks[[#This Row],[_LeafProgress]]</f>
        <v>0</v>
      </c>
      <c r="EB162" s="43" t="str">
        <f aca="false">IF(Tasks[[#This Row],[_Res3Text]]="","",IF(Tasks[[#This Row],[_Res3Row]]&gt;0,INDEX(res_Name,Tasks[[#This Row],[_Res3Row]]),TRIM(LEFT(Tasks[[#This Row],[_Res3Text]],FIND("[",Tasks[[#This Row],[_Res3Text]]&amp;"[")-1))))</f>
        <v/>
      </c>
      <c r="EC16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2" s="43" t="n">
        <f aca="false">IF(OR(NOT(Tasks[[#This Row],[_IsLeaf]]=1),Tasks[[#This Row],[_Res3Row]]=0),0,N(Tasks[[#This Row],[_Days]])*HoursPerDay*IF(Tasks[[#This Row],[_Res3Units]]="",DefaultUnits,Tasks[[#This Row],[_Res3Units]]))</f>
        <v>0</v>
      </c>
      <c r="EE162" s="43" t="n">
        <f aca="false">IF(AND(AND(Tasks[[#This Row],[_IsLeaf]]=1,Tasks[[#This Row],[_LeafTotalWork]]&gt;0),Tasks[[#This Row],[_Res3Work]]&gt;0),Tasks[[#This Row],[_Res3Work]]/(Tasks[[#This Row],[_FinishWorkday]]-Tasks[[#This Row],[_StartWorkday]]+1),0)</f>
        <v>0</v>
      </c>
      <c r="EF162" s="43" t="n">
        <f aca="false">Tasks[[#This Row],[_Res3WorkPerWD]]*MAX(0,Tasks[[#This Row],[_StartWorkday]]-1)</f>
        <v>0</v>
      </c>
      <c r="EG162" s="43" t="n">
        <f aca="false">Tasks[[#This Row],[_Res3Work]]*Tasks[[#This Row],[_LeafProgress]]</f>
        <v>0</v>
      </c>
      <c r="EH162" s="43" t="str">
        <f aca="false">IF(Tasks[[#This Row],[_Res4Text]]="","",IF(Tasks[[#This Row],[_Res4Row]]&gt;0,INDEX(res_Name,Tasks[[#This Row],[_Res4Row]]),TRIM(LEFT(Tasks[[#This Row],[_Res4Text]],FIND("[",Tasks[[#This Row],[_Res4Text]]&amp;"[")-1))))</f>
        <v/>
      </c>
      <c r="EI16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2" s="43" t="n">
        <f aca="false">IF(OR(NOT(Tasks[[#This Row],[_IsLeaf]]=1),Tasks[[#This Row],[_Res4Row]]=0),0,N(Tasks[[#This Row],[_Days]])*HoursPerDay*IF(Tasks[[#This Row],[_Res4Units]]="",DefaultUnits,Tasks[[#This Row],[_Res4Units]]))</f>
        <v>0</v>
      </c>
      <c r="EK162" s="43" t="n">
        <f aca="false">IF(AND(AND(Tasks[[#This Row],[_IsLeaf]]=1,Tasks[[#This Row],[_LeafTotalWork]]&gt;0),Tasks[[#This Row],[_Res4Work]]&gt;0),Tasks[[#This Row],[_Res4Work]]/(Tasks[[#This Row],[_FinishWorkday]]-Tasks[[#This Row],[_StartWorkday]]+1),0)</f>
        <v>0</v>
      </c>
      <c r="EL162" s="43" t="n">
        <f aca="false">Tasks[[#This Row],[_Res4WorkPerWD]]*MAX(0,Tasks[[#This Row],[_StartWorkday]]-1)</f>
        <v>0</v>
      </c>
      <c r="EM162" s="43" t="n">
        <f aca="false">Tasks[[#This Row],[_Res4Work]]*Tasks[[#This Row],[_LeafProgress]]</f>
        <v>0</v>
      </c>
      <c r="EN162" s="43" t="n">
        <f aca="false">IF(ISNUMBER(Tasks[[#This Row],[% Complete]]),Tasks[[#This Row],[% Complete]],IF(Tasks[[#This Row],[Stage]]="",0,IFERROR(INDEX(stg_Pct,MATCH(Tasks[[#This Row],[Stage]],stg_Name,0)),0)))</f>
        <v>0</v>
      </c>
      <c r="EO162" s="43" t="n">
        <f aca="false">IF(NOT(Tasks[[#This Row],[_IsLeaf]]=1),0,IF(N(Tasks[[#This Row],[Actual Finish]])&gt;0,1,MIN(1,Tasks[[#This Row],[_Pct]])))</f>
        <v>0</v>
      </c>
      <c r="EP162" s="43" t="n">
        <f aca="false">IF(OR(NOT(Tasks[[#This Row],[_IsLeaf]]=1),Tasks[[#This Row],[_Res1Row]]=0),0,N(Tasks[[#This Row],[_Days]])*HoursPerDay*IF(Tasks[[#This Row],[_Units1]]="",DefaultUnits,Tasks[[#This Row],[_Units1]]))</f>
        <v>0</v>
      </c>
      <c r="EQ162" s="43" t="n">
        <f aca="false">Tasks[[#This Row],[_LeafWork]]+Tasks[[#This Row],[_Res2Work]]+Tasks[[#This Row],[_Res3Work]]+Tasks[[#This Row],[_Res4Work]]</f>
        <v>0</v>
      </c>
      <c r="ER16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2" s="43" t="n">
        <f aca="false">IF(NOT(Tasks[[#This Row],[_IsLeaf]]=1),0,MAX(_xlfn.MAXIFS(Tasks[_Row],Tasks[_Pred1UID],Tasks[[#This Row],[UID]]),_xlfn.MAXIFS(Tasks[_Row],Tasks[_Pred2UID],Tasks[[#This Row],[UID]]),_xlfn.MAXIFS(Tasks[_Row],Tasks[_Pred3UID],Tasks[[#This Row],[UID]]),_xlfn.MAXIFS(Tasks[_Row],Tasks[_Pred4UID],Tasks[[#This Row],[UID]])))</f>
        <v>0</v>
      </c>
      <c r="FA16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2" s="91" t="str">
        <f aca="false">IF(NOT(Tasks[[#This Row],[_IsLeaf]]=1),"",IF(N(Tasks[[#This Row],[_Days]])&lt;=0,Tasks[[#This Row],[_LeafLateFinish]],WORKDAY.INTL(Tasks[[#This Row],[_LeafLateFinish]],-(Tasks[[#This Row],[_Days]]-1),WorkWeek,Holidays)))</f>
        <v/>
      </c>
      <c r="FD16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2" s="90" t="b">
        <f aca="false">AND(Tasks[[#This Row],[_IsLeaf]]=1,Tasks[[#This Row],[_LeafProgress]]&lt;1,N(Tasks[[#This Row],[_LeafTotalSlack]])&lt;=CriticalSlackDays)</f>
        <v>0</v>
      </c>
      <c r="FF162" s="43" t="n">
        <f aca="false">IF(AND(Tasks[[#This Row],[_IsLeaf]]=1,Tasks[[#This Row],[_ConstraintCode]]=1,Tasks[[#This Row],[Mode]]&lt;&gt;"Manual",N(Tasks[[#This Row],[Actual Start]])=0),MAX(0,N(Tasks[[#This Row],[Free Slack]])),0)</f>
        <v>0</v>
      </c>
      <c r="FG162" s="91" t="str">
        <f aca="false">IF(NOT(Tasks[[#This Row],[_IsLeaf]]=1),"",IF(Tasks[[#This Row],[_AlapShift]]=0,Tasks[[#This Row],[_LeafCalcStart]],WORKDAY.INTL(Tasks[[#This Row],[_LeafCalcStart]],Tasks[[#This Row],[_AlapShift]],WorkWeek,Holidays)))</f>
        <v/>
      </c>
      <c r="FH162" s="91" t="str">
        <f aca="false">IF(NOT(Tasks[[#This Row],[_IsLeaf]]=1),"",IF(Tasks[[#This Row],[_AlapShift]]=0,Tasks[[#This Row],[_LeafCalcFinish]],WORKDAY.INTL(Tasks[[#This Row],[_LeafCalcFinish]],Tasks[[#This Row],[_AlapShift]],WorkWeek,Holidays)))</f>
        <v/>
      </c>
      <c r="FI162" s="91" t="str">
        <f aca="false">IF(NOT(Tasks[[#This Row],[_IsLeaf]]=1),"",IF(Tasks[[#This Row],[_AlapShift]]=0,Tasks[[#This Row],[_LeafFcstStart]],WORKDAY.INTL(Tasks[[#This Row],[_LeafFcstStart]],Tasks[[#This Row],[_AlapShift]],WorkWeek,Holidays)))</f>
        <v/>
      </c>
      <c r="FJ162" s="91" t="str">
        <f aca="false">IF(NOT(Tasks[[#This Row],[_IsLeaf]]=1),"",IF(Tasks[[#This Row],[_AlapShift]]=0,Tasks[[#This Row],[_LeafFcstFinish]],WORKDAY.INTL(Tasks[[#This Row],[_LeafFcstFinish]],Tasks[[#This Row],[_AlapShift]],WorkWeek,Holidays)))</f>
        <v/>
      </c>
      <c r="FK162" s="91" t="str">
        <f aca="false">IF(Tasks[[#This Row],[Task Name]]="","",IF(Tasks[[#This Row],[_IsSummary]],MIN(INDEX(Tasks[_ShownCalcStart],Tasks[[#This Row],[_Row]]+1):INDEX(Tasks[_ShownCalcStart],Tasks[[#This Row],[_Row]]+Tasks[[#This Row],[_Descendants]])),Tasks[[#This Row],[_ShownCalcStart]]))</f>
        <v/>
      </c>
      <c r="FL162" s="91" t="str">
        <f aca="false">IF(Tasks[[#This Row],[Task Name]]="","",IF(Tasks[[#This Row],[_IsSummary]],MAX(INDEX(Tasks[_ShownCalcFinish],Tasks[[#This Row],[_Row]]+1):INDEX(Tasks[_ShownCalcFinish],Tasks[[#This Row],[_Row]]+Tasks[[#This Row],[_Descendants]])),Tasks[[#This Row],[_ShownCalcFinish]]))</f>
        <v/>
      </c>
      <c r="FM16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2" s="43" t="n">
        <f aca="false">IF(AND(Tasks[[#This Row],[_IsLeaf]]=1,Tasks[[#This Row],[_LeafTotalWork]]&gt;0),NETWORKDAYS.INTL(ProjectStart,Tasks[[#This Row],[_ShownFcstStart]],WorkWeek,Holidays),0)</f>
        <v>0</v>
      </c>
      <c r="FZ162" s="43" t="n">
        <f aca="false">IF(AND(Tasks[[#This Row],[_IsLeaf]]=1,Tasks[[#This Row],[_LeafTotalWork]]&gt;0),MAX(Tasks[[#This Row],[_StartWorkday]],NETWORKDAYS.INTL(ProjectStart,Tasks[[#This Row],[_ShownFcstFinish]],WorkWeek,Holidays)),0)</f>
        <v>0</v>
      </c>
      <c r="GA162" s="43" t="n">
        <f aca="false">IF(AND(Tasks[[#This Row],[_IsLeaf]]=1,Tasks[[#This Row],[_LeafTotalWork]]&gt;0),Tasks[[#This Row],[_LeafWork]]/(Tasks[[#This Row],[_FinishWorkday]]-Tasks[[#This Row],[_StartWorkday]]+1),0)</f>
        <v>0</v>
      </c>
      <c r="GB162" s="43" t="n">
        <f aca="false">Tasks[[#This Row],[_WorkPerWorkday]]*(Tasks[[#This Row],[_StartWorkday]]-1)</f>
        <v>-0</v>
      </c>
      <c r="GC162" s="43" t="n">
        <f aca="false">IF(Tasks[[#This Row],[_IsLeaf]]=1,MAX(N(Tasks[[#This Row],[_Days]]),0.1),0)</f>
        <v>0</v>
      </c>
      <c r="GD162" s="43" t="n">
        <f aca="false">Tasks[[#This Row],[_WeightDur]]*Tasks[[#This Row],[_LeafProgress]]</f>
        <v>0</v>
      </c>
      <c r="GE162" s="43" t="n">
        <f aca="false">Tasks[[#This Row],[_WeightDur]]*Tasks[[#This Row],[_PlannedPct]]</f>
        <v>0</v>
      </c>
      <c r="GF16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2" s="43" t="str">
        <f aca="false">IF(AND(Tasks[[#This Row],[_IsLeaf]]=1,N(Tasks[[#This Row],[_Days]])=0,Tasks[[#This Row],[_LeafProgress]]&lt;1),Tasks[[#This Row],[_ShownFcstFinish]]+Tasks[[#This Row],[_Row]]/100000,"")</f>
        <v/>
      </c>
      <c r="GH16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2" s="43" t="str">
        <f aca="false">IF(Tasks[[#This Row],[Task Name]]="","",LEFT(Tasks[[#This Row],[WBS]],FIND(".",Tasks[[#This Row],[WBS]]&amp;".")-1))</f>
        <v/>
      </c>
      <c r="GJ162" s="43" t="str">
        <f aca="false">IF(AND(Tasks[[#This Row],[Task Name]]&lt;&gt;"",Tasks[[#This Row],[_Level]]=1),Tasks[[#This Row],[_Row]],"")</f>
        <v/>
      </c>
      <c r="GK162" s="43" t="str">
        <f aca="false">IF(AND(Tasks[[#This Row],[_IsLeaf]]=1,N(Tasks[[#This Row],[_Days]])=0),Tasks[[#This Row],[Planned Finish]]+Tasks[[#This Row],[_Row]]/100000,"")</f>
        <v/>
      </c>
      <c r="GL162" s="43" t="str">
        <f aca="false">IF(AND(Tasks[[#This Row],[_IsLeaf]]=1,Tasks[[#This Row],[_LeafProgress]]&lt;1,OR(N(Tasks[[#This Row],[Finish Var]])&gt;0,Tasks[[#This Row],[Status]]="Late Start")),MAX(0,Tasks[[#This Row],[Finish Var]])+1-Tasks[[#This Row],[_Row]]/1000000,"")</f>
        <v/>
      </c>
      <c r="GM162" s="43" t="str">
        <f aca="false">IF(AND(Tasks[[#This Row],[_IsLeaf]]=1,N(Tasks[[#This Row],[Actual Start]])=0,Tasks[[#This Row],[_ShownFcstStart]]&gt;=StatusDate,Tasks[[#This Row],[_ShownFcstStart]]&lt;=LookaheadEnd),Tasks[[#This Row],[_ShownFcstStart]]+Tasks[[#This Row],[_Row]]/100000,"")</f>
        <v/>
      </c>
      <c r="GN162" s="43" t="str">
        <f aca="false">IF(AND(Tasks[[#This Row],[_IsLeaf]]=1,Tasks[[#This Row],[_LeafProgress]]&lt;1,Tasks[[#This Row],[_ShownFcstFinish]]&gt;=StatusDate,Tasks[[#This Row],[_ShownFcstFinish]]&lt;=LookaheadEnd),Tasks[[#This Row],[_ShownFcstFinish]]+Tasks[[#This Row],[_Row]]/100000,"")</f>
        <v/>
      </c>
      <c r="GO162" s="43" t="str">
        <f aca="false">IF(Tasks[[#This Row],[_LeafCritical]],Tasks[[#This Row],[_ShownFcstStart]]+Tasks[[#This Row],[_Row]]/100000,"")</f>
        <v/>
      </c>
      <c r="GP162" s="43" t="n">
        <f aca="false">Tasks[[#This Row],[_LeafWork]]*Tasks[[#This Row],[_LeafProgress]]</f>
        <v>0</v>
      </c>
      <c r="GQ162" s="91" t="str">
        <f aca="false">IF(AND(Tasks[[#This Row],[_IsLeaf]]=1,Tasks[[#This Row],[_LeafProgress]]&gt;=1),IF(N(Tasks[[#This Row],[Actual Finish]])&gt;0,Tasks[[#This Row],[Actual Finish]],Tasks[[#This Row],[_ShownFcstFinish]]),"")</f>
        <v/>
      </c>
      <c r="GR162" s="43" t="n">
        <f aca="false">IF(Tasks[[#This Row],[_IsLeaf]]=1,N(Tasks[[#This Row],[Story Points]]),0)</f>
        <v>0</v>
      </c>
      <c r="GS162" s="43" t="str">
        <f aca="false">""</f>
        <v/>
      </c>
      <c r="GT162" s="90" t="b">
        <f aca="false">IF(Tasks[[#This Row],[Task Name]]="",FALSE(),AND(Tasks[[#This Row],[_IsLeaf]]=1,N(Tasks[[#This Row],[_Days]])=0))</f>
        <v>0</v>
      </c>
      <c r="GU162" s="91" t="n">
        <f aca="false">IF(Tasks[[#This Row],[Task Name]]="",0,IF(AND(Tasks[[#This Row],[_IsLeaf]]=1,NOT(Tasks[[#This Row],[_IsMilestone]]),N(Tasks[[#This Row],[Progress]])&gt;0),Tasks[[#This Row],[Start]],0))</f>
        <v>0</v>
      </c>
      <c r="GV162" s="91" t="n">
        <f aca="false">IF(Tasks[[#This Row],[_DoneFrom]]=0,0,IF(Tasks[[#This Row],[Progress]]&gt;=1,Tasks[[#This Row],[Finish]],MAX(Tasks[[#This Row],[_DoneFrom]],Tasks[[#This Row],[Start]]+ROUND((Tasks[[#This Row],[Finish]]-Tasks[[#This Row],[Start]]+1)*Tasks[[#This Row],[Progress]],0)-1)))</f>
        <v>0</v>
      </c>
      <c r="GW162" s="91" t="n">
        <f aca="false">IF(Tasks[[#This Row],[Task Name]]="",0,IF(OR(NOT(Tasks[[#This Row],[_IsLeaf]]=1),Tasks[[#This Row],[_IsMilestone]],N(Tasks[[#This Row],[Progress]])&gt;=1),0,IF(Tasks[[#This Row],[_DoneTo]]&gt;0,Tasks[[#This Row],[_DoneTo]]+1,Tasks[[#This Row],[Start]])))</f>
        <v>0</v>
      </c>
      <c r="GX162" s="91" t="n">
        <f aca="false">IF(Tasks[[#This Row],[_RemFrom]]=0,0,Tasks[[#This Row],[Finish]])</f>
        <v>0</v>
      </c>
      <c r="GY162" s="90" t="b">
        <f aca="false">IF(Tasks[[#This Row],[Task Name]]="",FALSE(),OR(NOT(BaselineSet),N(Tasks[[#This Row],[Baseline Start]])&gt;0))</f>
        <v>0</v>
      </c>
      <c r="GZ16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2" s="92" t="str">
        <f aca="false">IF(Tasks[[#This Row],[_IsLeaf]]=1,Tasks[[#This Row],[_Row]],"")</f>
        <v/>
      </c>
      <c r="HD162" s="92" t="str">
        <f aca="false">IFERROR(INDEX(Tasks[UID],SMALL(Tasks[_PickKey],Tasks[[#This Row],[_Row]]))&amp;" "&amp;INDEX(Tasks[Task Name],SMALL(Tasks[_PickKey],Tasks[[#This Row],[_Row]])),"")</f>
        <v/>
      </c>
      <c r="HE162" s="43" t="str">
        <f aca="false">IF(Tasks[[#This Row],[Task Name]]="","",IF(Tasks[[#This Row],[_IsSummary]],NETWORKDAYS.INTL(Tasks[[#This Row],[Start]],Tasks[[#This Row],[Finish]],WorkWeek,Holidays),N(Tasks[[#This Row],[_Days]])))</f>
        <v/>
      </c>
      <c r="HF162" s="43" t="n">
        <f aca="false">IF(Tasks[[#This Row],[Expected]]="",0,((Tasks[[#This Row],[Pessimistic]]-Tasks[[#This Row],[Optimistic]])/6)^2)</f>
        <v>0</v>
      </c>
      <c r="HG162" s="43" t="n">
        <f aca="false">IF(Tasks[[#This Row],[Expected]]="",0,Tasks[[#This Row],[Expected]]-N(Tasks[[#This Row],[_Days]]))</f>
        <v>0</v>
      </c>
    </row>
    <row r="163" customFormat="false" ht="15" hidden="false" customHeight="false" outlineLevel="0" collapsed="false">
      <c r="A163" s="21" t="str">
        <f aca="false">IF(Tasks[[#This Row],[Task Name]]="","",COUNTA(Tasks[[#Headers],[Task Name]]:Tasks[[#This Row],[Task Name]])-1)</f>
        <v/>
      </c>
      <c r="B163" s="22" t="n">
        <v>171</v>
      </c>
      <c r="C163" s="22"/>
      <c r="D163" s="23"/>
      <c r="E163" s="22"/>
      <c r="F163" s="23"/>
      <c r="G163" s="22"/>
      <c r="H163" s="22"/>
      <c r="I163" s="23"/>
      <c r="J163" s="22"/>
      <c r="K163" s="22"/>
      <c r="L163" s="23"/>
      <c r="M163" s="22"/>
      <c r="N163" s="22"/>
      <c r="O163" s="23"/>
      <c r="P163" s="22"/>
      <c r="Q163" s="22"/>
      <c r="R163" s="23"/>
      <c r="S163" s="23"/>
      <c r="T163" s="84"/>
      <c r="U163" s="23"/>
      <c r="V163" s="84"/>
      <c r="W163" s="23"/>
      <c r="X163" s="84"/>
      <c r="Y163" s="23"/>
      <c r="Z163" s="84"/>
      <c r="AA163" s="23"/>
      <c r="AB163" s="23"/>
      <c r="AC163" s="7"/>
      <c r="AD163" s="7"/>
      <c r="AE163" s="63" t="str">
        <f aca="false">IF(Tasks[[#This Row],[Task Name]]="","",IF(Tasks[[#This Row],[_IsSummary]],MIN(INDEX(Tasks[_ShownFcstStart],Tasks[[#This Row],[_Row]]+1):INDEX(Tasks[_ShownFcstStart],Tasks[[#This Row],[_Row]]+Tasks[[#This Row],[_Descendants]])),Tasks[[#This Row],[_ShownFcstStart]]))</f>
        <v/>
      </c>
      <c r="AF163" s="63" t="str">
        <f aca="false">IF(Tasks[[#This Row],[Task Name]]="","",IF(Tasks[[#This Row],[_IsSummary]],MAX(INDEX(Tasks[_ShownFcstFinish],Tasks[[#This Row],[_Row]]+1):INDEX(Tasks[_ShownFcstFinish],Tasks[[#This Row],[_Row]]+Tasks[[#This Row],[_Descendants]])),Tasks[[#This Row],[_ShownFcstFinish]]))</f>
        <v/>
      </c>
      <c r="AG163" s="21" t="str">
        <f aca="false">""</f>
        <v/>
      </c>
      <c r="AH163" s="23"/>
      <c r="AI1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3" s="7"/>
      <c r="AK163" s="22"/>
      <c r="AL163" s="23"/>
      <c r="AM163" s="7"/>
      <c r="AN163" s="47" t="str">
        <f aca="false">IF(Tasks[[#This Row],[Task Name]]="","",IF(Tasks[[#This Row],[Finish]]&gt;=Tasks[[#This Row],[Planned Finish]],NETWORKDAYS.INTL(Tasks[[#This Row],[Planned Finish]],Tasks[[#This Row],[Finish]],WorkWeek,Holidays)-1,1-NETWORKDAYS.INTL(Tasks[[#This Row],[Finish]],Tasks[[#This Row],[Planned Finish]],WorkWeek,Holidays)))</f>
        <v/>
      </c>
      <c r="AO163" s="21" t="str">
        <f aca="false">IF(Tasks[[#This Row],[Task Name]]="","",IF(Tasks[[#This Row],[Progress]]&gt;=1,"Complete",IF(OR(N(Tasks[[#This Row],[Actual Start]])&gt;0,Tasks[[#This Row],[Progress]]&gt;0),IF(Tasks[[#This Row],[Finish Var]]&gt;0,"Behind","In Progress"),IF(Tasks[[#This Row],[Planned Start]]&lt;StatusDate,"Late Start","Not Started"))))</f>
        <v/>
      </c>
      <c r="AP163" s="21" t="str">
        <f aca="false">IF(Tasks[[#This Row],[Task Name]]="","",IF(IF(Tasks[[#This Row],[_IsSummary]],COUNTIF(INDEX(Tasks[_LeafCritical],Tasks[[#This Row],[_Row]]+1):INDEX(Tasks[_LeafCritical],Tasks[[#This Row],[_Row]]+Tasks[[#This Row],[_Descendants]]),TRUE())&gt;0,Tasks[[#This Row],[_LeafCritical]]),"Yes",""))</f>
        <v/>
      </c>
      <c r="AQ163" s="63" t="str">
        <f aca="false">IF(Tasks[[#This Row],[Task Name]]="","",IF(N(Tasks[[#This Row],[Baseline Start]])&gt;0,Tasks[[#This Row],[Baseline Start]],Tasks[[#This Row],[_CalcStart]]))</f>
        <v/>
      </c>
      <c r="AR163" s="63" t="str">
        <f aca="false">IF(Tasks[[#This Row],[Task Name]]="","",IF(N(Tasks[[#This Row],[Baseline Finish]])&gt;0,Tasks[[#This Row],[Baseline Finish]],Tasks[[#This Row],[_CalcFinish]]))</f>
        <v/>
      </c>
      <c r="AS163" s="47" t="str">
        <f aca="false">IF(Tasks[[#This Row],[Task Name]]="","",IF(Tasks[[#This Row],[Start]]&gt;=Tasks[[#This Row],[Planned Start]],NETWORKDAYS.INTL(Tasks[[#This Row],[Planned Start]],Tasks[[#This Row],[Start]],WorkWeek,Holidays)-1,1-NETWORKDAYS.INTL(Tasks[[#This Row],[Start]],Tasks[[#This Row],[Planned Start]],WorkWeek,Holidays)))</f>
        <v/>
      </c>
      <c r="AT163" s="63" t="str">
        <f aca="false">IF(Tasks[[#This Row],[Task Name]]="","",IF(Tasks[[#This Row],[_IsSummary]],MIN(INDEX(Tasks[_LeafLateStart],Tasks[[#This Row],[_Row]]+1):INDEX(Tasks[_LeafLateStart],Tasks[[#This Row],[_Row]]+Tasks[[#This Row],[_Descendants]])),Tasks[[#This Row],[_LeafLateStart]]))</f>
        <v/>
      </c>
      <c r="AU163" s="63" t="str">
        <f aca="false">IF(Tasks[[#This Row],[Task Name]]="","",IF(Tasks[[#This Row],[_IsSummary]],MAX(INDEX(Tasks[_LeafLateFinish],Tasks[[#This Row],[_Row]]+1):INDEX(Tasks[_LeafLateFinish],Tasks[[#This Row],[_Row]]+Tasks[[#This Row],[_Descendants]])),Tasks[[#This Row],[_LeafLateFinish]]))</f>
        <v/>
      </c>
      <c r="AV163" s="47" t="str">
        <f aca="false">IF(Tasks[[#This Row],[Task Name]]="","",IF(Tasks[[#This Row],[_IsSummary]],MIN(INDEX(Tasks[_LeafTotalSlack],Tasks[[#This Row],[_Row]]+1):INDEX(Tasks[_LeafTotalSlack],Tasks[[#This Row],[_Row]]+Tasks[[#This Row],[_Descendants]])),Tasks[[#This Row],[_LeafTotalSlack]]))</f>
        <v/>
      </c>
      <c r="AW1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5"/>
      <c r="BA16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1" t="str">
        <f aca="false">IF(Tasks[[#This Row],[Task Name]]="","",IF(Tasks[[#This Row],[_Level]]&lt;=OutlineShowLevel,"Yes","No"))</f>
        <v/>
      </c>
      <c r="BE163" s="86" t="str">
        <f aca="false">IF(Tasks[[#This Row],[Task Name]]="","",IF(Tasks[[#This Row],[_IsSummary]],SUM(INDEX(Tasks[_LeafTotalWork],Tasks[[#This Row],[_Row]]+1):INDEX(Tasks[_LeafTotalWork],Tasks[[#This Row],[_Row]]+Tasks[[#This Row],[_Descendants]])),Tasks[[#This Row],[_LeafTotalWork]]))</f>
        <v/>
      </c>
      <c r="BF163" s="23"/>
      <c r="BG1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3" s="21" t="str">
        <f aca="false">""</f>
        <v/>
      </c>
      <c r="BI163" s="87"/>
      <c r="BJ163" s="22"/>
      <c r="BK163" s="47" t="str">
        <f aca="false">IF(OR(Tasks[[#This Row],[Task Name]]="",Tasks[[#This Row],[Baseline Duration]]=""),"",Tasks[[#This Row],[_SpanDays]]-N(Tasks[[#This Row],[Baseline Duration]]))</f>
        <v/>
      </c>
      <c r="BL163" s="86" t="str">
        <f aca="false">IF(OR(Tasks[[#This Row],[Task Name]]="",Tasks[[#This Row],[Baseline Work]]=""),"",Tasks[[#This Row],[Work]]-N(Tasks[[#This Row],[Baseline Work]]))</f>
        <v/>
      </c>
      <c r="BM163" s="63" t="str">
        <f aca="false">IF(Tasks[[#This Row],[Task Name]]="","",IF(OR(TakeBaseline="Yes",N(Tasks[[#This Row],[Baseline Start]])=0),Tasks[[#This Row],[Start]],Tasks[[#This Row],[Baseline Start]]))</f>
        <v/>
      </c>
      <c r="BN163" s="63" t="str">
        <f aca="false">IF(Tasks[[#This Row],[Task Name]]="","",IF(OR(TakeBaseline="Yes",N(Tasks[[#This Row],[Baseline Finish]])=0),Tasks[[#This Row],[Finish]],Tasks[[#This Row],[Baseline Finish]]))</f>
        <v/>
      </c>
      <c r="BO163" s="21" t="str">
        <f aca="false">IF(Tasks[[#This Row],[Task Name]]="","",IF(OR(TakeBaseline="Yes",N(Tasks[[#This Row],[Baseline Duration]])=0),Tasks[[#This Row],[_SpanDays]],Tasks[[#This Row],[Baseline Duration]]))</f>
        <v/>
      </c>
      <c r="BP163" s="86" t="str">
        <f aca="false">IF(Tasks[[#This Row],[Task Name]]="","",IF(OR(TakeBaseline="Yes",N(Tasks[[#This Row],[Baseline Work]])=0),Tasks[[#This Row],[Work]],Tasks[[#This Row],[Baseline Work]]))</f>
        <v/>
      </c>
      <c r="BQ163" s="7"/>
      <c r="BR163" s="7"/>
      <c r="BS163" s="22"/>
      <c r="BT163" s="88"/>
      <c r="BU163" s="23"/>
      <c r="BV163" s="23"/>
      <c r="BW163" s="23"/>
      <c r="BX163" s="89" t="str">
        <f aca="false">IF(AND(Tasks[[#This Row],[_IsLeaf]]=1,ISNUMBER(Tasks[[#This Row],[Optimistic]]),ISNUMBER(Tasks[[#This Row],[Pessimistic]])),ROUND((Tasks[[#This Row],[Optimistic]]+4*N(Tasks[[#This Row],[_Days]])+Tasks[[#This Row],[Pessimistic]])/6,1),"")</f>
        <v/>
      </c>
      <c r="BY163" s="87"/>
      <c r="BZ163" s="87"/>
      <c r="CA163" s="22"/>
      <c r="CB163" s="43" t="str">
        <f aca="false">IF(Tasks[[#This Row],[Task Name]]="","",MAX(1,N(Tasks[[#This Row],[Level]])))</f>
        <v/>
      </c>
      <c r="CC163" s="43" t="n">
        <f aca="false">ROW()-ROW(Tasks[[#Headers],[ID]])</f>
        <v>158</v>
      </c>
      <c r="CD163" s="43" t="n">
        <f aca="false">IF(OR(Tasks[[#This Row],[Task Name]]="",Tasks[[#This Row],[_Level]]&lt;=1),0,IFERROR(LOOKUP(2,1/(Tasks[[#Headers],[_Level]]:Tasks[[#This Row],[_Level]]=Tasks[[#This Row],[_Level]]-1),ROW(Tasks[[#Headers],[_Level]]:Tasks[[#This Row],[_Level]])),0))</f>
        <v>0</v>
      </c>
      <c r="CE163" s="43" t="n">
        <f aca="false">IFERROR(N(INDEX(Tasks[_Level],Tasks[[#This Row],[_Row]]+1)),0)</f>
        <v>0</v>
      </c>
      <c r="CF163" s="90" t="b">
        <f aca="false">AND(Tasks[[#This Row],[Task Name]]&lt;&gt;"",Tasks[[#This Row],[_NextLevel]]&gt;Tasks[[#This Row],[_Level]])</f>
        <v>0</v>
      </c>
      <c r="CG163" s="43" t="n">
        <f aca="false">IF(Tasks[[#This Row],[_IsSummary]],COUNTIF(Tasks[WBS],Tasks[[#This Row],[WBS]]&amp;".*"),0)</f>
        <v>0</v>
      </c>
      <c r="CH163" s="43" t="n">
        <f aca="false">IF(AND(Tasks[[#This Row],[Task Name]]&lt;&gt;"",NOT(Tasks[[#This Row],[_IsSummary]])),1,0)</f>
        <v>0</v>
      </c>
      <c r="CI163" s="43" t="n">
        <f aca="false">IF(N(Tasks[[#This Row],[_Pred1UID]])=0,0,IFERROR(MATCH(Tasks[[#This Row],[_Pred1UID]],Tasks[UID],0),-1))</f>
        <v>0</v>
      </c>
      <c r="CJ163" s="43" t="n">
        <f aca="false">IF(N(Tasks[[#This Row],[_Pred2UID]])=0,0,IFERROR(MATCH(Tasks[[#This Row],[_Pred2UID]],Tasks[UID],0),-1))</f>
        <v>0</v>
      </c>
      <c r="CK163" s="43" t="n">
        <f aca="false">IF(N(Tasks[[#This Row],[_Pred3UID]])=0,0,IFERROR(MATCH(Tasks[[#This Row],[_Pred3UID]],Tasks[UID],0),-1))</f>
        <v>0</v>
      </c>
      <c r="CL163" s="43" t="n">
        <f aca="false">IF(N(Tasks[[#This Row],[_Pred4UID]])=0,0,IFERROR(MATCH(Tasks[[#This Row],[_Pred4UID]],Tasks[UID],0),-1))</f>
        <v>0</v>
      </c>
      <c r="CM16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3" s="91" t="n">
        <f aca="false">IF(OR(Tasks[[#This Row],[_ConstraintCode]]=2,Tasks[[#This Row],[_ConstraintCode]]=3,Tasks[[#This Row],[_ConstraintCode]]=4,Tasks[[#This Row],[_ConstraintCode]]=6),Tasks[[#This Row],[_ConstraintStart]],0)</f>
        <v>0</v>
      </c>
      <c r="CP163" s="91" t="n">
        <f aca="false">IF(OR(Tasks[[#This Row],[_ConstraintCode]]=2,Tasks[[#This Row],[_ConstraintCode]]=3,Tasks[[#This Row],[_ConstraintCode]]=5,Tasks[[#This Row],[_ConstraintCode]]=7),Tasks[[#This Row],[_ConstraintStart]],2958465)</f>
        <v>2958465</v>
      </c>
      <c r="CQ16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3" s="91" t="str">
        <f aca="false">IF(NOT(Tasks[[#This Row],[_IsLeaf]]=1),"",IF(N(Tasks[[#This Row],[_Days]])&lt;=0,Tasks[[#This Row],[_LeafCalcStart]],WORKDAY.INTL(Tasks[[#This Row],[_LeafCalcStart]],Tasks[[#This Row],[_Days]]-1,WorkWeek,Holidays)))</f>
        <v/>
      </c>
      <c r="CS16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3" s="43" t="str">
        <f aca="false">IF(Tasks[[#This Row],[_Predecessors]]="","",TRIM(MID(SUBSTITUTE(SUBSTITUTE(SUBSTITUTE(UPPER(Tasks[[#This Row],[_Predecessors]]),";",",")," ",""),",",REPT(" ",99)),1,99)))</f>
        <v/>
      </c>
      <c r="CV163" s="43" t="str">
        <f aca="false">IF(Tasks[[#This Row],[_Pred1Text]]="","",IFERROR(VALUE(LEFT(Tasks[[#This Row],[_Pred1Text]],MIN(FIND("F",Tasks[[#This Row],[_Pred1Text]]&amp;"F"),FIND("S",Tasks[[#This Row],[_Pred1Text]]&amp;"S"),FIND("+",Tasks[[#This Row],[_Pred1Text]]&amp;"+"),FIND("-",Tasks[[#This Row],[_Pred1Text]]&amp;"-"))-1)),""))</f>
        <v/>
      </c>
      <c r="CW16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3" s="43" t="str">
        <f aca="false">IF(Tasks[[#This Row],[_Pred1Text]]="","",TRIM(MID(SUBSTITUTE(SUBSTITUTE(SUBSTITUTE(UPPER(Tasks[[#This Row],[_Predecessors]]),";",",")," ",""),",",REPT(" ",99)),100,99)))</f>
        <v/>
      </c>
      <c r="CZ163" s="43" t="str">
        <f aca="false">IF(Tasks[[#This Row],[_Pred2Text]]="","",IFERROR(VALUE(LEFT(Tasks[[#This Row],[_Pred2Text]],MIN(FIND("F",Tasks[[#This Row],[_Pred2Text]]&amp;"F"),FIND("S",Tasks[[#This Row],[_Pred2Text]]&amp;"S"),FIND("+",Tasks[[#This Row],[_Pred2Text]]&amp;"+"),FIND("-",Tasks[[#This Row],[_Pred2Text]]&amp;"-"))-1)),""))</f>
        <v/>
      </c>
      <c r="DA16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3" s="43" t="str">
        <f aca="false">IF(Tasks[[#This Row],[_Pred2Text]]="","",TRIM(MID(SUBSTITUTE(SUBSTITUTE(SUBSTITUTE(UPPER(Tasks[[#This Row],[_Predecessors]]),";",",")," ",""),",",REPT(" ",99)),199,99)))</f>
        <v/>
      </c>
      <c r="DD163" s="43" t="str">
        <f aca="false">IF(Tasks[[#This Row],[_Pred3Text]]="","",IFERROR(VALUE(LEFT(Tasks[[#This Row],[_Pred3Text]],MIN(FIND("F",Tasks[[#This Row],[_Pred3Text]]&amp;"F"),FIND("S",Tasks[[#This Row],[_Pred3Text]]&amp;"S"),FIND("+",Tasks[[#This Row],[_Pred3Text]]&amp;"+"),FIND("-",Tasks[[#This Row],[_Pred3Text]]&amp;"-"))-1)),""))</f>
        <v/>
      </c>
      <c r="DE16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3" s="43" t="str">
        <f aca="false">IF(Tasks[[#This Row],[_Pred3Text]]="","",TRIM(MID(SUBSTITUTE(SUBSTITUTE(SUBSTITUTE(UPPER(Tasks[[#This Row],[_Predecessors]]),";",",")," ",""),",",REPT(" ",99)),298,99)))</f>
        <v/>
      </c>
      <c r="DH163" s="43" t="str">
        <f aca="false">IF(Tasks[[#This Row],[_Pred4Text]]="","",IFERROR(VALUE(LEFT(Tasks[[#This Row],[_Pred4Text]],MIN(FIND("F",Tasks[[#This Row],[_Pred4Text]]&amp;"F"),FIND("S",Tasks[[#This Row],[_Pred4Text]]&amp;"S"),FIND("+",Tasks[[#This Row],[_Pred4Text]]&amp;"+"),FIND("-",Tasks[[#This Row],[_Pred4Text]]&amp;"-"))-1)),""))</f>
        <v/>
      </c>
      <c r="DI16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3" s="43" t="str">
        <f aca="false">IF(OR(Tasks[[#This Row],[Task Name]]="",Tasks[[#This Row],[_Resources]]=""),"",TRIM(MID(SUBSTITUTE(Tasks[[#This Row],[_Resources]],",",REPT(" ",99)),1,99)))</f>
        <v/>
      </c>
      <c r="DL163" s="43" t="str">
        <f aca="false">IF(Tasks[[#This Row],[_Res1Text]]="","",TRIM(MID(SUBSTITUTE(Tasks[[#This Row],[_Resources]],",",REPT(" ",99)),100,99)))</f>
        <v/>
      </c>
      <c r="DM163" s="43" t="str">
        <f aca="false">IF(Tasks[[#This Row],[_Res2Text]]="","",TRIM(MID(SUBSTITUTE(Tasks[[#This Row],[_Resources]],",",REPT(" ",99)),199,99)))</f>
        <v/>
      </c>
      <c r="DN163" s="43" t="str">
        <f aca="false">IF(Tasks[[#This Row],[_Res3Text]]="","",TRIM(MID(SUBSTITUTE(Tasks[[#This Row],[_Resources]],",",REPT(" ",99)),298,99)))</f>
        <v/>
      </c>
      <c r="DO163" s="43" t="n">
        <f aca="false">IF(Tasks[[#This Row],[_Res1Text]]="",0,IFERROR(MATCH(TRIM(LEFT(Tasks[[#This Row],[_Res1Text]],FIND("[",Tasks[[#This Row],[_Res1Text]]&amp;"[")-1)),res_Name,0),IFERROR(MATCH(TRIM(LEFT(Tasks[[#This Row],[_Res1Text]],FIND("[",Tasks[[#This Row],[_Res1Text]]&amp;"[")-1)),res_Initials,0),0)))</f>
        <v>0</v>
      </c>
      <c r="DP163" s="43" t="n">
        <f aca="false">IF(Tasks[[#This Row],[_Res2Text]]="",0,IFERROR(MATCH(TRIM(LEFT(Tasks[[#This Row],[_Res2Text]],FIND("[",Tasks[[#This Row],[_Res2Text]]&amp;"[")-1)),res_Name,0),IFERROR(MATCH(TRIM(LEFT(Tasks[[#This Row],[_Res2Text]],FIND("[",Tasks[[#This Row],[_Res2Text]]&amp;"[")-1)),res_Initials,0),0)))</f>
        <v>0</v>
      </c>
      <c r="DQ163" s="43" t="n">
        <f aca="false">IF(Tasks[[#This Row],[_Res3Text]]="",0,IFERROR(MATCH(TRIM(LEFT(Tasks[[#This Row],[_Res3Text]],FIND("[",Tasks[[#This Row],[_Res3Text]]&amp;"[")-1)),res_Name,0),IFERROR(MATCH(TRIM(LEFT(Tasks[[#This Row],[_Res3Text]],FIND("[",Tasks[[#This Row],[_Res3Text]]&amp;"[")-1)),res_Initials,0),0)))</f>
        <v>0</v>
      </c>
      <c r="DR163" s="43" t="n">
        <f aca="false">IF(Tasks[[#This Row],[_Res4Text]]="",0,IFERROR(MATCH(TRIM(LEFT(Tasks[[#This Row],[_Res4Text]],FIND("[",Tasks[[#This Row],[_Res4Text]]&amp;"[")-1)),res_Name,0),IFERROR(MATCH(TRIM(LEFT(Tasks[[#This Row],[_Res4Text]],FIND("[",Tasks[[#This Row],[_Res4Text]]&amp;"[")-1)),res_Initials,0),0)))</f>
        <v>0</v>
      </c>
      <c r="DS163" s="43" t="str">
        <f aca="false">IF(Tasks[[#This Row],[_Res1Text]]="","",IF(Tasks[[#This Row],[_Res1Row]]&gt;0,INDEX(res_Name,Tasks[[#This Row],[_Res1Row]]),TRIM(LEFT(Tasks[[#This Row],[_Res1Text]],FIND("[",Tasks[[#This Row],[_Res1Text]]&amp;"[")-1))))</f>
        <v/>
      </c>
      <c r="DT16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3" s="43" t="n">
        <f aca="false">IF(NOT(Tasks[[#This Row],[_IsLeaf]]=1),0,(Tasks[[#This Row],[_Resource1]]&lt;&gt;"")+(Tasks[[#This Row],[_Res2]]&lt;&gt;"")+(Tasks[[#This Row],[_Res3]]&lt;&gt;"")+(Tasks[[#This Row],[_Res4]]&lt;&gt;""))</f>
        <v>0</v>
      </c>
      <c r="DV163" s="43" t="str">
        <f aca="false">IF(Tasks[[#This Row],[_Res2Text]]="","",IF(Tasks[[#This Row],[_Res2Row]]&gt;0,INDEX(res_Name,Tasks[[#This Row],[_Res2Row]]),TRIM(LEFT(Tasks[[#This Row],[_Res2Text]],FIND("[",Tasks[[#This Row],[_Res2Text]]&amp;"[")-1))))</f>
        <v/>
      </c>
      <c r="DW16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3" s="43" t="n">
        <f aca="false">IF(OR(NOT(Tasks[[#This Row],[_IsLeaf]]=1),Tasks[[#This Row],[_Res2Row]]=0),0,N(Tasks[[#This Row],[_Days]])*HoursPerDay*IF(Tasks[[#This Row],[_Res2Units]]="",DefaultUnits,Tasks[[#This Row],[_Res2Units]]))</f>
        <v>0</v>
      </c>
      <c r="DY163" s="43" t="n">
        <f aca="false">IF(AND(AND(Tasks[[#This Row],[_IsLeaf]]=1,Tasks[[#This Row],[_LeafTotalWork]]&gt;0),Tasks[[#This Row],[_Res2Work]]&gt;0),Tasks[[#This Row],[_Res2Work]]/(Tasks[[#This Row],[_FinishWorkday]]-Tasks[[#This Row],[_StartWorkday]]+1),0)</f>
        <v>0</v>
      </c>
      <c r="DZ163" s="43" t="n">
        <f aca="false">Tasks[[#This Row],[_Res2WorkPerWD]]*MAX(0,Tasks[[#This Row],[_StartWorkday]]-1)</f>
        <v>0</v>
      </c>
      <c r="EA163" s="43" t="n">
        <f aca="false">Tasks[[#This Row],[_Res2Work]]*Tasks[[#This Row],[_LeafProgress]]</f>
        <v>0</v>
      </c>
      <c r="EB163" s="43" t="str">
        <f aca="false">IF(Tasks[[#This Row],[_Res3Text]]="","",IF(Tasks[[#This Row],[_Res3Row]]&gt;0,INDEX(res_Name,Tasks[[#This Row],[_Res3Row]]),TRIM(LEFT(Tasks[[#This Row],[_Res3Text]],FIND("[",Tasks[[#This Row],[_Res3Text]]&amp;"[")-1))))</f>
        <v/>
      </c>
      <c r="EC16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3" s="43" t="n">
        <f aca="false">IF(OR(NOT(Tasks[[#This Row],[_IsLeaf]]=1),Tasks[[#This Row],[_Res3Row]]=0),0,N(Tasks[[#This Row],[_Days]])*HoursPerDay*IF(Tasks[[#This Row],[_Res3Units]]="",DefaultUnits,Tasks[[#This Row],[_Res3Units]]))</f>
        <v>0</v>
      </c>
      <c r="EE163" s="43" t="n">
        <f aca="false">IF(AND(AND(Tasks[[#This Row],[_IsLeaf]]=1,Tasks[[#This Row],[_LeafTotalWork]]&gt;0),Tasks[[#This Row],[_Res3Work]]&gt;0),Tasks[[#This Row],[_Res3Work]]/(Tasks[[#This Row],[_FinishWorkday]]-Tasks[[#This Row],[_StartWorkday]]+1),0)</f>
        <v>0</v>
      </c>
      <c r="EF163" s="43" t="n">
        <f aca="false">Tasks[[#This Row],[_Res3WorkPerWD]]*MAX(0,Tasks[[#This Row],[_StartWorkday]]-1)</f>
        <v>0</v>
      </c>
      <c r="EG163" s="43" t="n">
        <f aca="false">Tasks[[#This Row],[_Res3Work]]*Tasks[[#This Row],[_LeafProgress]]</f>
        <v>0</v>
      </c>
      <c r="EH163" s="43" t="str">
        <f aca="false">IF(Tasks[[#This Row],[_Res4Text]]="","",IF(Tasks[[#This Row],[_Res4Row]]&gt;0,INDEX(res_Name,Tasks[[#This Row],[_Res4Row]]),TRIM(LEFT(Tasks[[#This Row],[_Res4Text]],FIND("[",Tasks[[#This Row],[_Res4Text]]&amp;"[")-1))))</f>
        <v/>
      </c>
      <c r="EI16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3" s="43" t="n">
        <f aca="false">IF(OR(NOT(Tasks[[#This Row],[_IsLeaf]]=1),Tasks[[#This Row],[_Res4Row]]=0),0,N(Tasks[[#This Row],[_Days]])*HoursPerDay*IF(Tasks[[#This Row],[_Res4Units]]="",DefaultUnits,Tasks[[#This Row],[_Res4Units]]))</f>
        <v>0</v>
      </c>
      <c r="EK163" s="43" t="n">
        <f aca="false">IF(AND(AND(Tasks[[#This Row],[_IsLeaf]]=1,Tasks[[#This Row],[_LeafTotalWork]]&gt;0),Tasks[[#This Row],[_Res4Work]]&gt;0),Tasks[[#This Row],[_Res4Work]]/(Tasks[[#This Row],[_FinishWorkday]]-Tasks[[#This Row],[_StartWorkday]]+1),0)</f>
        <v>0</v>
      </c>
      <c r="EL163" s="43" t="n">
        <f aca="false">Tasks[[#This Row],[_Res4WorkPerWD]]*MAX(0,Tasks[[#This Row],[_StartWorkday]]-1)</f>
        <v>0</v>
      </c>
      <c r="EM163" s="43" t="n">
        <f aca="false">Tasks[[#This Row],[_Res4Work]]*Tasks[[#This Row],[_LeafProgress]]</f>
        <v>0</v>
      </c>
      <c r="EN163" s="43" t="n">
        <f aca="false">IF(ISNUMBER(Tasks[[#This Row],[% Complete]]),Tasks[[#This Row],[% Complete]],IF(Tasks[[#This Row],[Stage]]="",0,IFERROR(INDEX(stg_Pct,MATCH(Tasks[[#This Row],[Stage]],stg_Name,0)),0)))</f>
        <v>0</v>
      </c>
      <c r="EO163" s="43" t="n">
        <f aca="false">IF(NOT(Tasks[[#This Row],[_IsLeaf]]=1),0,IF(N(Tasks[[#This Row],[Actual Finish]])&gt;0,1,MIN(1,Tasks[[#This Row],[_Pct]])))</f>
        <v>0</v>
      </c>
      <c r="EP163" s="43" t="n">
        <f aca="false">IF(OR(NOT(Tasks[[#This Row],[_IsLeaf]]=1),Tasks[[#This Row],[_Res1Row]]=0),0,N(Tasks[[#This Row],[_Days]])*HoursPerDay*IF(Tasks[[#This Row],[_Units1]]="",DefaultUnits,Tasks[[#This Row],[_Units1]]))</f>
        <v>0</v>
      </c>
      <c r="EQ163" s="43" t="n">
        <f aca="false">Tasks[[#This Row],[_LeafWork]]+Tasks[[#This Row],[_Res2Work]]+Tasks[[#This Row],[_Res3Work]]+Tasks[[#This Row],[_Res4Work]]</f>
        <v>0</v>
      </c>
      <c r="ER16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3" s="43" t="n">
        <f aca="false">IF(NOT(Tasks[[#This Row],[_IsLeaf]]=1),0,MAX(_xlfn.MAXIFS(Tasks[_Row],Tasks[_Pred1UID],Tasks[[#This Row],[UID]]),_xlfn.MAXIFS(Tasks[_Row],Tasks[_Pred2UID],Tasks[[#This Row],[UID]]),_xlfn.MAXIFS(Tasks[_Row],Tasks[_Pred3UID],Tasks[[#This Row],[UID]]),_xlfn.MAXIFS(Tasks[_Row],Tasks[_Pred4UID],Tasks[[#This Row],[UID]])))</f>
        <v>0</v>
      </c>
      <c r="FA16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3" s="91" t="str">
        <f aca="false">IF(NOT(Tasks[[#This Row],[_IsLeaf]]=1),"",IF(N(Tasks[[#This Row],[_Days]])&lt;=0,Tasks[[#This Row],[_LeafLateFinish]],WORKDAY.INTL(Tasks[[#This Row],[_LeafLateFinish]],-(Tasks[[#This Row],[_Days]]-1),WorkWeek,Holidays)))</f>
        <v/>
      </c>
      <c r="FD16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3" s="90" t="b">
        <f aca="false">AND(Tasks[[#This Row],[_IsLeaf]]=1,Tasks[[#This Row],[_LeafProgress]]&lt;1,N(Tasks[[#This Row],[_LeafTotalSlack]])&lt;=CriticalSlackDays)</f>
        <v>0</v>
      </c>
      <c r="FF163" s="43" t="n">
        <f aca="false">IF(AND(Tasks[[#This Row],[_IsLeaf]]=1,Tasks[[#This Row],[_ConstraintCode]]=1,Tasks[[#This Row],[Mode]]&lt;&gt;"Manual",N(Tasks[[#This Row],[Actual Start]])=0),MAX(0,N(Tasks[[#This Row],[Free Slack]])),0)</f>
        <v>0</v>
      </c>
      <c r="FG163" s="91" t="str">
        <f aca="false">IF(NOT(Tasks[[#This Row],[_IsLeaf]]=1),"",IF(Tasks[[#This Row],[_AlapShift]]=0,Tasks[[#This Row],[_LeafCalcStart]],WORKDAY.INTL(Tasks[[#This Row],[_LeafCalcStart]],Tasks[[#This Row],[_AlapShift]],WorkWeek,Holidays)))</f>
        <v/>
      </c>
      <c r="FH163" s="91" t="str">
        <f aca="false">IF(NOT(Tasks[[#This Row],[_IsLeaf]]=1),"",IF(Tasks[[#This Row],[_AlapShift]]=0,Tasks[[#This Row],[_LeafCalcFinish]],WORKDAY.INTL(Tasks[[#This Row],[_LeafCalcFinish]],Tasks[[#This Row],[_AlapShift]],WorkWeek,Holidays)))</f>
        <v/>
      </c>
      <c r="FI163" s="91" t="str">
        <f aca="false">IF(NOT(Tasks[[#This Row],[_IsLeaf]]=1),"",IF(Tasks[[#This Row],[_AlapShift]]=0,Tasks[[#This Row],[_LeafFcstStart]],WORKDAY.INTL(Tasks[[#This Row],[_LeafFcstStart]],Tasks[[#This Row],[_AlapShift]],WorkWeek,Holidays)))</f>
        <v/>
      </c>
      <c r="FJ163" s="91" t="str">
        <f aca="false">IF(NOT(Tasks[[#This Row],[_IsLeaf]]=1),"",IF(Tasks[[#This Row],[_AlapShift]]=0,Tasks[[#This Row],[_LeafFcstFinish]],WORKDAY.INTL(Tasks[[#This Row],[_LeafFcstFinish]],Tasks[[#This Row],[_AlapShift]],WorkWeek,Holidays)))</f>
        <v/>
      </c>
      <c r="FK163" s="91" t="str">
        <f aca="false">IF(Tasks[[#This Row],[Task Name]]="","",IF(Tasks[[#This Row],[_IsSummary]],MIN(INDEX(Tasks[_ShownCalcStart],Tasks[[#This Row],[_Row]]+1):INDEX(Tasks[_ShownCalcStart],Tasks[[#This Row],[_Row]]+Tasks[[#This Row],[_Descendants]])),Tasks[[#This Row],[_ShownCalcStart]]))</f>
        <v/>
      </c>
      <c r="FL163" s="91" t="str">
        <f aca="false">IF(Tasks[[#This Row],[Task Name]]="","",IF(Tasks[[#This Row],[_IsSummary]],MAX(INDEX(Tasks[_ShownCalcFinish],Tasks[[#This Row],[_Row]]+1):INDEX(Tasks[_ShownCalcFinish],Tasks[[#This Row],[_Row]]+Tasks[[#This Row],[_Descendants]])),Tasks[[#This Row],[_ShownCalcFinish]]))</f>
        <v/>
      </c>
      <c r="FM16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3" s="43" t="n">
        <f aca="false">IF(AND(Tasks[[#This Row],[_IsLeaf]]=1,Tasks[[#This Row],[_LeafTotalWork]]&gt;0),NETWORKDAYS.INTL(ProjectStart,Tasks[[#This Row],[_ShownFcstStart]],WorkWeek,Holidays),0)</f>
        <v>0</v>
      </c>
      <c r="FZ163" s="43" t="n">
        <f aca="false">IF(AND(Tasks[[#This Row],[_IsLeaf]]=1,Tasks[[#This Row],[_LeafTotalWork]]&gt;0),MAX(Tasks[[#This Row],[_StartWorkday]],NETWORKDAYS.INTL(ProjectStart,Tasks[[#This Row],[_ShownFcstFinish]],WorkWeek,Holidays)),0)</f>
        <v>0</v>
      </c>
      <c r="GA163" s="43" t="n">
        <f aca="false">IF(AND(Tasks[[#This Row],[_IsLeaf]]=1,Tasks[[#This Row],[_LeafTotalWork]]&gt;0),Tasks[[#This Row],[_LeafWork]]/(Tasks[[#This Row],[_FinishWorkday]]-Tasks[[#This Row],[_StartWorkday]]+1),0)</f>
        <v>0</v>
      </c>
      <c r="GB163" s="43" t="n">
        <f aca="false">Tasks[[#This Row],[_WorkPerWorkday]]*(Tasks[[#This Row],[_StartWorkday]]-1)</f>
        <v>-0</v>
      </c>
      <c r="GC163" s="43" t="n">
        <f aca="false">IF(Tasks[[#This Row],[_IsLeaf]]=1,MAX(N(Tasks[[#This Row],[_Days]]),0.1),0)</f>
        <v>0</v>
      </c>
      <c r="GD163" s="43" t="n">
        <f aca="false">Tasks[[#This Row],[_WeightDur]]*Tasks[[#This Row],[_LeafProgress]]</f>
        <v>0</v>
      </c>
      <c r="GE163" s="43" t="n">
        <f aca="false">Tasks[[#This Row],[_WeightDur]]*Tasks[[#This Row],[_PlannedPct]]</f>
        <v>0</v>
      </c>
      <c r="GF16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3" s="43" t="str">
        <f aca="false">IF(AND(Tasks[[#This Row],[_IsLeaf]]=1,N(Tasks[[#This Row],[_Days]])=0,Tasks[[#This Row],[_LeafProgress]]&lt;1),Tasks[[#This Row],[_ShownFcstFinish]]+Tasks[[#This Row],[_Row]]/100000,"")</f>
        <v/>
      </c>
      <c r="GH16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3" s="43" t="str">
        <f aca="false">IF(Tasks[[#This Row],[Task Name]]="","",LEFT(Tasks[[#This Row],[WBS]],FIND(".",Tasks[[#This Row],[WBS]]&amp;".")-1))</f>
        <v/>
      </c>
      <c r="GJ163" s="43" t="str">
        <f aca="false">IF(AND(Tasks[[#This Row],[Task Name]]&lt;&gt;"",Tasks[[#This Row],[_Level]]=1),Tasks[[#This Row],[_Row]],"")</f>
        <v/>
      </c>
      <c r="GK163" s="43" t="str">
        <f aca="false">IF(AND(Tasks[[#This Row],[_IsLeaf]]=1,N(Tasks[[#This Row],[_Days]])=0),Tasks[[#This Row],[Planned Finish]]+Tasks[[#This Row],[_Row]]/100000,"")</f>
        <v/>
      </c>
      <c r="GL163" s="43" t="str">
        <f aca="false">IF(AND(Tasks[[#This Row],[_IsLeaf]]=1,Tasks[[#This Row],[_LeafProgress]]&lt;1,OR(N(Tasks[[#This Row],[Finish Var]])&gt;0,Tasks[[#This Row],[Status]]="Late Start")),MAX(0,Tasks[[#This Row],[Finish Var]])+1-Tasks[[#This Row],[_Row]]/1000000,"")</f>
        <v/>
      </c>
      <c r="GM163" s="43" t="str">
        <f aca="false">IF(AND(Tasks[[#This Row],[_IsLeaf]]=1,N(Tasks[[#This Row],[Actual Start]])=0,Tasks[[#This Row],[_ShownFcstStart]]&gt;=StatusDate,Tasks[[#This Row],[_ShownFcstStart]]&lt;=LookaheadEnd),Tasks[[#This Row],[_ShownFcstStart]]+Tasks[[#This Row],[_Row]]/100000,"")</f>
        <v/>
      </c>
      <c r="GN163" s="43" t="str">
        <f aca="false">IF(AND(Tasks[[#This Row],[_IsLeaf]]=1,Tasks[[#This Row],[_LeafProgress]]&lt;1,Tasks[[#This Row],[_ShownFcstFinish]]&gt;=StatusDate,Tasks[[#This Row],[_ShownFcstFinish]]&lt;=LookaheadEnd),Tasks[[#This Row],[_ShownFcstFinish]]+Tasks[[#This Row],[_Row]]/100000,"")</f>
        <v/>
      </c>
      <c r="GO163" s="43" t="str">
        <f aca="false">IF(Tasks[[#This Row],[_LeafCritical]],Tasks[[#This Row],[_ShownFcstStart]]+Tasks[[#This Row],[_Row]]/100000,"")</f>
        <v/>
      </c>
      <c r="GP163" s="43" t="n">
        <f aca="false">Tasks[[#This Row],[_LeafWork]]*Tasks[[#This Row],[_LeafProgress]]</f>
        <v>0</v>
      </c>
      <c r="GQ163" s="91" t="str">
        <f aca="false">IF(AND(Tasks[[#This Row],[_IsLeaf]]=1,Tasks[[#This Row],[_LeafProgress]]&gt;=1),IF(N(Tasks[[#This Row],[Actual Finish]])&gt;0,Tasks[[#This Row],[Actual Finish]],Tasks[[#This Row],[_ShownFcstFinish]]),"")</f>
        <v/>
      </c>
      <c r="GR163" s="43" t="n">
        <f aca="false">IF(Tasks[[#This Row],[_IsLeaf]]=1,N(Tasks[[#This Row],[Story Points]]),0)</f>
        <v>0</v>
      </c>
      <c r="GS163" s="43" t="str">
        <f aca="false">""</f>
        <v/>
      </c>
      <c r="GT163" s="90" t="b">
        <f aca="false">IF(Tasks[[#This Row],[Task Name]]="",FALSE(),AND(Tasks[[#This Row],[_IsLeaf]]=1,N(Tasks[[#This Row],[_Days]])=0))</f>
        <v>0</v>
      </c>
      <c r="GU163" s="91" t="n">
        <f aca="false">IF(Tasks[[#This Row],[Task Name]]="",0,IF(AND(Tasks[[#This Row],[_IsLeaf]]=1,NOT(Tasks[[#This Row],[_IsMilestone]]),N(Tasks[[#This Row],[Progress]])&gt;0),Tasks[[#This Row],[Start]],0))</f>
        <v>0</v>
      </c>
      <c r="GV163" s="91" t="n">
        <f aca="false">IF(Tasks[[#This Row],[_DoneFrom]]=0,0,IF(Tasks[[#This Row],[Progress]]&gt;=1,Tasks[[#This Row],[Finish]],MAX(Tasks[[#This Row],[_DoneFrom]],Tasks[[#This Row],[Start]]+ROUND((Tasks[[#This Row],[Finish]]-Tasks[[#This Row],[Start]]+1)*Tasks[[#This Row],[Progress]],0)-1)))</f>
        <v>0</v>
      </c>
      <c r="GW163" s="91" t="n">
        <f aca="false">IF(Tasks[[#This Row],[Task Name]]="",0,IF(OR(NOT(Tasks[[#This Row],[_IsLeaf]]=1),Tasks[[#This Row],[_IsMilestone]],N(Tasks[[#This Row],[Progress]])&gt;=1),0,IF(Tasks[[#This Row],[_DoneTo]]&gt;0,Tasks[[#This Row],[_DoneTo]]+1,Tasks[[#This Row],[Start]])))</f>
        <v>0</v>
      </c>
      <c r="GX163" s="91" t="n">
        <f aca="false">IF(Tasks[[#This Row],[_RemFrom]]=0,0,Tasks[[#This Row],[Finish]])</f>
        <v>0</v>
      </c>
      <c r="GY163" s="90" t="b">
        <f aca="false">IF(Tasks[[#This Row],[Task Name]]="",FALSE(),OR(NOT(BaselineSet),N(Tasks[[#This Row],[Baseline Start]])&gt;0))</f>
        <v>0</v>
      </c>
      <c r="GZ16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3" s="92" t="str">
        <f aca="false">IF(Tasks[[#This Row],[_IsLeaf]]=1,Tasks[[#This Row],[_Row]],"")</f>
        <v/>
      </c>
      <c r="HD163" s="92" t="str">
        <f aca="false">IFERROR(INDEX(Tasks[UID],SMALL(Tasks[_PickKey],Tasks[[#This Row],[_Row]]))&amp;" "&amp;INDEX(Tasks[Task Name],SMALL(Tasks[_PickKey],Tasks[[#This Row],[_Row]])),"")</f>
        <v/>
      </c>
      <c r="HE163" s="43" t="str">
        <f aca="false">IF(Tasks[[#This Row],[Task Name]]="","",IF(Tasks[[#This Row],[_IsSummary]],NETWORKDAYS.INTL(Tasks[[#This Row],[Start]],Tasks[[#This Row],[Finish]],WorkWeek,Holidays),N(Tasks[[#This Row],[_Days]])))</f>
        <v/>
      </c>
      <c r="HF163" s="43" t="n">
        <f aca="false">IF(Tasks[[#This Row],[Expected]]="",0,((Tasks[[#This Row],[Pessimistic]]-Tasks[[#This Row],[Optimistic]])/6)^2)</f>
        <v>0</v>
      </c>
      <c r="HG163" s="43" t="n">
        <f aca="false">IF(Tasks[[#This Row],[Expected]]="",0,Tasks[[#This Row],[Expected]]-N(Tasks[[#This Row],[_Days]]))</f>
        <v>0</v>
      </c>
    </row>
    <row r="164" customFormat="false" ht="15" hidden="false" customHeight="false" outlineLevel="0" collapsed="false">
      <c r="A164" s="21" t="str">
        <f aca="false">IF(Tasks[[#This Row],[Task Name]]="","",COUNTA(Tasks[[#Headers],[Task Name]]:Tasks[[#This Row],[Task Name]])-1)</f>
        <v/>
      </c>
      <c r="B164" s="22" t="n">
        <v>172</v>
      </c>
      <c r="C164" s="22"/>
      <c r="D164" s="23"/>
      <c r="E164" s="22"/>
      <c r="F164" s="23"/>
      <c r="G164" s="22"/>
      <c r="H164" s="22"/>
      <c r="I164" s="23"/>
      <c r="J164" s="22"/>
      <c r="K164" s="22"/>
      <c r="L164" s="23"/>
      <c r="M164" s="22"/>
      <c r="N164" s="22"/>
      <c r="O164" s="23"/>
      <c r="P164" s="22"/>
      <c r="Q164" s="22"/>
      <c r="R164" s="23"/>
      <c r="S164" s="23"/>
      <c r="T164" s="84"/>
      <c r="U164" s="23"/>
      <c r="V164" s="84"/>
      <c r="W164" s="23"/>
      <c r="X164" s="84"/>
      <c r="Y164" s="23"/>
      <c r="Z164" s="84"/>
      <c r="AA164" s="23"/>
      <c r="AB164" s="23"/>
      <c r="AC164" s="7"/>
      <c r="AD164" s="7"/>
      <c r="AE164" s="63" t="str">
        <f aca="false">IF(Tasks[[#This Row],[Task Name]]="","",IF(Tasks[[#This Row],[_IsSummary]],MIN(INDEX(Tasks[_ShownFcstStart],Tasks[[#This Row],[_Row]]+1):INDEX(Tasks[_ShownFcstStart],Tasks[[#This Row],[_Row]]+Tasks[[#This Row],[_Descendants]])),Tasks[[#This Row],[_ShownFcstStart]]))</f>
        <v/>
      </c>
      <c r="AF164" s="63" t="str">
        <f aca="false">IF(Tasks[[#This Row],[Task Name]]="","",IF(Tasks[[#This Row],[_IsSummary]],MAX(INDEX(Tasks[_ShownFcstFinish],Tasks[[#This Row],[_Row]]+1):INDEX(Tasks[_ShownFcstFinish],Tasks[[#This Row],[_Row]]+Tasks[[#This Row],[_Descendants]])),Tasks[[#This Row],[_ShownFcstFinish]]))</f>
        <v/>
      </c>
      <c r="AG164" s="21" t="str">
        <f aca="false">""</f>
        <v/>
      </c>
      <c r="AH164" s="23"/>
      <c r="AI1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4" s="7"/>
      <c r="AK164" s="22"/>
      <c r="AL164" s="23"/>
      <c r="AM164" s="7"/>
      <c r="AN164" s="47" t="str">
        <f aca="false">IF(Tasks[[#This Row],[Task Name]]="","",IF(Tasks[[#This Row],[Finish]]&gt;=Tasks[[#This Row],[Planned Finish]],NETWORKDAYS.INTL(Tasks[[#This Row],[Planned Finish]],Tasks[[#This Row],[Finish]],WorkWeek,Holidays)-1,1-NETWORKDAYS.INTL(Tasks[[#This Row],[Finish]],Tasks[[#This Row],[Planned Finish]],WorkWeek,Holidays)))</f>
        <v/>
      </c>
      <c r="AO164" s="21" t="str">
        <f aca="false">IF(Tasks[[#This Row],[Task Name]]="","",IF(Tasks[[#This Row],[Progress]]&gt;=1,"Complete",IF(OR(N(Tasks[[#This Row],[Actual Start]])&gt;0,Tasks[[#This Row],[Progress]]&gt;0),IF(Tasks[[#This Row],[Finish Var]]&gt;0,"Behind","In Progress"),IF(Tasks[[#This Row],[Planned Start]]&lt;StatusDate,"Late Start","Not Started"))))</f>
        <v/>
      </c>
      <c r="AP164" s="21" t="str">
        <f aca="false">IF(Tasks[[#This Row],[Task Name]]="","",IF(IF(Tasks[[#This Row],[_IsSummary]],COUNTIF(INDEX(Tasks[_LeafCritical],Tasks[[#This Row],[_Row]]+1):INDEX(Tasks[_LeafCritical],Tasks[[#This Row],[_Row]]+Tasks[[#This Row],[_Descendants]]),TRUE())&gt;0,Tasks[[#This Row],[_LeafCritical]]),"Yes",""))</f>
        <v/>
      </c>
      <c r="AQ164" s="63" t="str">
        <f aca="false">IF(Tasks[[#This Row],[Task Name]]="","",IF(N(Tasks[[#This Row],[Baseline Start]])&gt;0,Tasks[[#This Row],[Baseline Start]],Tasks[[#This Row],[_CalcStart]]))</f>
        <v/>
      </c>
      <c r="AR164" s="63" t="str">
        <f aca="false">IF(Tasks[[#This Row],[Task Name]]="","",IF(N(Tasks[[#This Row],[Baseline Finish]])&gt;0,Tasks[[#This Row],[Baseline Finish]],Tasks[[#This Row],[_CalcFinish]]))</f>
        <v/>
      </c>
      <c r="AS164" s="47" t="str">
        <f aca="false">IF(Tasks[[#This Row],[Task Name]]="","",IF(Tasks[[#This Row],[Start]]&gt;=Tasks[[#This Row],[Planned Start]],NETWORKDAYS.INTL(Tasks[[#This Row],[Planned Start]],Tasks[[#This Row],[Start]],WorkWeek,Holidays)-1,1-NETWORKDAYS.INTL(Tasks[[#This Row],[Start]],Tasks[[#This Row],[Planned Start]],WorkWeek,Holidays)))</f>
        <v/>
      </c>
      <c r="AT164" s="63" t="str">
        <f aca="false">IF(Tasks[[#This Row],[Task Name]]="","",IF(Tasks[[#This Row],[_IsSummary]],MIN(INDEX(Tasks[_LeafLateStart],Tasks[[#This Row],[_Row]]+1):INDEX(Tasks[_LeafLateStart],Tasks[[#This Row],[_Row]]+Tasks[[#This Row],[_Descendants]])),Tasks[[#This Row],[_LeafLateStart]]))</f>
        <v/>
      </c>
      <c r="AU164" s="63" t="str">
        <f aca="false">IF(Tasks[[#This Row],[Task Name]]="","",IF(Tasks[[#This Row],[_IsSummary]],MAX(INDEX(Tasks[_LeafLateFinish],Tasks[[#This Row],[_Row]]+1):INDEX(Tasks[_LeafLateFinish],Tasks[[#This Row],[_Row]]+Tasks[[#This Row],[_Descendants]])),Tasks[[#This Row],[_LeafLateFinish]]))</f>
        <v/>
      </c>
      <c r="AV164" s="47" t="str">
        <f aca="false">IF(Tasks[[#This Row],[Task Name]]="","",IF(Tasks[[#This Row],[_IsSummary]],MIN(INDEX(Tasks[_LeafTotalSlack],Tasks[[#This Row],[_Row]]+1):INDEX(Tasks[_LeafTotalSlack],Tasks[[#This Row],[_Row]]+Tasks[[#This Row],[_Descendants]])),Tasks[[#This Row],[_LeafTotalSlack]]))</f>
        <v/>
      </c>
      <c r="AW1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5"/>
      <c r="BA16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1" t="str">
        <f aca="false">IF(Tasks[[#This Row],[Task Name]]="","",IF(Tasks[[#This Row],[_Level]]&lt;=OutlineShowLevel,"Yes","No"))</f>
        <v/>
      </c>
      <c r="BE164" s="86" t="str">
        <f aca="false">IF(Tasks[[#This Row],[Task Name]]="","",IF(Tasks[[#This Row],[_IsSummary]],SUM(INDEX(Tasks[_LeafTotalWork],Tasks[[#This Row],[_Row]]+1):INDEX(Tasks[_LeafTotalWork],Tasks[[#This Row],[_Row]]+Tasks[[#This Row],[_Descendants]])),Tasks[[#This Row],[_LeafTotalWork]]))</f>
        <v/>
      </c>
      <c r="BF164" s="23"/>
      <c r="BG1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4" s="21" t="str">
        <f aca="false">""</f>
        <v/>
      </c>
      <c r="BI164" s="87"/>
      <c r="BJ164" s="22"/>
      <c r="BK164" s="47" t="str">
        <f aca="false">IF(OR(Tasks[[#This Row],[Task Name]]="",Tasks[[#This Row],[Baseline Duration]]=""),"",Tasks[[#This Row],[_SpanDays]]-N(Tasks[[#This Row],[Baseline Duration]]))</f>
        <v/>
      </c>
      <c r="BL164" s="86" t="str">
        <f aca="false">IF(OR(Tasks[[#This Row],[Task Name]]="",Tasks[[#This Row],[Baseline Work]]=""),"",Tasks[[#This Row],[Work]]-N(Tasks[[#This Row],[Baseline Work]]))</f>
        <v/>
      </c>
      <c r="BM164" s="63" t="str">
        <f aca="false">IF(Tasks[[#This Row],[Task Name]]="","",IF(OR(TakeBaseline="Yes",N(Tasks[[#This Row],[Baseline Start]])=0),Tasks[[#This Row],[Start]],Tasks[[#This Row],[Baseline Start]]))</f>
        <v/>
      </c>
      <c r="BN164" s="63" t="str">
        <f aca="false">IF(Tasks[[#This Row],[Task Name]]="","",IF(OR(TakeBaseline="Yes",N(Tasks[[#This Row],[Baseline Finish]])=0),Tasks[[#This Row],[Finish]],Tasks[[#This Row],[Baseline Finish]]))</f>
        <v/>
      </c>
      <c r="BO164" s="21" t="str">
        <f aca="false">IF(Tasks[[#This Row],[Task Name]]="","",IF(OR(TakeBaseline="Yes",N(Tasks[[#This Row],[Baseline Duration]])=0),Tasks[[#This Row],[_SpanDays]],Tasks[[#This Row],[Baseline Duration]]))</f>
        <v/>
      </c>
      <c r="BP164" s="86" t="str">
        <f aca="false">IF(Tasks[[#This Row],[Task Name]]="","",IF(OR(TakeBaseline="Yes",N(Tasks[[#This Row],[Baseline Work]])=0),Tasks[[#This Row],[Work]],Tasks[[#This Row],[Baseline Work]]))</f>
        <v/>
      </c>
      <c r="BQ164" s="7"/>
      <c r="BR164" s="7"/>
      <c r="BS164" s="22"/>
      <c r="BT164" s="88"/>
      <c r="BU164" s="23"/>
      <c r="BV164" s="23"/>
      <c r="BW164" s="23"/>
      <c r="BX164" s="89" t="str">
        <f aca="false">IF(AND(Tasks[[#This Row],[_IsLeaf]]=1,ISNUMBER(Tasks[[#This Row],[Optimistic]]),ISNUMBER(Tasks[[#This Row],[Pessimistic]])),ROUND((Tasks[[#This Row],[Optimistic]]+4*N(Tasks[[#This Row],[_Days]])+Tasks[[#This Row],[Pessimistic]])/6,1),"")</f>
        <v/>
      </c>
      <c r="BY164" s="87"/>
      <c r="BZ164" s="87"/>
      <c r="CA164" s="22"/>
      <c r="CB164" s="43" t="str">
        <f aca="false">IF(Tasks[[#This Row],[Task Name]]="","",MAX(1,N(Tasks[[#This Row],[Level]])))</f>
        <v/>
      </c>
      <c r="CC164" s="43" t="n">
        <f aca="false">ROW()-ROW(Tasks[[#Headers],[ID]])</f>
        <v>159</v>
      </c>
      <c r="CD164" s="43" t="n">
        <f aca="false">IF(OR(Tasks[[#This Row],[Task Name]]="",Tasks[[#This Row],[_Level]]&lt;=1),0,IFERROR(LOOKUP(2,1/(Tasks[[#Headers],[_Level]]:Tasks[[#This Row],[_Level]]=Tasks[[#This Row],[_Level]]-1),ROW(Tasks[[#Headers],[_Level]]:Tasks[[#This Row],[_Level]])),0))</f>
        <v>0</v>
      </c>
      <c r="CE164" s="43" t="n">
        <f aca="false">IFERROR(N(INDEX(Tasks[_Level],Tasks[[#This Row],[_Row]]+1)),0)</f>
        <v>0</v>
      </c>
      <c r="CF164" s="90" t="b">
        <f aca="false">AND(Tasks[[#This Row],[Task Name]]&lt;&gt;"",Tasks[[#This Row],[_NextLevel]]&gt;Tasks[[#This Row],[_Level]])</f>
        <v>0</v>
      </c>
      <c r="CG164" s="43" t="n">
        <f aca="false">IF(Tasks[[#This Row],[_IsSummary]],COUNTIF(Tasks[WBS],Tasks[[#This Row],[WBS]]&amp;".*"),0)</f>
        <v>0</v>
      </c>
      <c r="CH164" s="43" t="n">
        <f aca="false">IF(AND(Tasks[[#This Row],[Task Name]]&lt;&gt;"",NOT(Tasks[[#This Row],[_IsSummary]])),1,0)</f>
        <v>0</v>
      </c>
      <c r="CI164" s="43" t="n">
        <f aca="false">IF(N(Tasks[[#This Row],[_Pred1UID]])=0,0,IFERROR(MATCH(Tasks[[#This Row],[_Pred1UID]],Tasks[UID],0),-1))</f>
        <v>0</v>
      </c>
      <c r="CJ164" s="43" t="n">
        <f aca="false">IF(N(Tasks[[#This Row],[_Pred2UID]])=0,0,IFERROR(MATCH(Tasks[[#This Row],[_Pred2UID]],Tasks[UID],0),-1))</f>
        <v>0</v>
      </c>
      <c r="CK164" s="43" t="n">
        <f aca="false">IF(N(Tasks[[#This Row],[_Pred3UID]])=0,0,IFERROR(MATCH(Tasks[[#This Row],[_Pred3UID]],Tasks[UID],0),-1))</f>
        <v>0</v>
      </c>
      <c r="CL164" s="43" t="n">
        <f aca="false">IF(N(Tasks[[#This Row],[_Pred4UID]])=0,0,IFERROR(MATCH(Tasks[[#This Row],[_Pred4UID]],Tasks[UID],0),-1))</f>
        <v>0</v>
      </c>
      <c r="CM16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4" s="91" t="n">
        <f aca="false">IF(OR(Tasks[[#This Row],[_ConstraintCode]]=2,Tasks[[#This Row],[_ConstraintCode]]=3,Tasks[[#This Row],[_ConstraintCode]]=4,Tasks[[#This Row],[_ConstraintCode]]=6),Tasks[[#This Row],[_ConstraintStart]],0)</f>
        <v>0</v>
      </c>
      <c r="CP164" s="91" t="n">
        <f aca="false">IF(OR(Tasks[[#This Row],[_ConstraintCode]]=2,Tasks[[#This Row],[_ConstraintCode]]=3,Tasks[[#This Row],[_ConstraintCode]]=5,Tasks[[#This Row],[_ConstraintCode]]=7),Tasks[[#This Row],[_ConstraintStart]],2958465)</f>
        <v>2958465</v>
      </c>
      <c r="CQ16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4" s="91" t="str">
        <f aca="false">IF(NOT(Tasks[[#This Row],[_IsLeaf]]=1),"",IF(N(Tasks[[#This Row],[_Days]])&lt;=0,Tasks[[#This Row],[_LeafCalcStart]],WORKDAY.INTL(Tasks[[#This Row],[_LeafCalcStart]],Tasks[[#This Row],[_Days]]-1,WorkWeek,Holidays)))</f>
        <v/>
      </c>
      <c r="CS16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4" s="43" t="str">
        <f aca="false">IF(Tasks[[#This Row],[_Predecessors]]="","",TRIM(MID(SUBSTITUTE(SUBSTITUTE(SUBSTITUTE(UPPER(Tasks[[#This Row],[_Predecessors]]),";",",")," ",""),",",REPT(" ",99)),1,99)))</f>
        <v/>
      </c>
      <c r="CV164" s="43" t="str">
        <f aca="false">IF(Tasks[[#This Row],[_Pred1Text]]="","",IFERROR(VALUE(LEFT(Tasks[[#This Row],[_Pred1Text]],MIN(FIND("F",Tasks[[#This Row],[_Pred1Text]]&amp;"F"),FIND("S",Tasks[[#This Row],[_Pred1Text]]&amp;"S"),FIND("+",Tasks[[#This Row],[_Pred1Text]]&amp;"+"),FIND("-",Tasks[[#This Row],[_Pred1Text]]&amp;"-"))-1)),""))</f>
        <v/>
      </c>
      <c r="CW16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4" s="43" t="str">
        <f aca="false">IF(Tasks[[#This Row],[_Pred1Text]]="","",TRIM(MID(SUBSTITUTE(SUBSTITUTE(SUBSTITUTE(UPPER(Tasks[[#This Row],[_Predecessors]]),";",",")," ",""),",",REPT(" ",99)),100,99)))</f>
        <v/>
      </c>
      <c r="CZ164" s="43" t="str">
        <f aca="false">IF(Tasks[[#This Row],[_Pred2Text]]="","",IFERROR(VALUE(LEFT(Tasks[[#This Row],[_Pred2Text]],MIN(FIND("F",Tasks[[#This Row],[_Pred2Text]]&amp;"F"),FIND("S",Tasks[[#This Row],[_Pred2Text]]&amp;"S"),FIND("+",Tasks[[#This Row],[_Pred2Text]]&amp;"+"),FIND("-",Tasks[[#This Row],[_Pred2Text]]&amp;"-"))-1)),""))</f>
        <v/>
      </c>
      <c r="DA16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4" s="43" t="str">
        <f aca="false">IF(Tasks[[#This Row],[_Pred2Text]]="","",TRIM(MID(SUBSTITUTE(SUBSTITUTE(SUBSTITUTE(UPPER(Tasks[[#This Row],[_Predecessors]]),";",",")," ",""),",",REPT(" ",99)),199,99)))</f>
        <v/>
      </c>
      <c r="DD164" s="43" t="str">
        <f aca="false">IF(Tasks[[#This Row],[_Pred3Text]]="","",IFERROR(VALUE(LEFT(Tasks[[#This Row],[_Pred3Text]],MIN(FIND("F",Tasks[[#This Row],[_Pred3Text]]&amp;"F"),FIND("S",Tasks[[#This Row],[_Pred3Text]]&amp;"S"),FIND("+",Tasks[[#This Row],[_Pred3Text]]&amp;"+"),FIND("-",Tasks[[#This Row],[_Pred3Text]]&amp;"-"))-1)),""))</f>
        <v/>
      </c>
      <c r="DE16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4" s="43" t="str">
        <f aca="false">IF(Tasks[[#This Row],[_Pred3Text]]="","",TRIM(MID(SUBSTITUTE(SUBSTITUTE(SUBSTITUTE(UPPER(Tasks[[#This Row],[_Predecessors]]),";",",")," ",""),",",REPT(" ",99)),298,99)))</f>
        <v/>
      </c>
      <c r="DH164" s="43" t="str">
        <f aca="false">IF(Tasks[[#This Row],[_Pred4Text]]="","",IFERROR(VALUE(LEFT(Tasks[[#This Row],[_Pred4Text]],MIN(FIND("F",Tasks[[#This Row],[_Pred4Text]]&amp;"F"),FIND("S",Tasks[[#This Row],[_Pred4Text]]&amp;"S"),FIND("+",Tasks[[#This Row],[_Pred4Text]]&amp;"+"),FIND("-",Tasks[[#This Row],[_Pred4Text]]&amp;"-"))-1)),""))</f>
        <v/>
      </c>
      <c r="DI16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4" s="43" t="str">
        <f aca="false">IF(OR(Tasks[[#This Row],[Task Name]]="",Tasks[[#This Row],[_Resources]]=""),"",TRIM(MID(SUBSTITUTE(Tasks[[#This Row],[_Resources]],",",REPT(" ",99)),1,99)))</f>
        <v/>
      </c>
      <c r="DL164" s="43" t="str">
        <f aca="false">IF(Tasks[[#This Row],[_Res1Text]]="","",TRIM(MID(SUBSTITUTE(Tasks[[#This Row],[_Resources]],",",REPT(" ",99)),100,99)))</f>
        <v/>
      </c>
      <c r="DM164" s="43" t="str">
        <f aca="false">IF(Tasks[[#This Row],[_Res2Text]]="","",TRIM(MID(SUBSTITUTE(Tasks[[#This Row],[_Resources]],",",REPT(" ",99)),199,99)))</f>
        <v/>
      </c>
      <c r="DN164" s="43" t="str">
        <f aca="false">IF(Tasks[[#This Row],[_Res3Text]]="","",TRIM(MID(SUBSTITUTE(Tasks[[#This Row],[_Resources]],",",REPT(" ",99)),298,99)))</f>
        <v/>
      </c>
      <c r="DO164" s="43" t="n">
        <f aca="false">IF(Tasks[[#This Row],[_Res1Text]]="",0,IFERROR(MATCH(TRIM(LEFT(Tasks[[#This Row],[_Res1Text]],FIND("[",Tasks[[#This Row],[_Res1Text]]&amp;"[")-1)),res_Name,0),IFERROR(MATCH(TRIM(LEFT(Tasks[[#This Row],[_Res1Text]],FIND("[",Tasks[[#This Row],[_Res1Text]]&amp;"[")-1)),res_Initials,0),0)))</f>
        <v>0</v>
      </c>
      <c r="DP164" s="43" t="n">
        <f aca="false">IF(Tasks[[#This Row],[_Res2Text]]="",0,IFERROR(MATCH(TRIM(LEFT(Tasks[[#This Row],[_Res2Text]],FIND("[",Tasks[[#This Row],[_Res2Text]]&amp;"[")-1)),res_Name,0),IFERROR(MATCH(TRIM(LEFT(Tasks[[#This Row],[_Res2Text]],FIND("[",Tasks[[#This Row],[_Res2Text]]&amp;"[")-1)),res_Initials,0),0)))</f>
        <v>0</v>
      </c>
      <c r="DQ164" s="43" t="n">
        <f aca="false">IF(Tasks[[#This Row],[_Res3Text]]="",0,IFERROR(MATCH(TRIM(LEFT(Tasks[[#This Row],[_Res3Text]],FIND("[",Tasks[[#This Row],[_Res3Text]]&amp;"[")-1)),res_Name,0),IFERROR(MATCH(TRIM(LEFT(Tasks[[#This Row],[_Res3Text]],FIND("[",Tasks[[#This Row],[_Res3Text]]&amp;"[")-1)),res_Initials,0),0)))</f>
        <v>0</v>
      </c>
      <c r="DR164" s="43" t="n">
        <f aca="false">IF(Tasks[[#This Row],[_Res4Text]]="",0,IFERROR(MATCH(TRIM(LEFT(Tasks[[#This Row],[_Res4Text]],FIND("[",Tasks[[#This Row],[_Res4Text]]&amp;"[")-1)),res_Name,0),IFERROR(MATCH(TRIM(LEFT(Tasks[[#This Row],[_Res4Text]],FIND("[",Tasks[[#This Row],[_Res4Text]]&amp;"[")-1)),res_Initials,0),0)))</f>
        <v>0</v>
      </c>
      <c r="DS164" s="43" t="str">
        <f aca="false">IF(Tasks[[#This Row],[_Res1Text]]="","",IF(Tasks[[#This Row],[_Res1Row]]&gt;0,INDEX(res_Name,Tasks[[#This Row],[_Res1Row]]),TRIM(LEFT(Tasks[[#This Row],[_Res1Text]],FIND("[",Tasks[[#This Row],[_Res1Text]]&amp;"[")-1))))</f>
        <v/>
      </c>
      <c r="DT16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4" s="43" t="n">
        <f aca="false">IF(NOT(Tasks[[#This Row],[_IsLeaf]]=1),0,(Tasks[[#This Row],[_Resource1]]&lt;&gt;"")+(Tasks[[#This Row],[_Res2]]&lt;&gt;"")+(Tasks[[#This Row],[_Res3]]&lt;&gt;"")+(Tasks[[#This Row],[_Res4]]&lt;&gt;""))</f>
        <v>0</v>
      </c>
      <c r="DV164" s="43" t="str">
        <f aca="false">IF(Tasks[[#This Row],[_Res2Text]]="","",IF(Tasks[[#This Row],[_Res2Row]]&gt;0,INDEX(res_Name,Tasks[[#This Row],[_Res2Row]]),TRIM(LEFT(Tasks[[#This Row],[_Res2Text]],FIND("[",Tasks[[#This Row],[_Res2Text]]&amp;"[")-1))))</f>
        <v/>
      </c>
      <c r="DW16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4" s="43" t="n">
        <f aca="false">IF(OR(NOT(Tasks[[#This Row],[_IsLeaf]]=1),Tasks[[#This Row],[_Res2Row]]=0),0,N(Tasks[[#This Row],[_Days]])*HoursPerDay*IF(Tasks[[#This Row],[_Res2Units]]="",DefaultUnits,Tasks[[#This Row],[_Res2Units]]))</f>
        <v>0</v>
      </c>
      <c r="DY164" s="43" t="n">
        <f aca="false">IF(AND(AND(Tasks[[#This Row],[_IsLeaf]]=1,Tasks[[#This Row],[_LeafTotalWork]]&gt;0),Tasks[[#This Row],[_Res2Work]]&gt;0),Tasks[[#This Row],[_Res2Work]]/(Tasks[[#This Row],[_FinishWorkday]]-Tasks[[#This Row],[_StartWorkday]]+1),0)</f>
        <v>0</v>
      </c>
      <c r="DZ164" s="43" t="n">
        <f aca="false">Tasks[[#This Row],[_Res2WorkPerWD]]*MAX(0,Tasks[[#This Row],[_StartWorkday]]-1)</f>
        <v>0</v>
      </c>
      <c r="EA164" s="43" t="n">
        <f aca="false">Tasks[[#This Row],[_Res2Work]]*Tasks[[#This Row],[_LeafProgress]]</f>
        <v>0</v>
      </c>
      <c r="EB164" s="43" t="str">
        <f aca="false">IF(Tasks[[#This Row],[_Res3Text]]="","",IF(Tasks[[#This Row],[_Res3Row]]&gt;0,INDEX(res_Name,Tasks[[#This Row],[_Res3Row]]),TRIM(LEFT(Tasks[[#This Row],[_Res3Text]],FIND("[",Tasks[[#This Row],[_Res3Text]]&amp;"[")-1))))</f>
        <v/>
      </c>
      <c r="EC16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4" s="43" t="n">
        <f aca="false">IF(OR(NOT(Tasks[[#This Row],[_IsLeaf]]=1),Tasks[[#This Row],[_Res3Row]]=0),0,N(Tasks[[#This Row],[_Days]])*HoursPerDay*IF(Tasks[[#This Row],[_Res3Units]]="",DefaultUnits,Tasks[[#This Row],[_Res3Units]]))</f>
        <v>0</v>
      </c>
      <c r="EE164" s="43" t="n">
        <f aca="false">IF(AND(AND(Tasks[[#This Row],[_IsLeaf]]=1,Tasks[[#This Row],[_LeafTotalWork]]&gt;0),Tasks[[#This Row],[_Res3Work]]&gt;0),Tasks[[#This Row],[_Res3Work]]/(Tasks[[#This Row],[_FinishWorkday]]-Tasks[[#This Row],[_StartWorkday]]+1),0)</f>
        <v>0</v>
      </c>
      <c r="EF164" s="43" t="n">
        <f aca="false">Tasks[[#This Row],[_Res3WorkPerWD]]*MAX(0,Tasks[[#This Row],[_StartWorkday]]-1)</f>
        <v>0</v>
      </c>
      <c r="EG164" s="43" t="n">
        <f aca="false">Tasks[[#This Row],[_Res3Work]]*Tasks[[#This Row],[_LeafProgress]]</f>
        <v>0</v>
      </c>
      <c r="EH164" s="43" t="str">
        <f aca="false">IF(Tasks[[#This Row],[_Res4Text]]="","",IF(Tasks[[#This Row],[_Res4Row]]&gt;0,INDEX(res_Name,Tasks[[#This Row],[_Res4Row]]),TRIM(LEFT(Tasks[[#This Row],[_Res4Text]],FIND("[",Tasks[[#This Row],[_Res4Text]]&amp;"[")-1))))</f>
        <v/>
      </c>
      <c r="EI16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4" s="43" t="n">
        <f aca="false">IF(OR(NOT(Tasks[[#This Row],[_IsLeaf]]=1),Tasks[[#This Row],[_Res4Row]]=0),0,N(Tasks[[#This Row],[_Days]])*HoursPerDay*IF(Tasks[[#This Row],[_Res4Units]]="",DefaultUnits,Tasks[[#This Row],[_Res4Units]]))</f>
        <v>0</v>
      </c>
      <c r="EK164" s="43" t="n">
        <f aca="false">IF(AND(AND(Tasks[[#This Row],[_IsLeaf]]=1,Tasks[[#This Row],[_LeafTotalWork]]&gt;0),Tasks[[#This Row],[_Res4Work]]&gt;0),Tasks[[#This Row],[_Res4Work]]/(Tasks[[#This Row],[_FinishWorkday]]-Tasks[[#This Row],[_StartWorkday]]+1),0)</f>
        <v>0</v>
      </c>
      <c r="EL164" s="43" t="n">
        <f aca="false">Tasks[[#This Row],[_Res4WorkPerWD]]*MAX(0,Tasks[[#This Row],[_StartWorkday]]-1)</f>
        <v>0</v>
      </c>
      <c r="EM164" s="43" t="n">
        <f aca="false">Tasks[[#This Row],[_Res4Work]]*Tasks[[#This Row],[_LeafProgress]]</f>
        <v>0</v>
      </c>
      <c r="EN164" s="43" t="n">
        <f aca="false">IF(ISNUMBER(Tasks[[#This Row],[% Complete]]),Tasks[[#This Row],[% Complete]],IF(Tasks[[#This Row],[Stage]]="",0,IFERROR(INDEX(stg_Pct,MATCH(Tasks[[#This Row],[Stage]],stg_Name,0)),0)))</f>
        <v>0</v>
      </c>
      <c r="EO164" s="43" t="n">
        <f aca="false">IF(NOT(Tasks[[#This Row],[_IsLeaf]]=1),0,IF(N(Tasks[[#This Row],[Actual Finish]])&gt;0,1,MIN(1,Tasks[[#This Row],[_Pct]])))</f>
        <v>0</v>
      </c>
      <c r="EP164" s="43" t="n">
        <f aca="false">IF(OR(NOT(Tasks[[#This Row],[_IsLeaf]]=1),Tasks[[#This Row],[_Res1Row]]=0),0,N(Tasks[[#This Row],[_Days]])*HoursPerDay*IF(Tasks[[#This Row],[_Units1]]="",DefaultUnits,Tasks[[#This Row],[_Units1]]))</f>
        <v>0</v>
      </c>
      <c r="EQ164" s="43" t="n">
        <f aca="false">Tasks[[#This Row],[_LeafWork]]+Tasks[[#This Row],[_Res2Work]]+Tasks[[#This Row],[_Res3Work]]+Tasks[[#This Row],[_Res4Work]]</f>
        <v>0</v>
      </c>
      <c r="ER16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4" s="43" t="n">
        <f aca="false">IF(NOT(Tasks[[#This Row],[_IsLeaf]]=1),0,MAX(_xlfn.MAXIFS(Tasks[_Row],Tasks[_Pred1UID],Tasks[[#This Row],[UID]]),_xlfn.MAXIFS(Tasks[_Row],Tasks[_Pred2UID],Tasks[[#This Row],[UID]]),_xlfn.MAXIFS(Tasks[_Row],Tasks[_Pred3UID],Tasks[[#This Row],[UID]]),_xlfn.MAXIFS(Tasks[_Row],Tasks[_Pred4UID],Tasks[[#This Row],[UID]])))</f>
        <v>0</v>
      </c>
      <c r="FA16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4" s="91" t="str">
        <f aca="false">IF(NOT(Tasks[[#This Row],[_IsLeaf]]=1),"",IF(N(Tasks[[#This Row],[_Days]])&lt;=0,Tasks[[#This Row],[_LeafLateFinish]],WORKDAY.INTL(Tasks[[#This Row],[_LeafLateFinish]],-(Tasks[[#This Row],[_Days]]-1),WorkWeek,Holidays)))</f>
        <v/>
      </c>
      <c r="FD16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4" s="90" t="b">
        <f aca="false">AND(Tasks[[#This Row],[_IsLeaf]]=1,Tasks[[#This Row],[_LeafProgress]]&lt;1,N(Tasks[[#This Row],[_LeafTotalSlack]])&lt;=CriticalSlackDays)</f>
        <v>0</v>
      </c>
      <c r="FF164" s="43" t="n">
        <f aca="false">IF(AND(Tasks[[#This Row],[_IsLeaf]]=1,Tasks[[#This Row],[_ConstraintCode]]=1,Tasks[[#This Row],[Mode]]&lt;&gt;"Manual",N(Tasks[[#This Row],[Actual Start]])=0),MAX(0,N(Tasks[[#This Row],[Free Slack]])),0)</f>
        <v>0</v>
      </c>
      <c r="FG164" s="91" t="str">
        <f aca="false">IF(NOT(Tasks[[#This Row],[_IsLeaf]]=1),"",IF(Tasks[[#This Row],[_AlapShift]]=0,Tasks[[#This Row],[_LeafCalcStart]],WORKDAY.INTL(Tasks[[#This Row],[_LeafCalcStart]],Tasks[[#This Row],[_AlapShift]],WorkWeek,Holidays)))</f>
        <v/>
      </c>
      <c r="FH164" s="91" t="str">
        <f aca="false">IF(NOT(Tasks[[#This Row],[_IsLeaf]]=1),"",IF(Tasks[[#This Row],[_AlapShift]]=0,Tasks[[#This Row],[_LeafCalcFinish]],WORKDAY.INTL(Tasks[[#This Row],[_LeafCalcFinish]],Tasks[[#This Row],[_AlapShift]],WorkWeek,Holidays)))</f>
        <v/>
      </c>
      <c r="FI164" s="91" t="str">
        <f aca="false">IF(NOT(Tasks[[#This Row],[_IsLeaf]]=1),"",IF(Tasks[[#This Row],[_AlapShift]]=0,Tasks[[#This Row],[_LeafFcstStart]],WORKDAY.INTL(Tasks[[#This Row],[_LeafFcstStart]],Tasks[[#This Row],[_AlapShift]],WorkWeek,Holidays)))</f>
        <v/>
      </c>
      <c r="FJ164" s="91" t="str">
        <f aca="false">IF(NOT(Tasks[[#This Row],[_IsLeaf]]=1),"",IF(Tasks[[#This Row],[_AlapShift]]=0,Tasks[[#This Row],[_LeafFcstFinish]],WORKDAY.INTL(Tasks[[#This Row],[_LeafFcstFinish]],Tasks[[#This Row],[_AlapShift]],WorkWeek,Holidays)))</f>
        <v/>
      </c>
      <c r="FK164" s="91" t="str">
        <f aca="false">IF(Tasks[[#This Row],[Task Name]]="","",IF(Tasks[[#This Row],[_IsSummary]],MIN(INDEX(Tasks[_ShownCalcStart],Tasks[[#This Row],[_Row]]+1):INDEX(Tasks[_ShownCalcStart],Tasks[[#This Row],[_Row]]+Tasks[[#This Row],[_Descendants]])),Tasks[[#This Row],[_ShownCalcStart]]))</f>
        <v/>
      </c>
      <c r="FL164" s="91" t="str">
        <f aca="false">IF(Tasks[[#This Row],[Task Name]]="","",IF(Tasks[[#This Row],[_IsSummary]],MAX(INDEX(Tasks[_ShownCalcFinish],Tasks[[#This Row],[_Row]]+1):INDEX(Tasks[_ShownCalcFinish],Tasks[[#This Row],[_Row]]+Tasks[[#This Row],[_Descendants]])),Tasks[[#This Row],[_ShownCalcFinish]]))</f>
        <v/>
      </c>
      <c r="FM16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4" s="43" t="n">
        <f aca="false">IF(AND(Tasks[[#This Row],[_IsLeaf]]=1,Tasks[[#This Row],[_LeafTotalWork]]&gt;0),NETWORKDAYS.INTL(ProjectStart,Tasks[[#This Row],[_ShownFcstStart]],WorkWeek,Holidays),0)</f>
        <v>0</v>
      </c>
      <c r="FZ164" s="43" t="n">
        <f aca="false">IF(AND(Tasks[[#This Row],[_IsLeaf]]=1,Tasks[[#This Row],[_LeafTotalWork]]&gt;0),MAX(Tasks[[#This Row],[_StartWorkday]],NETWORKDAYS.INTL(ProjectStart,Tasks[[#This Row],[_ShownFcstFinish]],WorkWeek,Holidays)),0)</f>
        <v>0</v>
      </c>
      <c r="GA164" s="43" t="n">
        <f aca="false">IF(AND(Tasks[[#This Row],[_IsLeaf]]=1,Tasks[[#This Row],[_LeafTotalWork]]&gt;0),Tasks[[#This Row],[_LeafWork]]/(Tasks[[#This Row],[_FinishWorkday]]-Tasks[[#This Row],[_StartWorkday]]+1),0)</f>
        <v>0</v>
      </c>
      <c r="GB164" s="43" t="n">
        <f aca="false">Tasks[[#This Row],[_WorkPerWorkday]]*(Tasks[[#This Row],[_StartWorkday]]-1)</f>
        <v>-0</v>
      </c>
      <c r="GC164" s="43" t="n">
        <f aca="false">IF(Tasks[[#This Row],[_IsLeaf]]=1,MAX(N(Tasks[[#This Row],[_Days]]),0.1),0)</f>
        <v>0</v>
      </c>
      <c r="GD164" s="43" t="n">
        <f aca="false">Tasks[[#This Row],[_WeightDur]]*Tasks[[#This Row],[_LeafProgress]]</f>
        <v>0</v>
      </c>
      <c r="GE164" s="43" t="n">
        <f aca="false">Tasks[[#This Row],[_WeightDur]]*Tasks[[#This Row],[_PlannedPct]]</f>
        <v>0</v>
      </c>
      <c r="GF16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4" s="43" t="str">
        <f aca="false">IF(AND(Tasks[[#This Row],[_IsLeaf]]=1,N(Tasks[[#This Row],[_Days]])=0,Tasks[[#This Row],[_LeafProgress]]&lt;1),Tasks[[#This Row],[_ShownFcstFinish]]+Tasks[[#This Row],[_Row]]/100000,"")</f>
        <v/>
      </c>
      <c r="GH16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4" s="43" t="str">
        <f aca="false">IF(Tasks[[#This Row],[Task Name]]="","",LEFT(Tasks[[#This Row],[WBS]],FIND(".",Tasks[[#This Row],[WBS]]&amp;".")-1))</f>
        <v/>
      </c>
      <c r="GJ164" s="43" t="str">
        <f aca="false">IF(AND(Tasks[[#This Row],[Task Name]]&lt;&gt;"",Tasks[[#This Row],[_Level]]=1),Tasks[[#This Row],[_Row]],"")</f>
        <v/>
      </c>
      <c r="GK164" s="43" t="str">
        <f aca="false">IF(AND(Tasks[[#This Row],[_IsLeaf]]=1,N(Tasks[[#This Row],[_Days]])=0),Tasks[[#This Row],[Planned Finish]]+Tasks[[#This Row],[_Row]]/100000,"")</f>
        <v/>
      </c>
      <c r="GL164" s="43" t="str">
        <f aca="false">IF(AND(Tasks[[#This Row],[_IsLeaf]]=1,Tasks[[#This Row],[_LeafProgress]]&lt;1,OR(N(Tasks[[#This Row],[Finish Var]])&gt;0,Tasks[[#This Row],[Status]]="Late Start")),MAX(0,Tasks[[#This Row],[Finish Var]])+1-Tasks[[#This Row],[_Row]]/1000000,"")</f>
        <v/>
      </c>
      <c r="GM164" s="43" t="str">
        <f aca="false">IF(AND(Tasks[[#This Row],[_IsLeaf]]=1,N(Tasks[[#This Row],[Actual Start]])=0,Tasks[[#This Row],[_ShownFcstStart]]&gt;=StatusDate,Tasks[[#This Row],[_ShownFcstStart]]&lt;=LookaheadEnd),Tasks[[#This Row],[_ShownFcstStart]]+Tasks[[#This Row],[_Row]]/100000,"")</f>
        <v/>
      </c>
      <c r="GN164" s="43" t="str">
        <f aca="false">IF(AND(Tasks[[#This Row],[_IsLeaf]]=1,Tasks[[#This Row],[_LeafProgress]]&lt;1,Tasks[[#This Row],[_ShownFcstFinish]]&gt;=StatusDate,Tasks[[#This Row],[_ShownFcstFinish]]&lt;=LookaheadEnd),Tasks[[#This Row],[_ShownFcstFinish]]+Tasks[[#This Row],[_Row]]/100000,"")</f>
        <v/>
      </c>
      <c r="GO164" s="43" t="str">
        <f aca="false">IF(Tasks[[#This Row],[_LeafCritical]],Tasks[[#This Row],[_ShownFcstStart]]+Tasks[[#This Row],[_Row]]/100000,"")</f>
        <v/>
      </c>
      <c r="GP164" s="43" t="n">
        <f aca="false">Tasks[[#This Row],[_LeafWork]]*Tasks[[#This Row],[_LeafProgress]]</f>
        <v>0</v>
      </c>
      <c r="GQ164" s="91" t="str">
        <f aca="false">IF(AND(Tasks[[#This Row],[_IsLeaf]]=1,Tasks[[#This Row],[_LeafProgress]]&gt;=1),IF(N(Tasks[[#This Row],[Actual Finish]])&gt;0,Tasks[[#This Row],[Actual Finish]],Tasks[[#This Row],[_ShownFcstFinish]]),"")</f>
        <v/>
      </c>
      <c r="GR164" s="43" t="n">
        <f aca="false">IF(Tasks[[#This Row],[_IsLeaf]]=1,N(Tasks[[#This Row],[Story Points]]),0)</f>
        <v>0</v>
      </c>
      <c r="GS164" s="43" t="str">
        <f aca="false">""</f>
        <v/>
      </c>
      <c r="GT164" s="90" t="b">
        <f aca="false">IF(Tasks[[#This Row],[Task Name]]="",FALSE(),AND(Tasks[[#This Row],[_IsLeaf]]=1,N(Tasks[[#This Row],[_Days]])=0))</f>
        <v>0</v>
      </c>
      <c r="GU164" s="91" t="n">
        <f aca="false">IF(Tasks[[#This Row],[Task Name]]="",0,IF(AND(Tasks[[#This Row],[_IsLeaf]]=1,NOT(Tasks[[#This Row],[_IsMilestone]]),N(Tasks[[#This Row],[Progress]])&gt;0),Tasks[[#This Row],[Start]],0))</f>
        <v>0</v>
      </c>
      <c r="GV164" s="91" t="n">
        <f aca="false">IF(Tasks[[#This Row],[_DoneFrom]]=0,0,IF(Tasks[[#This Row],[Progress]]&gt;=1,Tasks[[#This Row],[Finish]],MAX(Tasks[[#This Row],[_DoneFrom]],Tasks[[#This Row],[Start]]+ROUND((Tasks[[#This Row],[Finish]]-Tasks[[#This Row],[Start]]+1)*Tasks[[#This Row],[Progress]],0)-1)))</f>
        <v>0</v>
      </c>
      <c r="GW164" s="91" t="n">
        <f aca="false">IF(Tasks[[#This Row],[Task Name]]="",0,IF(OR(NOT(Tasks[[#This Row],[_IsLeaf]]=1),Tasks[[#This Row],[_IsMilestone]],N(Tasks[[#This Row],[Progress]])&gt;=1),0,IF(Tasks[[#This Row],[_DoneTo]]&gt;0,Tasks[[#This Row],[_DoneTo]]+1,Tasks[[#This Row],[Start]])))</f>
        <v>0</v>
      </c>
      <c r="GX164" s="91" t="n">
        <f aca="false">IF(Tasks[[#This Row],[_RemFrom]]=0,0,Tasks[[#This Row],[Finish]])</f>
        <v>0</v>
      </c>
      <c r="GY164" s="90" t="b">
        <f aca="false">IF(Tasks[[#This Row],[Task Name]]="",FALSE(),OR(NOT(BaselineSet),N(Tasks[[#This Row],[Baseline Start]])&gt;0))</f>
        <v>0</v>
      </c>
      <c r="GZ16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4" s="92" t="str">
        <f aca="false">IF(Tasks[[#This Row],[_IsLeaf]]=1,Tasks[[#This Row],[_Row]],"")</f>
        <v/>
      </c>
      <c r="HD164" s="92" t="str">
        <f aca="false">IFERROR(INDEX(Tasks[UID],SMALL(Tasks[_PickKey],Tasks[[#This Row],[_Row]]))&amp;" "&amp;INDEX(Tasks[Task Name],SMALL(Tasks[_PickKey],Tasks[[#This Row],[_Row]])),"")</f>
        <v/>
      </c>
      <c r="HE164" s="43" t="str">
        <f aca="false">IF(Tasks[[#This Row],[Task Name]]="","",IF(Tasks[[#This Row],[_IsSummary]],NETWORKDAYS.INTL(Tasks[[#This Row],[Start]],Tasks[[#This Row],[Finish]],WorkWeek,Holidays),N(Tasks[[#This Row],[_Days]])))</f>
        <v/>
      </c>
      <c r="HF164" s="43" t="n">
        <f aca="false">IF(Tasks[[#This Row],[Expected]]="",0,((Tasks[[#This Row],[Pessimistic]]-Tasks[[#This Row],[Optimistic]])/6)^2)</f>
        <v>0</v>
      </c>
      <c r="HG164" s="43" t="n">
        <f aca="false">IF(Tasks[[#This Row],[Expected]]="",0,Tasks[[#This Row],[Expected]]-N(Tasks[[#This Row],[_Days]]))</f>
        <v>0</v>
      </c>
    </row>
    <row r="165" customFormat="false" ht="15" hidden="false" customHeight="false" outlineLevel="0" collapsed="false">
      <c r="A165" s="21" t="str">
        <f aca="false">IF(Tasks[[#This Row],[Task Name]]="","",COUNTA(Tasks[[#Headers],[Task Name]]:Tasks[[#This Row],[Task Name]])-1)</f>
        <v/>
      </c>
      <c r="B165" s="22" t="n">
        <v>173</v>
      </c>
      <c r="C165" s="22"/>
      <c r="D165" s="23"/>
      <c r="E165" s="22"/>
      <c r="F165" s="23"/>
      <c r="G165" s="22"/>
      <c r="H165" s="22"/>
      <c r="I165" s="23"/>
      <c r="J165" s="22"/>
      <c r="K165" s="22"/>
      <c r="L165" s="23"/>
      <c r="M165" s="22"/>
      <c r="N165" s="22"/>
      <c r="O165" s="23"/>
      <c r="P165" s="22"/>
      <c r="Q165" s="22"/>
      <c r="R165" s="23"/>
      <c r="S165" s="23"/>
      <c r="T165" s="84"/>
      <c r="U165" s="23"/>
      <c r="V165" s="84"/>
      <c r="W165" s="23"/>
      <c r="X165" s="84"/>
      <c r="Y165" s="23"/>
      <c r="Z165" s="84"/>
      <c r="AA165" s="23"/>
      <c r="AB165" s="23"/>
      <c r="AC165" s="7"/>
      <c r="AD165" s="7"/>
      <c r="AE165" s="63" t="str">
        <f aca="false">IF(Tasks[[#This Row],[Task Name]]="","",IF(Tasks[[#This Row],[_IsSummary]],MIN(INDEX(Tasks[_ShownFcstStart],Tasks[[#This Row],[_Row]]+1):INDEX(Tasks[_ShownFcstStart],Tasks[[#This Row],[_Row]]+Tasks[[#This Row],[_Descendants]])),Tasks[[#This Row],[_ShownFcstStart]]))</f>
        <v/>
      </c>
      <c r="AF165" s="63" t="str">
        <f aca="false">IF(Tasks[[#This Row],[Task Name]]="","",IF(Tasks[[#This Row],[_IsSummary]],MAX(INDEX(Tasks[_ShownFcstFinish],Tasks[[#This Row],[_Row]]+1):INDEX(Tasks[_ShownFcstFinish],Tasks[[#This Row],[_Row]]+Tasks[[#This Row],[_Descendants]])),Tasks[[#This Row],[_ShownFcstFinish]]))</f>
        <v/>
      </c>
      <c r="AG165" s="21" t="str">
        <f aca="false">""</f>
        <v/>
      </c>
      <c r="AH165" s="23"/>
      <c r="AI1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5" s="7"/>
      <c r="AK165" s="22"/>
      <c r="AL165" s="23"/>
      <c r="AM165" s="7"/>
      <c r="AN165" s="47" t="str">
        <f aca="false">IF(Tasks[[#This Row],[Task Name]]="","",IF(Tasks[[#This Row],[Finish]]&gt;=Tasks[[#This Row],[Planned Finish]],NETWORKDAYS.INTL(Tasks[[#This Row],[Planned Finish]],Tasks[[#This Row],[Finish]],WorkWeek,Holidays)-1,1-NETWORKDAYS.INTL(Tasks[[#This Row],[Finish]],Tasks[[#This Row],[Planned Finish]],WorkWeek,Holidays)))</f>
        <v/>
      </c>
      <c r="AO165" s="21" t="str">
        <f aca="false">IF(Tasks[[#This Row],[Task Name]]="","",IF(Tasks[[#This Row],[Progress]]&gt;=1,"Complete",IF(OR(N(Tasks[[#This Row],[Actual Start]])&gt;0,Tasks[[#This Row],[Progress]]&gt;0),IF(Tasks[[#This Row],[Finish Var]]&gt;0,"Behind","In Progress"),IF(Tasks[[#This Row],[Planned Start]]&lt;StatusDate,"Late Start","Not Started"))))</f>
        <v/>
      </c>
      <c r="AP165" s="21" t="str">
        <f aca="false">IF(Tasks[[#This Row],[Task Name]]="","",IF(IF(Tasks[[#This Row],[_IsSummary]],COUNTIF(INDEX(Tasks[_LeafCritical],Tasks[[#This Row],[_Row]]+1):INDEX(Tasks[_LeafCritical],Tasks[[#This Row],[_Row]]+Tasks[[#This Row],[_Descendants]]),TRUE())&gt;0,Tasks[[#This Row],[_LeafCritical]]),"Yes",""))</f>
        <v/>
      </c>
      <c r="AQ165" s="63" t="str">
        <f aca="false">IF(Tasks[[#This Row],[Task Name]]="","",IF(N(Tasks[[#This Row],[Baseline Start]])&gt;0,Tasks[[#This Row],[Baseline Start]],Tasks[[#This Row],[_CalcStart]]))</f>
        <v/>
      </c>
      <c r="AR165" s="63" t="str">
        <f aca="false">IF(Tasks[[#This Row],[Task Name]]="","",IF(N(Tasks[[#This Row],[Baseline Finish]])&gt;0,Tasks[[#This Row],[Baseline Finish]],Tasks[[#This Row],[_CalcFinish]]))</f>
        <v/>
      </c>
      <c r="AS165" s="47" t="str">
        <f aca="false">IF(Tasks[[#This Row],[Task Name]]="","",IF(Tasks[[#This Row],[Start]]&gt;=Tasks[[#This Row],[Planned Start]],NETWORKDAYS.INTL(Tasks[[#This Row],[Planned Start]],Tasks[[#This Row],[Start]],WorkWeek,Holidays)-1,1-NETWORKDAYS.INTL(Tasks[[#This Row],[Start]],Tasks[[#This Row],[Planned Start]],WorkWeek,Holidays)))</f>
        <v/>
      </c>
      <c r="AT165" s="63" t="str">
        <f aca="false">IF(Tasks[[#This Row],[Task Name]]="","",IF(Tasks[[#This Row],[_IsSummary]],MIN(INDEX(Tasks[_LeafLateStart],Tasks[[#This Row],[_Row]]+1):INDEX(Tasks[_LeafLateStart],Tasks[[#This Row],[_Row]]+Tasks[[#This Row],[_Descendants]])),Tasks[[#This Row],[_LeafLateStart]]))</f>
        <v/>
      </c>
      <c r="AU165" s="63" t="str">
        <f aca="false">IF(Tasks[[#This Row],[Task Name]]="","",IF(Tasks[[#This Row],[_IsSummary]],MAX(INDEX(Tasks[_LeafLateFinish],Tasks[[#This Row],[_Row]]+1):INDEX(Tasks[_LeafLateFinish],Tasks[[#This Row],[_Row]]+Tasks[[#This Row],[_Descendants]])),Tasks[[#This Row],[_LeafLateFinish]]))</f>
        <v/>
      </c>
      <c r="AV165" s="47" t="str">
        <f aca="false">IF(Tasks[[#This Row],[Task Name]]="","",IF(Tasks[[#This Row],[_IsSummary]],MIN(INDEX(Tasks[_LeafTotalSlack],Tasks[[#This Row],[_Row]]+1):INDEX(Tasks[_LeafTotalSlack],Tasks[[#This Row],[_Row]]+Tasks[[#This Row],[_Descendants]])),Tasks[[#This Row],[_LeafTotalSlack]]))</f>
        <v/>
      </c>
      <c r="AW1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5"/>
      <c r="BA16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1" t="str">
        <f aca="false">IF(Tasks[[#This Row],[Task Name]]="","",IF(Tasks[[#This Row],[_Level]]&lt;=OutlineShowLevel,"Yes","No"))</f>
        <v/>
      </c>
      <c r="BE165" s="86" t="str">
        <f aca="false">IF(Tasks[[#This Row],[Task Name]]="","",IF(Tasks[[#This Row],[_IsSummary]],SUM(INDEX(Tasks[_LeafTotalWork],Tasks[[#This Row],[_Row]]+1):INDEX(Tasks[_LeafTotalWork],Tasks[[#This Row],[_Row]]+Tasks[[#This Row],[_Descendants]])),Tasks[[#This Row],[_LeafTotalWork]]))</f>
        <v/>
      </c>
      <c r="BF165" s="23"/>
      <c r="BG1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5" s="21" t="str">
        <f aca="false">""</f>
        <v/>
      </c>
      <c r="BI165" s="87"/>
      <c r="BJ165" s="22"/>
      <c r="BK165" s="47" t="str">
        <f aca="false">IF(OR(Tasks[[#This Row],[Task Name]]="",Tasks[[#This Row],[Baseline Duration]]=""),"",Tasks[[#This Row],[_SpanDays]]-N(Tasks[[#This Row],[Baseline Duration]]))</f>
        <v/>
      </c>
      <c r="BL165" s="86" t="str">
        <f aca="false">IF(OR(Tasks[[#This Row],[Task Name]]="",Tasks[[#This Row],[Baseline Work]]=""),"",Tasks[[#This Row],[Work]]-N(Tasks[[#This Row],[Baseline Work]]))</f>
        <v/>
      </c>
      <c r="BM165" s="63" t="str">
        <f aca="false">IF(Tasks[[#This Row],[Task Name]]="","",IF(OR(TakeBaseline="Yes",N(Tasks[[#This Row],[Baseline Start]])=0),Tasks[[#This Row],[Start]],Tasks[[#This Row],[Baseline Start]]))</f>
        <v/>
      </c>
      <c r="BN165" s="63" t="str">
        <f aca="false">IF(Tasks[[#This Row],[Task Name]]="","",IF(OR(TakeBaseline="Yes",N(Tasks[[#This Row],[Baseline Finish]])=0),Tasks[[#This Row],[Finish]],Tasks[[#This Row],[Baseline Finish]]))</f>
        <v/>
      </c>
      <c r="BO165" s="21" t="str">
        <f aca="false">IF(Tasks[[#This Row],[Task Name]]="","",IF(OR(TakeBaseline="Yes",N(Tasks[[#This Row],[Baseline Duration]])=0),Tasks[[#This Row],[_SpanDays]],Tasks[[#This Row],[Baseline Duration]]))</f>
        <v/>
      </c>
      <c r="BP165" s="86" t="str">
        <f aca="false">IF(Tasks[[#This Row],[Task Name]]="","",IF(OR(TakeBaseline="Yes",N(Tasks[[#This Row],[Baseline Work]])=0),Tasks[[#This Row],[Work]],Tasks[[#This Row],[Baseline Work]]))</f>
        <v/>
      </c>
      <c r="BQ165" s="7"/>
      <c r="BR165" s="7"/>
      <c r="BS165" s="22"/>
      <c r="BT165" s="88"/>
      <c r="BU165" s="23"/>
      <c r="BV165" s="23"/>
      <c r="BW165" s="23"/>
      <c r="BX165" s="89" t="str">
        <f aca="false">IF(AND(Tasks[[#This Row],[_IsLeaf]]=1,ISNUMBER(Tasks[[#This Row],[Optimistic]]),ISNUMBER(Tasks[[#This Row],[Pessimistic]])),ROUND((Tasks[[#This Row],[Optimistic]]+4*N(Tasks[[#This Row],[_Days]])+Tasks[[#This Row],[Pessimistic]])/6,1),"")</f>
        <v/>
      </c>
      <c r="BY165" s="87"/>
      <c r="BZ165" s="87"/>
      <c r="CA165" s="22"/>
      <c r="CB165" s="43" t="str">
        <f aca="false">IF(Tasks[[#This Row],[Task Name]]="","",MAX(1,N(Tasks[[#This Row],[Level]])))</f>
        <v/>
      </c>
      <c r="CC165" s="43" t="n">
        <f aca="false">ROW()-ROW(Tasks[[#Headers],[ID]])</f>
        <v>160</v>
      </c>
      <c r="CD165" s="43" t="n">
        <f aca="false">IF(OR(Tasks[[#This Row],[Task Name]]="",Tasks[[#This Row],[_Level]]&lt;=1),0,IFERROR(LOOKUP(2,1/(Tasks[[#Headers],[_Level]]:Tasks[[#This Row],[_Level]]=Tasks[[#This Row],[_Level]]-1),ROW(Tasks[[#Headers],[_Level]]:Tasks[[#This Row],[_Level]])),0))</f>
        <v>0</v>
      </c>
      <c r="CE165" s="43" t="n">
        <f aca="false">IFERROR(N(INDEX(Tasks[_Level],Tasks[[#This Row],[_Row]]+1)),0)</f>
        <v>0</v>
      </c>
      <c r="CF165" s="90" t="b">
        <f aca="false">AND(Tasks[[#This Row],[Task Name]]&lt;&gt;"",Tasks[[#This Row],[_NextLevel]]&gt;Tasks[[#This Row],[_Level]])</f>
        <v>0</v>
      </c>
      <c r="CG165" s="43" t="n">
        <f aca="false">IF(Tasks[[#This Row],[_IsSummary]],COUNTIF(Tasks[WBS],Tasks[[#This Row],[WBS]]&amp;".*"),0)</f>
        <v>0</v>
      </c>
      <c r="CH165" s="43" t="n">
        <f aca="false">IF(AND(Tasks[[#This Row],[Task Name]]&lt;&gt;"",NOT(Tasks[[#This Row],[_IsSummary]])),1,0)</f>
        <v>0</v>
      </c>
      <c r="CI165" s="43" t="n">
        <f aca="false">IF(N(Tasks[[#This Row],[_Pred1UID]])=0,0,IFERROR(MATCH(Tasks[[#This Row],[_Pred1UID]],Tasks[UID],0),-1))</f>
        <v>0</v>
      </c>
      <c r="CJ165" s="43" t="n">
        <f aca="false">IF(N(Tasks[[#This Row],[_Pred2UID]])=0,0,IFERROR(MATCH(Tasks[[#This Row],[_Pred2UID]],Tasks[UID],0),-1))</f>
        <v>0</v>
      </c>
      <c r="CK165" s="43" t="n">
        <f aca="false">IF(N(Tasks[[#This Row],[_Pred3UID]])=0,0,IFERROR(MATCH(Tasks[[#This Row],[_Pred3UID]],Tasks[UID],0),-1))</f>
        <v>0</v>
      </c>
      <c r="CL165" s="43" t="n">
        <f aca="false">IF(N(Tasks[[#This Row],[_Pred4UID]])=0,0,IFERROR(MATCH(Tasks[[#This Row],[_Pred4UID]],Tasks[UID],0),-1))</f>
        <v>0</v>
      </c>
      <c r="CM16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5" s="91" t="n">
        <f aca="false">IF(OR(Tasks[[#This Row],[_ConstraintCode]]=2,Tasks[[#This Row],[_ConstraintCode]]=3,Tasks[[#This Row],[_ConstraintCode]]=4,Tasks[[#This Row],[_ConstraintCode]]=6),Tasks[[#This Row],[_ConstraintStart]],0)</f>
        <v>0</v>
      </c>
      <c r="CP165" s="91" t="n">
        <f aca="false">IF(OR(Tasks[[#This Row],[_ConstraintCode]]=2,Tasks[[#This Row],[_ConstraintCode]]=3,Tasks[[#This Row],[_ConstraintCode]]=5,Tasks[[#This Row],[_ConstraintCode]]=7),Tasks[[#This Row],[_ConstraintStart]],2958465)</f>
        <v>2958465</v>
      </c>
      <c r="CQ16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5" s="91" t="str">
        <f aca="false">IF(NOT(Tasks[[#This Row],[_IsLeaf]]=1),"",IF(N(Tasks[[#This Row],[_Days]])&lt;=0,Tasks[[#This Row],[_LeafCalcStart]],WORKDAY.INTL(Tasks[[#This Row],[_LeafCalcStart]],Tasks[[#This Row],[_Days]]-1,WorkWeek,Holidays)))</f>
        <v/>
      </c>
      <c r="CS16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5" s="43" t="str">
        <f aca="false">IF(Tasks[[#This Row],[_Predecessors]]="","",TRIM(MID(SUBSTITUTE(SUBSTITUTE(SUBSTITUTE(UPPER(Tasks[[#This Row],[_Predecessors]]),";",",")," ",""),",",REPT(" ",99)),1,99)))</f>
        <v/>
      </c>
      <c r="CV165" s="43" t="str">
        <f aca="false">IF(Tasks[[#This Row],[_Pred1Text]]="","",IFERROR(VALUE(LEFT(Tasks[[#This Row],[_Pred1Text]],MIN(FIND("F",Tasks[[#This Row],[_Pred1Text]]&amp;"F"),FIND("S",Tasks[[#This Row],[_Pred1Text]]&amp;"S"),FIND("+",Tasks[[#This Row],[_Pred1Text]]&amp;"+"),FIND("-",Tasks[[#This Row],[_Pred1Text]]&amp;"-"))-1)),""))</f>
        <v/>
      </c>
      <c r="CW16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5" s="43" t="str">
        <f aca="false">IF(Tasks[[#This Row],[_Pred1Text]]="","",TRIM(MID(SUBSTITUTE(SUBSTITUTE(SUBSTITUTE(UPPER(Tasks[[#This Row],[_Predecessors]]),";",",")," ",""),",",REPT(" ",99)),100,99)))</f>
        <v/>
      </c>
      <c r="CZ165" s="43" t="str">
        <f aca="false">IF(Tasks[[#This Row],[_Pred2Text]]="","",IFERROR(VALUE(LEFT(Tasks[[#This Row],[_Pred2Text]],MIN(FIND("F",Tasks[[#This Row],[_Pred2Text]]&amp;"F"),FIND("S",Tasks[[#This Row],[_Pred2Text]]&amp;"S"),FIND("+",Tasks[[#This Row],[_Pred2Text]]&amp;"+"),FIND("-",Tasks[[#This Row],[_Pred2Text]]&amp;"-"))-1)),""))</f>
        <v/>
      </c>
      <c r="DA16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5" s="43" t="str">
        <f aca="false">IF(Tasks[[#This Row],[_Pred2Text]]="","",TRIM(MID(SUBSTITUTE(SUBSTITUTE(SUBSTITUTE(UPPER(Tasks[[#This Row],[_Predecessors]]),";",",")," ",""),",",REPT(" ",99)),199,99)))</f>
        <v/>
      </c>
      <c r="DD165" s="43" t="str">
        <f aca="false">IF(Tasks[[#This Row],[_Pred3Text]]="","",IFERROR(VALUE(LEFT(Tasks[[#This Row],[_Pred3Text]],MIN(FIND("F",Tasks[[#This Row],[_Pred3Text]]&amp;"F"),FIND("S",Tasks[[#This Row],[_Pred3Text]]&amp;"S"),FIND("+",Tasks[[#This Row],[_Pred3Text]]&amp;"+"),FIND("-",Tasks[[#This Row],[_Pred3Text]]&amp;"-"))-1)),""))</f>
        <v/>
      </c>
      <c r="DE16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5" s="43" t="str">
        <f aca="false">IF(Tasks[[#This Row],[_Pred3Text]]="","",TRIM(MID(SUBSTITUTE(SUBSTITUTE(SUBSTITUTE(UPPER(Tasks[[#This Row],[_Predecessors]]),";",",")," ",""),",",REPT(" ",99)),298,99)))</f>
        <v/>
      </c>
      <c r="DH165" s="43" t="str">
        <f aca="false">IF(Tasks[[#This Row],[_Pred4Text]]="","",IFERROR(VALUE(LEFT(Tasks[[#This Row],[_Pred4Text]],MIN(FIND("F",Tasks[[#This Row],[_Pred4Text]]&amp;"F"),FIND("S",Tasks[[#This Row],[_Pred4Text]]&amp;"S"),FIND("+",Tasks[[#This Row],[_Pred4Text]]&amp;"+"),FIND("-",Tasks[[#This Row],[_Pred4Text]]&amp;"-"))-1)),""))</f>
        <v/>
      </c>
      <c r="DI16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5" s="43" t="str">
        <f aca="false">IF(OR(Tasks[[#This Row],[Task Name]]="",Tasks[[#This Row],[_Resources]]=""),"",TRIM(MID(SUBSTITUTE(Tasks[[#This Row],[_Resources]],",",REPT(" ",99)),1,99)))</f>
        <v/>
      </c>
      <c r="DL165" s="43" t="str">
        <f aca="false">IF(Tasks[[#This Row],[_Res1Text]]="","",TRIM(MID(SUBSTITUTE(Tasks[[#This Row],[_Resources]],",",REPT(" ",99)),100,99)))</f>
        <v/>
      </c>
      <c r="DM165" s="43" t="str">
        <f aca="false">IF(Tasks[[#This Row],[_Res2Text]]="","",TRIM(MID(SUBSTITUTE(Tasks[[#This Row],[_Resources]],",",REPT(" ",99)),199,99)))</f>
        <v/>
      </c>
      <c r="DN165" s="43" t="str">
        <f aca="false">IF(Tasks[[#This Row],[_Res3Text]]="","",TRIM(MID(SUBSTITUTE(Tasks[[#This Row],[_Resources]],",",REPT(" ",99)),298,99)))</f>
        <v/>
      </c>
      <c r="DO165" s="43" t="n">
        <f aca="false">IF(Tasks[[#This Row],[_Res1Text]]="",0,IFERROR(MATCH(TRIM(LEFT(Tasks[[#This Row],[_Res1Text]],FIND("[",Tasks[[#This Row],[_Res1Text]]&amp;"[")-1)),res_Name,0),IFERROR(MATCH(TRIM(LEFT(Tasks[[#This Row],[_Res1Text]],FIND("[",Tasks[[#This Row],[_Res1Text]]&amp;"[")-1)),res_Initials,0),0)))</f>
        <v>0</v>
      </c>
      <c r="DP165" s="43" t="n">
        <f aca="false">IF(Tasks[[#This Row],[_Res2Text]]="",0,IFERROR(MATCH(TRIM(LEFT(Tasks[[#This Row],[_Res2Text]],FIND("[",Tasks[[#This Row],[_Res2Text]]&amp;"[")-1)),res_Name,0),IFERROR(MATCH(TRIM(LEFT(Tasks[[#This Row],[_Res2Text]],FIND("[",Tasks[[#This Row],[_Res2Text]]&amp;"[")-1)),res_Initials,0),0)))</f>
        <v>0</v>
      </c>
      <c r="DQ165" s="43" t="n">
        <f aca="false">IF(Tasks[[#This Row],[_Res3Text]]="",0,IFERROR(MATCH(TRIM(LEFT(Tasks[[#This Row],[_Res3Text]],FIND("[",Tasks[[#This Row],[_Res3Text]]&amp;"[")-1)),res_Name,0),IFERROR(MATCH(TRIM(LEFT(Tasks[[#This Row],[_Res3Text]],FIND("[",Tasks[[#This Row],[_Res3Text]]&amp;"[")-1)),res_Initials,0),0)))</f>
        <v>0</v>
      </c>
      <c r="DR165" s="43" t="n">
        <f aca="false">IF(Tasks[[#This Row],[_Res4Text]]="",0,IFERROR(MATCH(TRIM(LEFT(Tasks[[#This Row],[_Res4Text]],FIND("[",Tasks[[#This Row],[_Res4Text]]&amp;"[")-1)),res_Name,0),IFERROR(MATCH(TRIM(LEFT(Tasks[[#This Row],[_Res4Text]],FIND("[",Tasks[[#This Row],[_Res4Text]]&amp;"[")-1)),res_Initials,0),0)))</f>
        <v>0</v>
      </c>
      <c r="DS165" s="43" t="str">
        <f aca="false">IF(Tasks[[#This Row],[_Res1Text]]="","",IF(Tasks[[#This Row],[_Res1Row]]&gt;0,INDEX(res_Name,Tasks[[#This Row],[_Res1Row]]),TRIM(LEFT(Tasks[[#This Row],[_Res1Text]],FIND("[",Tasks[[#This Row],[_Res1Text]]&amp;"[")-1))))</f>
        <v/>
      </c>
      <c r="DT16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5" s="43" t="n">
        <f aca="false">IF(NOT(Tasks[[#This Row],[_IsLeaf]]=1),0,(Tasks[[#This Row],[_Resource1]]&lt;&gt;"")+(Tasks[[#This Row],[_Res2]]&lt;&gt;"")+(Tasks[[#This Row],[_Res3]]&lt;&gt;"")+(Tasks[[#This Row],[_Res4]]&lt;&gt;""))</f>
        <v>0</v>
      </c>
      <c r="DV165" s="43" t="str">
        <f aca="false">IF(Tasks[[#This Row],[_Res2Text]]="","",IF(Tasks[[#This Row],[_Res2Row]]&gt;0,INDEX(res_Name,Tasks[[#This Row],[_Res2Row]]),TRIM(LEFT(Tasks[[#This Row],[_Res2Text]],FIND("[",Tasks[[#This Row],[_Res2Text]]&amp;"[")-1))))</f>
        <v/>
      </c>
      <c r="DW16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5" s="43" t="n">
        <f aca="false">IF(OR(NOT(Tasks[[#This Row],[_IsLeaf]]=1),Tasks[[#This Row],[_Res2Row]]=0),0,N(Tasks[[#This Row],[_Days]])*HoursPerDay*IF(Tasks[[#This Row],[_Res2Units]]="",DefaultUnits,Tasks[[#This Row],[_Res2Units]]))</f>
        <v>0</v>
      </c>
      <c r="DY165" s="43" t="n">
        <f aca="false">IF(AND(AND(Tasks[[#This Row],[_IsLeaf]]=1,Tasks[[#This Row],[_LeafTotalWork]]&gt;0),Tasks[[#This Row],[_Res2Work]]&gt;0),Tasks[[#This Row],[_Res2Work]]/(Tasks[[#This Row],[_FinishWorkday]]-Tasks[[#This Row],[_StartWorkday]]+1),0)</f>
        <v>0</v>
      </c>
      <c r="DZ165" s="43" t="n">
        <f aca="false">Tasks[[#This Row],[_Res2WorkPerWD]]*MAX(0,Tasks[[#This Row],[_StartWorkday]]-1)</f>
        <v>0</v>
      </c>
      <c r="EA165" s="43" t="n">
        <f aca="false">Tasks[[#This Row],[_Res2Work]]*Tasks[[#This Row],[_LeafProgress]]</f>
        <v>0</v>
      </c>
      <c r="EB165" s="43" t="str">
        <f aca="false">IF(Tasks[[#This Row],[_Res3Text]]="","",IF(Tasks[[#This Row],[_Res3Row]]&gt;0,INDEX(res_Name,Tasks[[#This Row],[_Res3Row]]),TRIM(LEFT(Tasks[[#This Row],[_Res3Text]],FIND("[",Tasks[[#This Row],[_Res3Text]]&amp;"[")-1))))</f>
        <v/>
      </c>
      <c r="EC16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5" s="43" t="n">
        <f aca="false">IF(OR(NOT(Tasks[[#This Row],[_IsLeaf]]=1),Tasks[[#This Row],[_Res3Row]]=0),0,N(Tasks[[#This Row],[_Days]])*HoursPerDay*IF(Tasks[[#This Row],[_Res3Units]]="",DefaultUnits,Tasks[[#This Row],[_Res3Units]]))</f>
        <v>0</v>
      </c>
      <c r="EE165" s="43" t="n">
        <f aca="false">IF(AND(AND(Tasks[[#This Row],[_IsLeaf]]=1,Tasks[[#This Row],[_LeafTotalWork]]&gt;0),Tasks[[#This Row],[_Res3Work]]&gt;0),Tasks[[#This Row],[_Res3Work]]/(Tasks[[#This Row],[_FinishWorkday]]-Tasks[[#This Row],[_StartWorkday]]+1),0)</f>
        <v>0</v>
      </c>
      <c r="EF165" s="43" t="n">
        <f aca="false">Tasks[[#This Row],[_Res3WorkPerWD]]*MAX(0,Tasks[[#This Row],[_StartWorkday]]-1)</f>
        <v>0</v>
      </c>
      <c r="EG165" s="43" t="n">
        <f aca="false">Tasks[[#This Row],[_Res3Work]]*Tasks[[#This Row],[_LeafProgress]]</f>
        <v>0</v>
      </c>
      <c r="EH165" s="43" t="str">
        <f aca="false">IF(Tasks[[#This Row],[_Res4Text]]="","",IF(Tasks[[#This Row],[_Res4Row]]&gt;0,INDEX(res_Name,Tasks[[#This Row],[_Res4Row]]),TRIM(LEFT(Tasks[[#This Row],[_Res4Text]],FIND("[",Tasks[[#This Row],[_Res4Text]]&amp;"[")-1))))</f>
        <v/>
      </c>
      <c r="EI16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5" s="43" t="n">
        <f aca="false">IF(OR(NOT(Tasks[[#This Row],[_IsLeaf]]=1),Tasks[[#This Row],[_Res4Row]]=0),0,N(Tasks[[#This Row],[_Days]])*HoursPerDay*IF(Tasks[[#This Row],[_Res4Units]]="",DefaultUnits,Tasks[[#This Row],[_Res4Units]]))</f>
        <v>0</v>
      </c>
      <c r="EK165" s="43" t="n">
        <f aca="false">IF(AND(AND(Tasks[[#This Row],[_IsLeaf]]=1,Tasks[[#This Row],[_LeafTotalWork]]&gt;0),Tasks[[#This Row],[_Res4Work]]&gt;0),Tasks[[#This Row],[_Res4Work]]/(Tasks[[#This Row],[_FinishWorkday]]-Tasks[[#This Row],[_StartWorkday]]+1),0)</f>
        <v>0</v>
      </c>
      <c r="EL165" s="43" t="n">
        <f aca="false">Tasks[[#This Row],[_Res4WorkPerWD]]*MAX(0,Tasks[[#This Row],[_StartWorkday]]-1)</f>
        <v>0</v>
      </c>
      <c r="EM165" s="43" t="n">
        <f aca="false">Tasks[[#This Row],[_Res4Work]]*Tasks[[#This Row],[_LeafProgress]]</f>
        <v>0</v>
      </c>
      <c r="EN165" s="43" t="n">
        <f aca="false">IF(ISNUMBER(Tasks[[#This Row],[% Complete]]),Tasks[[#This Row],[% Complete]],IF(Tasks[[#This Row],[Stage]]="",0,IFERROR(INDEX(stg_Pct,MATCH(Tasks[[#This Row],[Stage]],stg_Name,0)),0)))</f>
        <v>0</v>
      </c>
      <c r="EO165" s="43" t="n">
        <f aca="false">IF(NOT(Tasks[[#This Row],[_IsLeaf]]=1),0,IF(N(Tasks[[#This Row],[Actual Finish]])&gt;0,1,MIN(1,Tasks[[#This Row],[_Pct]])))</f>
        <v>0</v>
      </c>
      <c r="EP165" s="43" t="n">
        <f aca="false">IF(OR(NOT(Tasks[[#This Row],[_IsLeaf]]=1),Tasks[[#This Row],[_Res1Row]]=0),0,N(Tasks[[#This Row],[_Days]])*HoursPerDay*IF(Tasks[[#This Row],[_Units1]]="",DefaultUnits,Tasks[[#This Row],[_Units1]]))</f>
        <v>0</v>
      </c>
      <c r="EQ165" s="43" t="n">
        <f aca="false">Tasks[[#This Row],[_LeafWork]]+Tasks[[#This Row],[_Res2Work]]+Tasks[[#This Row],[_Res3Work]]+Tasks[[#This Row],[_Res4Work]]</f>
        <v>0</v>
      </c>
      <c r="ER16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5" s="43" t="n">
        <f aca="false">IF(NOT(Tasks[[#This Row],[_IsLeaf]]=1),0,MAX(_xlfn.MAXIFS(Tasks[_Row],Tasks[_Pred1UID],Tasks[[#This Row],[UID]]),_xlfn.MAXIFS(Tasks[_Row],Tasks[_Pred2UID],Tasks[[#This Row],[UID]]),_xlfn.MAXIFS(Tasks[_Row],Tasks[_Pred3UID],Tasks[[#This Row],[UID]]),_xlfn.MAXIFS(Tasks[_Row],Tasks[_Pred4UID],Tasks[[#This Row],[UID]])))</f>
        <v>0</v>
      </c>
      <c r="FA16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5" s="91" t="str">
        <f aca="false">IF(NOT(Tasks[[#This Row],[_IsLeaf]]=1),"",IF(N(Tasks[[#This Row],[_Days]])&lt;=0,Tasks[[#This Row],[_LeafLateFinish]],WORKDAY.INTL(Tasks[[#This Row],[_LeafLateFinish]],-(Tasks[[#This Row],[_Days]]-1),WorkWeek,Holidays)))</f>
        <v/>
      </c>
      <c r="FD16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5" s="90" t="b">
        <f aca="false">AND(Tasks[[#This Row],[_IsLeaf]]=1,Tasks[[#This Row],[_LeafProgress]]&lt;1,N(Tasks[[#This Row],[_LeafTotalSlack]])&lt;=CriticalSlackDays)</f>
        <v>0</v>
      </c>
      <c r="FF165" s="43" t="n">
        <f aca="false">IF(AND(Tasks[[#This Row],[_IsLeaf]]=1,Tasks[[#This Row],[_ConstraintCode]]=1,Tasks[[#This Row],[Mode]]&lt;&gt;"Manual",N(Tasks[[#This Row],[Actual Start]])=0),MAX(0,N(Tasks[[#This Row],[Free Slack]])),0)</f>
        <v>0</v>
      </c>
      <c r="FG165" s="91" t="str">
        <f aca="false">IF(NOT(Tasks[[#This Row],[_IsLeaf]]=1),"",IF(Tasks[[#This Row],[_AlapShift]]=0,Tasks[[#This Row],[_LeafCalcStart]],WORKDAY.INTL(Tasks[[#This Row],[_LeafCalcStart]],Tasks[[#This Row],[_AlapShift]],WorkWeek,Holidays)))</f>
        <v/>
      </c>
      <c r="FH165" s="91" t="str">
        <f aca="false">IF(NOT(Tasks[[#This Row],[_IsLeaf]]=1),"",IF(Tasks[[#This Row],[_AlapShift]]=0,Tasks[[#This Row],[_LeafCalcFinish]],WORKDAY.INTL(Tasks[[#This Row],[_LeafCalcFinish]],Tasks[[#This Row],[_AlapShift]],WorkWeek,Holidays)))</f>
        <v/>
      </c>
      <c r="FI165" s="91" t="str">
        <f aca="false">IF(NOT(Tasks[[#This Row],[_IsLeaf]]=1),"",IF(Tasks[[#This Row],[_AlapShift]]=0,Tasks[[#This Row],[_LeafFcstStart]],WORKDAY.INTL(Tasks[[#This Row],[_LeafFcstStart]],Tasks[[#This Row],[_AlapShift]],WorkWeek,Holidays)))</f>
        <v/>
      </c>
      <c r="FJ165" s="91" t="str">
        <f aca="false">IF(NOT(Tasks[[#This Row],[_IsLeaf]]=1),"",IF(Tasks[[#This Row],[_AlapShift]]=0,Tasks[[#This Row],[_LeafFcstFinish]],WORKDAY.INTL(Tasks[[#This Row],[_LeafFcstFinish]],Tasks[[#This Row],[_AlapShift]],WorkWeek,Holidays)))</f>
        <v/>
      </c>
      <c r="FK165" s="91" t="str">
        <f aca="false">IF(Tasks[[#This Row],[Task Name]]="","",IF(Tasks[[#This Row],[_IsSummary]],MIN(INDEX(Tasks[_ShownCalcStart],Tasks[[#This Row],[_Row]]+1):INDEX(Tasks[_ShownCalcStart],Tasks[[#This Row],[_Row]]+Tasks[[#This Row],[_Descendants]])),Tasks[[#This Row],[_ShownCalcStart]]))</f>
        <v/>
      </c>
      <c r="FL165" s="91" t="str">
        <f aca="false">IF(Tasks[[#This Row],[Task Name]]="","",IF(Tasks[[#This Row],[_IsSummary]],MAX(INDEX(Tasks[_ShownCalcFinish],Tasks[[#This Row],[_Row]]+1):INDEX(Tasks[_ShownCalcFinish],Tasks[[#This Row],[_Row]]+Tasks[[#This Row],[_Descendants]])),Tasks[[#This Row],[_ShownCalcFinish]]))</f>
        <v/>
      </c>
      <c r="FM16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5" s="43" t="n">
        <f aca="false">IF(AND(Tasks[[#This Row],[_IsLeaf]]=1,Tasks[[#This Row],[_LeafTotalWork]]&gt;0),NETWORKDAYS.INTL(ProjectStart,Tasks[[#This Row],[_ShownFcstStart]],WorkWeek,Holidays),0)</f>
        <v>0</v>
      </c>
      <c r="FZ165" s="43" t="n">
        <f aca="false">IF(AND(Tasks[[#This Row],[_IsLeaf]]=1,Tasks[[#This Row],[_LeafTotalWork]]&gt;0),MAX(Tasks[[#This Row],[_StartWorkday]],NETWORKDAYS.INTL(ProjectStart,Tasks[[#This Row],[_ShownFcstFinish]],WorkWeek,Holidays)),0)</f>
        <v>0</v>
      </c>
      <c r="GA165" s="43" t="n">
        <f aca="false">IF(AND(Tasks[[#This Row],[_IsLeaf]]=1,Tasks[[#This Row],[_LeafTotalWork]]&gt;0),Tasks[[#This Row],[_LeafWork]]/(Tasks[[#This Row],[_FinishWorkday]]-Tasks[[#This Row],[_StartWorkday]]+1),0)</f>
        <v>0</v>
      </c>
      <c r="GB165" s="43" t="n">
        <f aca="false">Tasks[[#This Row],[_WorkPerWorkday]]*(Tasks[[#This Row],[_StartWorkday]]-1)</f>
        <v>-0</v>
      </c>
      <c r="GC165" s="43" t="n">
        <f aca="false">IF(Tasks[[#This Row],[_IsLeaf]]=1,MAX(N(Tasks[[#This Row],[_Days]]),0.1),0)</f>
        <v>0</v>
      </c>
      <c r="GD165" s="43" t="n">
        <f aca="false">Tasks[[#This Row],[_WeightDur]]*Tasks[[#This Row],[_LeafProgress]]</f>
        <v>0</v>
      </c>
      <c r="GE165" s="43" t="n">
        <f aca="false">Tasks[[#This Row],[_WeightDur]]*Tasks[[#This Row],[_PlannedPct]]</f>
        <v>0</v>
      </c>
      <c r="GF16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5" s="43" t="str">
        <f aca="false">IF(AND(Tasks[[#This Row],[_IsLeaf]]=1,N(Tasks[[#This Row],[_Days]])=0,Tasks[[#This Row],[_LeafProgress]]&lt;1),Tasks[[#This Row],[_ShownFcstFinish]]+Tasks[[#This Row],[_Row]]/100000,"")</f>
        <v/>
      </c>
      <c r="GH16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5" s="43" t="str">
        <f aca="false">IF(Tasks[[#This Row],[Task Name]]="","",LEFT(Tasks[[#This Row],[WBS]],FIND(".",Tasks[[#This Row],[WBS]]&amp;".")-1))</f>
        <v/>
      </c>
      <c r="GJ165" s="43" t="str">
        <f aca="false">IF(AND(Tasks[[#This Row],[Task Name]]&lt;&gt;"",Tasks[[#This Row],[_Level]]=1),Tasks[[#This Row],[_Row]],"")</f>
        <v/>
      </c>
      <c r="GK165" s="43" t="str">
        <f aca="false">IF(AND(Tasks[[#This Row],[_IsLeaf]]=1,N(Tasks[[#This Row],[_Days]])=0),Tasks[[#This Row],[Planned Finish]]+Tasks[[#This Row],[_Row]]/100000,"")</f>
        <v/>
      </c>
      <c r="GL165" s="43" t="str">
        <f aca="false">IF(AND(Tasks[[#This Row],[_IsLeaf]]=1,Tasks[[#This Row],[_LeafProgress]]&lt;1,OR(N(Tasks[[#This Row],[Finish Var]])&gt;0,Tasks[[#This Row],[Status]]="Late Start")),MAX(0,Tasks[[#This Row],[Finish Var]])+1-Tasks[[#This Row],[_Row]]/1000000,"")</f>
        <v/>
      </c>
      <c r="GM165" s="43" t="str">
        <f aca="false">IF(AND(Tasks[[#This Row],[_IsLeaf]]=1,N(Tasks[[#This Row],[Actual Start]])=0,Tasks[[#This Row],[_ShownFcstStart]]&gt;=StatusDate,Tasks[[#This Row],[_ShownFcstStart]]&lt;=LookaheadEnd),Tasks[[#This Row],[_ShownFcstStart]]+Tasks[[#This Row],[_Row]]/100000,"")</f>
        <v/>
      </c>
      <c r="GN165" s="43" t="str">
        <f aca="false">IF(AND(Tasks[[#This Row],[_IsLeaf]]=1,Tasks[[#This Row],[_LeafProgress]]&lt;1,Tasks[[#This Row],[_ShownFcstFinish]]&gt;=StatusDate,Tasks[[#This Row],[_ShownFcstFinish]]&lt;=LookaheadEnd),Tasks[[#This Row],[_ShownFcstFinish]]+Tasks[[#This Row],[_Row]]/100000,"")</f>
        <v/>
      </c>
      <c r="GO165" s="43" t="str">
        <f aca="false">IF(Tasks[[#This Row],[_LeafCritical]],Tasks[[#This Row],[_ShownFcstStart]]+Tasks[[#This Row],[_Row]]/100000,"")</f>
        <v/>
      </c>
      <c r="GP165" s="43" t="n">
        <f aca="false">Tasks[[#This Row],[_LeafWork]]*Tasks[[#This Row],[_LeafProgress]]</f>
        <v>0</v>
      </c>
      <c r="GQ165" s="91" t="str">
        <f aca="false">IF(AND(Tasks[[#This Row],[_IsLeaf]]=1,Tasks[[#This Row],[_LeafProgress]]&gt;=1),IF(N(Tasks[[#This Row],[Actual Finish]])&gt;0,Tasks[[#This Row],[Actual Finish]],Tasks[[#This Row],[_ShownFcstFinish]]),"")</f>
        <v/>
      </c>
      <c r="GR165" s="43" t="n">
        <f aca="false">IF(Tasks[[#This Row],[_IsLeaf]]=1,N(Tasks[[#This Row],[Story Points]]),0)</f>
        <v>0</v>
      </c>
      <c r="GS165" s="43" t="str">
        <f aca="false">""</f>
        <v/>
      </c>
      <c r="GT165" s="90" t="b">
        <f aca="false">IF(Tasks[[#This Row],[Task Name]]="",FALSE(),AND(Tasks[[#This Row],[_IsLeaf]]=1,N(Tasks[[#This Row],[_Days]])=0))</f>
        <v>0</v>
      </c>
      <c r="GU165" s="91" t="n">
        <f aca="false">IF(Tasks[[#This Row],[Task Name]]="",0,IF(AND(Tasks[[#This Row],[_IsLeaf]]=1,NOT(Tasks[[#This Row],[_IsMilestone]]),N(Tasks[[#This Row],[Progress]])&gt;0),Tasks[[#This Row],[Start]],0))</f>
        <v>0</v>
      </c>
      <c r="GV165" s="91" t="n">
        <f aca="false">IF(Tasks[[#This Row],[_DoneFrom]]=0,0,IF(Tasks[[#This Row],[Progress]]&gt;=1,Tasks[[#This Row],[Finish]],MAX(Tasks[[#This Row],[_DoneFrom]],Tasks[[#This Row],[Start]]+ROUND((Tasks[[#This Row],[Finish]]-Tasks[[#This Row],[Start]]+1)*Tasks[[#This Row],[Progress]],0)-1)))</f>
        <v>0</v>
      </c>
      <c r="GW165" s="91" t="n">
        <f aca="false">IF(Tasks[[#This Row],[Task Name]]="",0,IF(OR(NOT(Tasks[[#This Row],[_IsLeaf]]=1),Tasks[[#This Row],[_IsMilestone]],N(Tasks[[#This Row],[Progress]])&gt;=1),0,IF(Tasks[[#This Row],[_DoneTo]]&gt;0,Tasks[[#This Row],[_DoneTo]]+1,Tasks[[#This Row],[Start]])))</f>
        <v>0</v>
      </c>
      <c r="GX165" s="91" t="n">
        <f aca="false">IF(Tasks[[#This Row],[_RemFrom]]=0,0,Tasks[[#This Row],[Finish]])</f>
        <v>0</v>
      </c>
      <c r="GY165" s="90" t="b">
        <f aca="false">IF(Tasks[[#This Row],[Task Name]]="",FALSE(),OR(NOT(BaselineSet),N(Tasks[[#This Row],[Baseline Start]])&gt;0))</f>
        <v>0</v>
      </c>
      <c r="GZ16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5" s="92" t="str">
        <f aca="false">IF(Tasks[[#This Row],[_IsLeaf]]=1,Tasks[[#This Row],[_Row]],"")</f>
        <v/>
      </c>
      <c r="HD165" s="92" t="str">
        <f aca="false">IFERROR(INDEX(Tasks[UID],SMALL(Tasks[_PickKey],Tasks[[#This Row],[_Row]]))&amp;" "&amp;INDEX(Tasks[Task Name],SMALL(Tasks[_PickKey],Tasks[[#This Row],[_Row]])),"")</f>
        <v/>
      </c>
      <c r="HE165" s="43" t="str">
        <f aca="false">IF(Tasks[[#This Row],[Task Name]]="","",IF(Tasks[[#This Row],[_IsSummary]],NETWORKDAYS.INTL(Tasks[[#This Row],[Start]],Tasks[[#This Row],[Finish]],WorkWeek,Holidays),N(Tasks[[#This Row],[_Days]])))</f>
        <v/>
      </c>
      <c r="HF165" s="43" t="n">
        <f aca="false">IF(Tasks[[#This Row],[Expected]]="",0,((Tasks[[#This Row],[Pessimistic]]-Tasks[[#This Row],[Optimistic]])/6)^2)</f>
        <v>0</v>
      </c>
      <c r="HG165" s="43" t="n">
        <f aca="false">IF(Tasks[[#This Row],[Expected]]="",0,Tasks[[#This Row],[Expected]]-N(Tasks[[#This Row],[_Days]]))</f>
        <v>0</v>
      </c>
    </row>
    <row r="166" customFormat="false" ht="15" hidden="false" customHeight="false" outlineLevel="0" collapsed="false">
      <c r="A166" s="21" t="str">
        <f aca="false">IF(Tasks[[#This Row],[Task Name]]="","",COUNTA(Tasks[[#Headers],[Task Name]]:Tasks[[#This Row],[Task Name]])-1)</f>
        <v/>
      </c>
      <c r="B166" s="22" t="n">
        <v>174</v>
      </c>
      <c r="C166" s="22"/>
      <c r="D166" s="23"/>
      <c r="E166" s="22"/>
      <c r="F166" s="23"/>
      <c r="G166" s="22"/>
      <c r="H166" s="22"/>
      <c r="I166" s="23"/>
      <c r="J166" s="22"/>
      <c r="K166" s="22"/>
      <c r="L166" s="23"/>
      <c r="M166" s="22"/>
      <c r="N166" s="22"/>
      <c r="O166" s="23"/>
      <c r="P166" s="22"/>
      <c r="Q166" s="22"/>
      <c r="R166" s="23"/>
      <c r="S166" s="23"/>
      <c r="T166" s="84"/>
      <c r="U166" s="23"/>
      <c r="V166" s="84"/>
      <c r="W166" s="23"/>
      <c r="X166" s="84"/>
      <c r="Y166" s="23"/>
      <c r="Z166" s="84"/>
      <c r="AA166" s="23"/>
      <c r="AB166" s="23"/>
      <c r="AC166" s="7"/>
      <c r="AD166" s="7"/>
      <c r="AE166" s="63" t="str">
        <f aca="false">IF(Tasks[[#This Row],[Task Name]]="","",IF(Tasks[[#This Row],[_IsSummary]],MIN(INDEX(Tasks[_ShownFcstStart],Tasks[[#This Row],[_Row]]+1):INDEX(Tasks[_ShownFcstStart],Tasks[[#This Row],[_Row]]+Tasks[[#This Row],[_Descendants]])),Tasks[[#This Row],[_ShownFcstStart]]))</f>
        <v/>
      </c>
      <c r="AF166" s="63" t="str">
        <f aca="false">IF(Tasks[[#This Row],[Task Name]]="","",IF(Tasks[[#This Row],[_IsSummary]],MAX(INDEX(Tasks[_ShownFcstFinish],Tasks[[#This Row],[_Row]]+1):INDEX(Tasks[_ShownFcstFinish],Tasks[[#This Row],[_Row]]+Tasks[[#This Row],[_Descendants]])),Tasks[[#This Row],[_ShownFcstFinish]]))</f>
        <v/>
      </c>
      <c r="AG166" s="21" t="str">
        <f aca="false">""</f>
        <v/>
      </c>
      <c r="AH166" s="23"/>
      <c r="AI1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6" s="7"/>
      <c r="AK166" s="22"/>
      <c r="AL166" s="23"/>
      <c r="AM166" s="7"/>
      <c r="AN166" s="47" t="str">
        <f aca="false">IF(Tasks[[#This Row],[Task Name]]="","",IF(Tasks[[#This Row],[Finish]]&gt;=Tasks[[#This Row],[Planned Finish]],NETWORKDAYS.INTL(Tasks[[#This Row],[Planned Finish]],Tasks[[#This Row],[Finish]],WorkWeek,Holidays)-1,1-NETWORKDAYS.INTL(Tasks[[#This Row],[Finish]],Tasks[[#This Row],[Planned Finish]],WorkWeek,Holidays)))</f>
        <v/>
      </c>
      <c r="AO166" s="21" t="str">
        <f aca="false">IF(Tasks[[#This Row],[Task Name]]="","",IF(Tasks[[#This Row],[Progress]]&gt;=1,"Complete",IF(OR(N(Tasks[[#This Row],[Actual Start]])&gt;0,Tasks[[#This Row],[Progress]]&gt;0),IF(Tasks[[#This Row],[Finish Var]]&gt;0,"Behind","In Progress"),IF(Tasks[[#This Row],[Planned Start]]&lt;StatusDate,"Late Start","Not Started"))))</f>
        <v/>
      </c>
      <c r="AP166" s="21" t="str">
        <f aca="false">IF(Tasks[[#This Row],[Task Name]]="","",IF(IF(Tasks[[#This Row],[_IsSummary]],COUNTIF(INDEX(Tasks[_LeafCritical],Tasks[[#This Row],[_Row]]+1):INDEX(Tasks[_LeafCritical],Tasks[[#This Row],[_Row]]+Tasks[[#This Row],[_Descendants]]),TRUE())&gt;0,Tasks[[#This Row],[_LeafCritical]]),"Yes",""))</f>
        <v/>
      </c>
      <c r="AQ166" s="63" t="str">
        <f aca="false">IF(Tasks[[#This Row],[Task Name]]="","",IF(N(Tasks[[#This Row],[Baseline Start]])&gt;0,Tasks[[#This Row],[Baseline Start]],Tasks[[#This Row],[_CalcStart]]))</f>
        <v/>
      </c>
      <c r="AR166" s="63" t="str">
        <f aca="false">IF(Tasks[[#This Row],[Task Name]]="","",IF(N(Tasks[[#This Row],[Baseline Finish]])&gt;0,Tasks[[#This Row],[Baseline Finish]],Tasks[[#This Row],[_CalcFinish]]))</f>
        <v/>
      </c>
      <c r="AS166" s="47" t="str">
        <f aca="false">IF(Tasks[[#This Row],[Task Name]]="","",IF(Tasks[[#This Row],[Start]]&gt;=Tasks[[#This Row],[Planned Start]],NETWORKDAYS.INTL(Tasks[[#This Row],[Planned Start]],Tasks[[#This Row],[Start]],WorkWeek,Holidays)-1,1-NETWORKDAYS.INTL(Tasks[[#This Row],[Start]],Tasks[[#This Row],[Planned Start]],WorkWeek,Holidays)))</f>
        <v/>
      </c>
      <c r="AT166" s="63" t="str">
        <f aca="false">IF(Tasks[[#This Row],[Task Name]]="","",IF(Tasks[[#This Row],[_IsSummary]],MIN(INDEX(Tasks[_LeafLateStart],Tasks[[#This Row],[_Row]]+1):INDEX(Tasks[_LeafLateStart],Tasks[[#This Row],[_Row]]+Tasks[[#This Row],[_Descendants]])),Tasks[[#This Row],[_LeafLateStart]]))</f>
        <v/>
      </c>
      <c r="AU166" s="63" t="str">
        <f aca="false">IF(Tasks[[#This Row],[Task Name]]="","",IF(Tasks[[#This Row],[_IsSummary]],MAX(INDEX(Tasks[_LeafLateFinish],Tasks[[#This Row],[_Row]]+1):INDEX(Tasks[_LeafLateFinish],Tasks[[#This Row],[_Row]]+Tasks[[#This Row],[_Descendants]])),Tasks[[#This Row],[_LeafLateFinish]]))</f>
        <v/>
      </c>
      <c r="AV166" s="47" t="str">
        <f aca="false">IF(Tasks[[#This Row],[Task Name]]="","",IF(Tasks[[#This Row],[_IsSummary]],MIN(INDEX(Tasks[_LeafTotalSlack],Tasks[[#This Row],[_Row]]+1):INDEX(Tasks[_LeafTotalSlack],Tasks[[#This Row],[_Row]]+Tasks[[#This Row],[_Descendants]])),Tasks[[#This Row],[_LeafTotalSlack]]))</f>
        <v/>
      </c>
      <c r="AW1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5"/>
      <c r="BA16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1" t="str">
        <f aca="false">IF(Tasks[[#This Row],[Task Name]]="","",IF(Tasks[[#This Row],[_Level]]&lt;=OutlineShowLevel,"Yes","No"))</f>
        <v/>
      </c>
      <c r="BE166" s="86" t="str">
        <f aca="false">IF(Tasks[[#This Row],[Task Name]]="","",IF(Tasks[[#This Row],[_IsSummary]],SUM(INDEX(Tasks[_LeafTotalWork],Tasks[[#This Row],[_Row]]+1):INDEX(Tasks[_LeafTotalWork],Tasks[[#This Row],[_Row]]+Tasks[[#This Row],[_Descendants]])),Tasks[[#This Row],[_LeafTotalWork]]))</f>
        <v/>
      </c>
      <c r="BF166" s="23"/>
      <c r="BG1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6" s="21" t="str">
        <f aca="false">""</f>
        <v/>
      </c>
      <c r="BI166" s="87"/>
      <c r="BJ166" s="22"/>
      <c r="BK166" s="47" t="str">
        <f aca="false">IF(OR(Tasks[[#This Row],[Task Name]]="",Tasks[[#This Row],[Baseline Duration]]=""),"",Tasks[[#This Row],[_SpanDays]]-N(Tasks[[#This Row],[Baseline Duration]]))</f>
        <v/>
      </c>
      <c r="BL166" s="86" t="str">
        <f aca="false">IF(OR(Tasks[[#This Row],[Task Name]]="",Tasks[[#This Row],[Baseline Work]]=""),"",Tasks[[#This Row],[Work]]-N(Tasks[[#This Row],[Baseline Work]]))</f>
        <v/>
      </c>
      <c r="BM166" s="63" t="str">
        <f aca="false">IF(Tasks[[#This Row],[Task Name]]="","",IF(OR(TakeBaseline="Yes",N(Tasks[[#This Row],[Baseline Start]])=0),Tasks[[#This Row],[Start]],Tasks[[#This Row],[Baseline Start]]))</f>
        <v/>
      </c>
      <c r="BN166" s="63" t="str">
        <f aca="false">IF(Tasks[[#This Row],[Task Name]]="","",IF(OR(TakeBaseline="Yes",N(Tasks[[#This Row],[Baseline Finish]])=0),Tasks[[#This Row],[Finish]],Tasks[[#This Row],[Baseline Finish]]))</f>
        <v/>
      </c>
      <c r="BO166" s="21" t="str">
        <f aca="false">IF(Tasks[[#This Row],[Task Name]]="","",IF(OR(TakeBaseline="Yes",N(Tasks[[#This Row],[Baseline Duration]])=0),Tasks[[#This Row],[_SpanDays]],Tasks[[#This Row],[Baseline Duration]]))</f>
        <v/>
      </c>
      <c r="BP166" s="86" t="str">
        <f aca="false">IF(Tasks[[#This Row],[Task Name]]="","",IF(OR(TakeBaseline="Yes",N(Tasks[[#This Row],[Baseline Work]])=0),Tasks[[#This Row],[Work]],Tasks[[#This Row],[Baseline Work]]))</f>
        <v/>
      </c>
      <c r="BQ166" s="7"/>
      <c r="BR166" s="7"/>
      <c r="BS166" s="22"/>
      <c r="BT166" s="88"/>
      <c r="BU166" s="23"/>
      <c r="BV166" s="23"/>
      <c r="BW166" s="23"/>
      <c r="BX166" s="89" t="str">
        <f aca="false">IF(AND(Tasks[[#This Row],[_IsLeaf]]=1,ISNUMBER(Tasks[[#This Row],[Optimistic]]),ISNUMBER(Tasks[[#This Row],[Pessimistic]])),ROUND((Tasks[[#This Row],[Optimistic]]+4*N(Tasks[[#This Row],[_Days]])+Tasks[[#This Row],[Pessimistic]])/6,1),"")</f>
        <v/>
      </c>
      <c r="BY166" s="87"/>
      <c r="BZ166" s="87"/>
      <c r="CA166" s="22"/>
      <c r="CB166" s="43" t="str">
        <f aca="false">IF(Tasks[[#This Row],[Task Name]]="","",MAX(1,N(Tasks[[#This Row],[Level]])))</f>
        <v/>
      </c>
      <c r="CC166" s="43" t="n">
        <f aca="false">ROW()-ROW(Tasks[[#Headers],[ID]])</f>
        <v>161</v>
      </c>
      <c r="CD166" s="43" t="n">
        <f aca="false">IF(OR(Tasks[[#This Row],[Task Name]]="",Tasks[[#This Row],[_Level]]&lt;=1),0,IFERROR(LOOKUP(2,1/(Tasks[[#Headers],[_Level]]:Tasks[[#This Row],[_Level]]=Tasks[[#This Row],[_Level]]-1),ROW(Tasks[[#Headers],[_Level]]:Tasks[[#This Row],[_Level]])),0))</f>
        <v>0</v>
      </c>
      <c r="CE166" s="43" t="n">
        <f aca="false">IFERROR(N(INDEX(Tasks[_Level],Tasks[[#This Row],[_Row]]+1)),0)</f>
        <v>0</v>
      </c>
      <c r="CF166" s="90" t="b">
        <f aca="false">AND(Tasks[[#This Row],[Task Name]]&lt;&gt;"",Tasks[[#This Row],[_NextLevel]]&gt;Tasks[[#This Row],[_Level]])</f>
        <v>0</v>
      </c>
      <c r="CG166" s="43" t="n">
        <f aca="false">IF(Tasks[[#This Row],[_IsSummary]],COUNTIF(Tasks[WBS],Tasks[[#This Row],[WBS]]&amp;".*"),0)</f>
        <v>0</v>
      </c>
      <c r="CH166" s="43" t="n">
        <f aca="false">IF(AND(Tasks[[#This Row],[Task Name]]&lt;&gt;"",NOT(Tasks[[#This Row],[_IsSummary]])),1,0)</f>
        <v>0</v>
      </c>
      <c r="CI166" s="43" t="n">
        <f aca="false">IF(N(Tasks[[#This Row],[_Pred1UID]])=0,0,IFERROR(MATCH(Tasks[[#This Row],[_Pred1UID]],Tasks[UID],0),-1))</f>
        <v>0</v>
      </c>
      <c r="CJ166" s="43" t="n">
        <f aca="false">IF(N(Tasks[[#This Row],[_Pred2UID]])=0,0,IFERROR(MATCH(Tasks[[#This Row],[_Pred2UID]],Tasks[UID],0),-1))</f>
        <v>0</v>
      </c>
      <c r="CK166" s="43" t="n">
        <f aca="false">IF(N(Tasks[[#This Row],[_Pred3UID]])=0,0,IFERROR(MATCH(Tasks[[#This Row],[_Pred3UID]],Tasks[UID],0),-1))</f>
        <v>0</v>
      </c>
      <c r="CL166" s="43" t="n">
        <f aca="false">IF(N(Tasks[[#This Row],[_Pred4UID]])=0,0,IFERROR(MATCH(Tasks[[#This Row],[_Pred4UID]],Tasks[UID],0),-1))</f>
        <v>0</v>
      </c>
      <c r="CM16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6" s="91" t="n">
        <f aca="false">IF(OR(Tasks[[#This Row],[_ConstraintCode]]=2,Tasks[[#This Row],[_ConstraintCode]]=3,Tasks[[#This Row],[_ConstraintCode]]=4,Tasks[[#This Row],[_ConstraintCode]]=6),Tasks[[#This Row],[_ConstraintStart]],0)</f>
        <v>0</v>
      </c>
      <c r="CP166" s="91" t="n">
        <f aca="false">IF(OR(Tasks[[#This Row],[_ConstraintCode]]=2,Tasks[[#This Row],[_ConstraintCode]]=3,Tasks[[#This Row],[_ConstraintCode]]=5,Tasks[[#This Row],[_ConstraintCode]]=7),Tasks[[#This Row],[_ConstraintStart]],2958465)</f>
        <v>2958465</v>
      </c>
      <c r="CQ16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6" s="91" t="str">
        <f aca="false">IF(NOT(Tasks[[#This Row],[_IsLeaf]]=1),"",IF(N(Tasks[[#This Row],[_Days]])&lt;=0,Tasks[[#This Row],[_LeafCalcStart]],WORKDAY.INTL(Tasks[[#This Row],[_LeafCalcStart]],Tasks[[#This Row],[_Days]]-1,WorkWeek,Holidays)))</f>
        <v/>
      </c>
      <c r="CS16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6" s="43" t="str">
        <f aca="false">IF(Tasks[[#This Row],[_Predecessors]]="","",TRIM(MID(SUBSTITUTE(SUBSTITUTE(SUBSTITUTE(UPPER(Tasks[[#This Row],[_Predecessors]]),";",",")," ",""),",",REPT(" ",99)),1,99)))</f>
        <v/>
      </c>
      <c r="CV166" s="43" t="str">
        <f aca="false">IF(Tasks[[#This Row],[_Pred1Text]]="","",IFERROR(VALUE(LEFT(Tasks[[#This Row],[_Pred1Text]],MIN(FIND("F",Tasks[[#This Row],[_Pred1Text]]&amp;"F"),FIND("S",Tasks[[#This Row],[_Pred1Text]]&amp;"S"),FIND("+",Tasks[[#This Row],[_Pred1Text]]&amp;"+"),FIND("-",Tasks[[#This Row],[_Pred1Text]]&amp;"-"))-1)),""))</f>
        <v/>
      </c>
      <c r="CW16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6" s="43" t="str">
        <f aca="false">IF(Tasks[[#This Row],[_Pred1Text]]="","",TRIM(MID(SUBSTITUTE(SUBSTITUTE(SUBSTITUTE(UPPER(Tasks[[#This Row],[_Predecessors]]),";",",")," ",""),",",REPT(" ",99)),100,99)))</f>
        <v/>
      </c>
      <c r="CZ166" s="43" t="str">
        <f aca="false">IF(Tasks[[#This Row],[_Pred2Text]]="","",IFERROR(VALUE(LEFT(Tasks[[#This Row],[_Pred2Text]],MIN(FIND("F",Tasks[[#This Row],[_Pred2Text]]&amp;"F"),FIND("S",Tasks[[#This Row],[_Pred2Text]]&amp;"S"),FIND("+",Tasks[[#This Row],[_Pred2Text]]&amp;"+"),FIND("-",Tasks[[#This Row],[_Pred2Text]]&amp;"-"))-1)),""))</f>
        <v/>
      </c>
      <c r="DA16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6" s="43" t="str">
        <f aca="false">IF(Tasks[[#This Row],[_Pred2Text]]="","",TRIM(MID(SUBSTITUTE(SUBSTITUTE(SUBSTITUTE(UPPER(Tasks[[#This Row],[_Predecessors]]),";",",")," ",""),",",REPT(" ",99)),199,99)))</f>
        <v/>
      </c>
      <c r="DD166" s="43" t="str">
        <f aca="false">IF(Tasks[[#This Row],[_Pred3Text]]="","",IFERROR(VALUE(LEFT(Tasks[[#This Row],[_Pred3Text]],MIN(FIND("F",Tasks[[#This Row],[_Pred3Text]]&amp;"F"),FIND("S",Tasks[[#This Row],[_Pred3Text]]&amp;"S"),FIND("+",Tasks[[#This Row],[_Pred3Text]]&amp;"+"),FIND("-",Tasks[[#This Row],[_Pred3Text]]&amp;"-"))-1)),""))</f>
        <v/>
      </c>
      <c r="DE16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6" s="43" t="str">
        <f aca="false">IF(Tasks[[#This Row],[_Pred3Text]]="","",TRIM(MID(SUBSTITUTE(SUBSTITUTE(SUBSTITUTE(UPPER(Tasks[[#This Row],[_Predecessors]]),";",",")," ",""),",",REPT(" ",99)),298,99)))</f>
        <v/>
      </c>
      <c r="DH166" s="43" t="str">
        <f aca="false">IF(Tasks[[#This Row],[_Pred4Text]]="","",IFERROR(VALUE(LEFT(Tasks[[#This Row],[_Pred4Text]],MIN(FIND("F",Tasks[[#This Row],[_Pred4Text]]&amp;"F"),FIND("S",Tasks[[#This Row],[_Pred4Text]]&amp;"S"),FIND("+",Tasks[[#This Row],[_Pred4Text]]&amp;"+"),FIND("-",Tasks[[#This Row],[_Pred4Text]]&amp;"-"))-1)),""))</f>
        <v/>
      </c>
      <c r="DI16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6" s="43" t="str">
        <f aca="false">IF(OR(Tasks[[#This Row],[Task Name]]="",Tasks[[#This Row],[_Resources]]=""),"",TRIM(MID(SUBSTITUTE(Tasks[[#This Row],[_Resources]],",",REPT(" ",99)),1,99)))</f>
        <v/>
      </c>
      <c r="DL166" s="43" t="str">
        <f aca="false">IF(Tasks[[#This Row],[_Res1Text]]="","",TRIM(MID(SUBSTITUTE(Tasks[[#This Row],[_Resources]],",",REPT(" ",99)),100,99)))</f>
        <v/>
      </c>
      <c r="DM166" s="43" t="str">
        <f aca="false">IF(Tasks[[#This Row],[_Res2Text]]="","",TRIM(MID(SUBSTITUTE(Tasks[[#This Row],[_Resources]],",",REPT(" ",99)),199,99)))</f>
        <v/>
      </c>
      <c r="DN166" s="43" t="str">
        <f aca="false">IF(Tasks[[#This Row],[_Res3Text]]="","",TRIM(MID(SUBSTITUTE(Tasks[[#This Row],[_Resources]],",",REPT(" ",99)),298,99)))</f>
        <v/>
      </c>
      <c r="DO166" s="43" t="n">
        <f aca="false">IF(Tasks[[#This Row],[_Res1Text]]="",0,IFERROR(MATCH(TRIM(LEFT(Tasks[[#This Row],[_Res1Text]],FIND("[",Tasks[[#This Row],[_Res1Text]]&amp;"[")-1)),res_Name,0),IFERROR(MATCH(TRIM(LEFT(Tasks[[#This Row],[_Res1Text]],FIND("[",Tasks[[#This Row],[_Res1Text]]&amp;"[")-1)),res_Initials,0),0)))</f>
        <v>0</v>
      </c>
      <c r="DP166" s="43" t="n">
        <f aca="false">IF(Tasks[[#This Row],[_Res2Text]]="",0,IFERROR(MATCH(TRIM(LEFT(Tasks[[#This Row],[_Res2Text]],FIND("[",Tasks[[#This Row],[_Res2Text]]&amp;"[")-1)),res_Name,0),IFERROR(MATCH(TRIM(LEFT(Tasks[[#This Row],[_Res2Text]],FIND("[",Tasks[[#This Row],[_Res2Text]]&amp;"[")-1)),res_Initials,0),0)))</f>
        <v>0</v>
      </c>
      <c r="DQ166" s="43" t="n">
        <f aca="false">IF(Tasks[[#This Row],[_Res3Text]]="",0,IFERROR(MATCH(TRIM(LEFT(Tasks[[#This Row],[_Res3Text]],FIND("[",Tasks[[#This Row],[_Res3Text]]&amp;"[")-1)),res_Name,0),IFERROR(MATCH(TRIM(LEFT(Tasks[[#This Row],[_Res3Text]],FIND("[",Tasks[[#This Row],[_Res3Text]]&amp;"[")-1)),res_Initials,0),0)))</f>
        <v>0</v>
      </c>
      <c r="DR166" s="43" t="n">
        <f aca="false">IF(Tasks[[#This Row],[_Res4Text]]="",0,IFERROR(MATCH(TRIM(LEFT(Tasks[[#This Row],[_Res4Text]],FIND("[",Tasks[[#This Row],[_Res4Text]]&amp;"[")-1)),res_Name,0),IFERROR(MATCH(TRIM(LEFT(Tasks[[#This Row],[_Res4Text]],FIND("[",Tasks[[#This Row],[_Res4Text]]&amp;"[")-1)),res_Initials,0),0)))</f>
        <v>0</v>
      </c>
      <c r="DS166" s="43" t="str">
        <f aca="false">IF(Tasks[[#This Row],[_Res1Text]]="","",IF(Tasks[[#This Row],[_Res1Row]]&gt;0,INDEX(res_Name,Tasks[[#This Row],[_Res1Row]]),TRIM(LEFT(Tasks[[#This Row],[_Res1Text]],FIND("[",Tasks[[#This Row],[_Res1Text]]&amp;"[")-1))))</f>
        <v/>
      </c>
      <c r="DT16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6" s="43" t="n">
        <f aca="false">IF(NOT(Tasks[[#This Row],[_IsLeaf]]=1),0,(Tasks[[#This Row],[_Resource1]]&lt;&gt;"")+(Tasks[[#This Row],[_Res2]]&lt;&gt;"")+(Tasks[[#This Row],[_Res3]]&lt;&gt;"")+(Tasks[[#This Row],[_Res4]]&lt;&gt;""))</f>
        <v>0</v>
      </c>
      <c r="DV166" s="43" t="str">
        <f aca="false">IF(Tasks[[#This Row],[_Res2Text]]="","",IF(Tasks[[#This Row],[_Res2Row]]&gt;0,INDEX(res_Name,Tasks[[#This Row],[_Res2Row]]),TRIM(LEFT(Tasks[[#This Row],[_Res2Text]],FIND("[",Tasks[[#This Row],[_Res2Text]]&amp;"[")-1))))</f>
        <v/>
      </c>
      <c r="DW16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6" s="43" t="n">
        <f aca="false">IF(OR(NOT(Tasks[[#This Row],[_IsLeaf]]=1),Tasks[[#This Row],[_Res2Row]]=0),0,N(Tasks[[#This Row],[_Days]])*HoursPerDay*IF(Tasks[[#This Row],[_Res2Units]]="",DefaultUnits,Tasks[[#This Row],[_Res2Units]]))</f>
        <v>0</v>
      </c>
      <c r="DY166" s="43" t="n">
        <f aca="false">IF(AND(AND(Tasks[[#This Row],[_IsLeaf]]=1,Tasks[[#This Row],[_LeafTotalWork]]&gt;0),Tasks[[#This Row],[_Res2Work]]&gt;0),Tasks[[#This Row],[_Res2Work]]/(Tasks[[#This Row],[_FinishWorkday]]-Tasks[[#This Row],[_StartWorkday]]+1),0)</f>
        <v>0</v>
      </c>
      <c r="DZ166" s="43" t="n">
        <f aca="false">Tasks[[#This Row],[_Res2WorkPerWD]]*MAX(0,Tasks[[#This Row],[_StartWorkday]]-1)</f>
        <v>0</v>
      </c>
      <c r="EA166" s="43" t="n">
        <f aca="false">Tasks[[#This Row],[_Res2Work]]*Tasks[[#This Row],[_LeafProgress]]</f>
        <v>0</v>
      </c>
      <c r="EB166" s="43" t="str">
        <f aca="false">IF(Tasks[[#This Row],[_Res3Text]]="","",IF(Tasks[[#This Row],[_Res3Row]]&gt;0,INDEX(res_Name,Tasks[[#This Row],[_Res3Row]]),TRIM(LEFT(Tasks[[#This Row],[_Res3Text]],FIND("[",Tasks[[#This Row],[_Res3Text]]&amp;"[")-1))))</f>
        <v/>
      </c>
      <c r="EC16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6" s="43" t="n">
        <f aca="false">IF(OR(NOT(Tasks[[#This Row],[_IsLeaf]]=1),Tasks[[#This Row],[_Res3Row]]=0),0,N(Tasks[[#This Row],[_Days]])*HoursPerDay*IF(Tasks[[#This Row],[_Res3Units]]="",DefaultUnits,Tasks[[#This Row],[_Res3Units]]))</f>
        <v>0</v>
      </c>
      <c r="EE166" s="43" t="n">
        <f aca="false">IF(AND(AND(Tasks[[#This Row],[_IsLeaf]]=1,Tasks[[#This Row],[_LeafTotalWork]]&gt;0),Tasks[[#This Row],[_Res3Work]]&gt;0),Tasks[[#This Row],[_Res3Work]]/(Tasks[[#This Row],[_FinishWorkday]]-Tasks[[#This Row],[_StartWorkday]]+1),0)</f>
        <v>0</v>
      </c>
      <c r="EF166" s="43" t="n">
        <f aca="false">Tasks[[#This Row],[_Res3WorkPerWD]]*MAX(0,Tasks[[#This Row],[_StartWorkday]]-1)</f>
        <v>0</v>
      </c>
      <c r="EG166" s="43" t="n">
        <f aca="false">Tasks[[#This Row],[_Res3Work]]*Tasks[[#This Row],[_LeafProgress]]</f>
        <v>0</v>
      </c>
      <c r="EH166" s="43" t="str">
        <f aca="false">IF(Tasks[[#This Row],[_Res4Text]]="","",IF(Tasks[[#This Row],[_Res4Row]]&gt;0,INDEX(res_Name,Tasks[[#This Row],[_Res4Row]]),TRIM(LEFT(Tasks[[#This Row],[_Res4Text]],FIND("[",Tasks[[#This Row],[_Res4Text]]&amp;"[")-1))))</f>
        <v/>
      </c>
      <c r="EI16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6" s="43" t="n">
        <f aca="false">IF(OR(NOT(Tasks[[#This Row],[_IsLeaf]]=1),Tasks[[#This Row],[_Res4Row]]=0),0,N(Tasks[[#This Row],[_Days]])*HoursPerDay*IF(Tasks[[#This Row],[_Res4Units]]="",DefaultUnits,Tasks[[#This Row],[_Res4Units]]))</f>
        <v>0</v>
      </c>
      <c r="EK166" s="43" t="n">
        <f aca="false">IF(AND(AND(Tasks[[#This Row],[_IsLeaf]]=1,Tasks[[#This Row],[_LeafTotalWork]]&gt;0),Tasks[[#This Row],[_Res4Work]]&gt;0),Tasks[[#This Row],[_Res4Work]]/(Tasks[[#This Row],[_FinishWorkday]]-Tasks[[#This Row],[_StartWorkday]]+1),0)</f>
        <v>0</v>
      </c>
      <c r="EL166" s="43" t="n">
        <f aca="false">Tasks[[#This Row],[_Res4WorkPerWD]]*MAX(0,Tasks[[#This Row],[_StartWorkday]]-1)</f>
        <v>0</v>
      </c>
      <c r="EM166" s="43" t="n">
        <f aca="false">Tasks[[#This Row],[_Res4Work]]*Tasks[[#This Row],[_LeafProgress]]</f>
        <v>0</v>
      </c>
      <c r="EN166" s="43" t="n">
        <f aca="false">IF(ISNUMBER(Tasks[[#This Row],[% Complete]]),Tasks[[#This Row],[% Complete]],IF(Tasks[[#This Row],[Stage]]="",0,IFERROR(INDEX(stg_Pct,MATCH(Tasks[[#This Row],[Stage]],stg_Name,0)),0)))</f>
        <v>0</v>
      </c>
      <c r="EO166" s="43" t="n">
        <f aca="false">IF(NOT(Tasks[[#This Row],[_IsLeaf]]=1),0,IF(N(Tasks[[#This Row],[Actual Finish]])&gt;0,1,MIN(1,Tasks[[#This Row],[_Pct]])))</f>
        <v>0</v>
      </c>
      <c r="EP166" s="43" t="n">
        <f aca="false">IF(OR(NOT(Tasks[[#This Row],[_IsLeaf]]=1),Tasks[[#This Row],[_Res1Row]]=0),0,N(Tasks[[#This Row],[_Days]])*HoursPerDay*IF(Tasks[[#This Row],[_Units1]]="",DefaultUnits,Tasks[[#This Row],[_Units1]]))</f>
        <v>0</v>
      </c>
      <c r="EQ166" s="43" t="n">
        <f aca="false">Tasks[[#This Row],[_LeafWork]]+Tasks[[#This Row],[_Res2Work]]+Tasks[[#This Row],[_Res3Work]]+Tasks[[#This Row],[_Res4Work]]</f>
        <v>0</v>
      </c>
      <c r="ER16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6" s="43" t="n">
        <f aca="false">IF(NOT(Tasks[[#This Row],[_IsLeaf]]=1),0,MAX(_xlfn.MAXIFS(Tasks[_Row],Tasks[_Pred1UID],Tasks[[#This Row],[UID]]),_xlfn.MAXIFS(Tasks[_Row],Tasks[_Pred2UID],Tasks[[#This Row],[UID]]),_xlfn.MAXIFS(Tasks[_Row],Tasks[_Pred3UID],Tasks[[#This Row],[UID]]),_xlfn.MAXIFS(Tasks[_Row],Tasks[_Pred4UID],Tasks[[#This Row],[UID]])))</f>
        <v>0</v>
      </c>
      <c r="FA16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6" s="91" t="str">
        <f aca="false">IF(NOT(Tasks[[#This Row],[_IsLeaf]]=1),"",IF(N(Tasks[[#This Row],[_Days]])&lt;=0,Tasks[[#This Row],[_LeafLateFinish]],WORKDAY.INTL(Tasks[[#This Row],[_LeafLateFinish]],-(Tasks[[#This Row],[_Days]]-1),WorkWeek,Holidays)))</f>
        <v/>
      </c>
      <c r="FD16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6" s="90" t="b">
        <f aca="false">AND(Tasks[[#This Row],[_IsLeaf]]=1,Tasks[[#This Row],[_LeafProgress]]&lt;1,N(Tasks[[#This Row],[_LeafTotalSlack]])&lt;=CriticalSlackDays)</f>
        <v>0</v>
      </c>
      <c r="FF166" s="43" t="n">
        <f aca="false">IF(AND(Tasks[[#This Row],[_IsLeaf]]=1,Tasks[[#This Row],[_ConstraintCode]]=1,Tasks[[#This Row],[Mode]]&lt;&gt;"Manual",N(Tasks[[#This Row],[Actual Start]])=0),MAX(0,N(Tasks[[#This Row],[Free Slack]])),0)</f>
        <v>0</v>
      </c>
      <c r="FG166" s="91" t="str">
        <f aca="false">IF(NOT(Tasks[[#This Row],[_IsLeaf]]=1),"",IF(Tasks[[#This Row],[_AlapShift]]=0,Tasks[[#This Row],[_LeafCalcStart]],WORKDAY.INTL(Tasks[[#This Row],[_LeafCalcStart]],Tasks[[#This Row],[_AlapShift]],WorkWeek,Holidays)))</f>
        <v/>
      </c>
      <c r="FH166" s="91" t="str">
        <f aca="false">IF(NOT(Tasks[[#This Row],[_IsLeaf]]=1),"",IF(Tasks[[#This Row],[_AlapShift]]=0,Tasks[[#This Row],[_LeafCalcFinish]],WORKDAY.INTL(Tasks[[#This Row],[_LeafCalcFinish]],Tasks[[#This Row],[_AlapShift]],WorkWeek,Holidays)))</f>
        <v/>
      </c>
      <c r="FI166" s="91" t="str">
        <f aca="false">IF(NOT(Tasks[[#This Row],[_IsLeaf]]=1),"",IF(Tasks[[#This Row],[_AlapShift]]=0,Tasks[[#This Row],[_LeafFcstStart]],WORKDAY.INTL(Tasks[[#This Row],[_LeafFcstStart]],Tasks[[#This Row],[_AlapShift]],WorkWeek,Holidays)))</f>
        <v/>
      </c>
      <c r="FJ166" s="91" t="str">
        <f aca="false">IF(NOT(Tasks[[#This Row],[_IsLeaf]]=1),"",IF(Tasks[[#This Row],[_AlapShift]]=0,Tasks[[#This Row],[_LeafFcstFinish]],WORKDAY.INTL(Tasks[[#This Row],[_LeafFcstFinish]],Tasks[[#This Row],[_AlapShift]],WorkWeek,Holidays)))</f>
        <v/>
      </c>
      <c r="FK166" s="91" t="str">
        <f aca="false">IF(Tasks[[#This Row],[Task Name]]="","",IF(Tasks[[#This Row],[_IsSummary]],MIN(INDEX(Tasks[_ShownCalcStart],Tasks[[#This Row],[_Row]]+1):INDEX(Tasks[_ShownCalcStart],Tasks[[#This Row],[_Row]]+Tasks[[#This Row],[_Descendants]])),Tasks[[#This Row],[_ShownCalcStart]]))</f>
        <v/>
      </c>
      <c r="FL166" s="91" t="str">
        <f aca="false">IF(Tasks[[#This Row],[Task Name]]="","",IF(Tasks[[#This Row],[_IsSummary]],MAX(INDEX(Tasks[_ShownCalcFinish],Tasks[[#This Row],[_Row]]+1):INDEX(Tasks[_ShownCalcFinish],Tasks[[#This Row],[_Row]]+Tasks[[#This Row],[_Descendants]])),Tasks[[#This Row],[_ShownCalcFinish]]))</f>
        <v/>
      </c>
      <c r="FM16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6" s="43" t="n">
        <f aca="false">IF(AND(Tasks[[#This Row],[_IsLeaf]]=1,Tasks[[#This Row],[_LeafTotalWork]]&gt;0),NETWORKDAYS.INTL(ProjectStart,Tasks[[#This Row],[_ShownFcstStart]],WorkWeek,Holidays),0)</f>
        <v>0</v>
      </c>
      <c r="FZ166" s="43" t="n">
        <f aca="false">IF(AND(Tasks[[#This Row],[_IsLeaf]]=1,Tasks[[#This Row],[_LeafTotalWork]]&gt;0),MAX(Tasks[[#This Row],[_StartWorkday]],NETWORKDAYS.INTL(ProjectStart,Tasks[[#This Row],[_ShownFcstFinish]],WorkWeek,Holidays)),0)</f>
        <v>0</v>
      </c>
      <c r="GA166" s="43" t="n">
        <f aca="false">IF(AND(Tasks[[#This Row],[_IsLeaf]]=1,Tasks[[#This Row],[_LeafTotalWork]]&gt;0),Tasks[[#This Row],[_LeafWork]]/(Tasks[[#This Row],[_FinishWorkday]]-Tasks[[#This Row],[_StartWorkday]]+1),0)</f>
        <v>0</v>
      </c>
      <c r="GB166" s="43" t="n">
        <f aca="false">Tasks[[#This Row],[_WorkPerWorkday]]*(Tasks[[#This Row],[_StartWorkday]]-1)</f>
        <v>-0</v>
      </c>
      <c r="GC166" s="43" t="n">
        <f aca="false">IF(Tasks[[#This Row],[_IsLeaf]]=1,MAX(N(Tasks[[#This Row],[_Days]]),0.1),0)</f>
        <v>0</v>
      </c>
      <c r="GD166" s="43" t="n">
        <f aca="false">Tasks[[#This Row],[_WeightDur]]*Tasks[[#This Row],[_LeafProgress]]</f>
        <v>0</v>
      </c>
      <c r="GE166" s="43" t="n">
        <f aca="false">Tasks[[#This Row],[_WeightDur]]*Tasks[[#This Row],[_PlannedPct]]</f>
        <v>0</v>
      </c>
      <c r="GF16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6" s="43" t="str">
        <f aca="false">IF(AND(Tasks[[#This Row],[_IsLeaf]]=1,N(Tasks[[#This Row],[_Days]])=0,Tasks[[#This Row],[_LeafProgress]]&lt;1),Tasks[[#This Row],[_ShownFcstFinish]]+Tasks[[#This Row],[_Row]]/100000,"")</f>
        <v/>
      </c>
      <c r="GH16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6" s="43" t="str">
        <f aca="false">IF(Tasks[[#This Row],[Task Name]]="","",LEFT(Tasks[[#This Row],[WBS]],FIND(".",Tasks[[#This Row],[WBS]]&amp;".")-1))</f>
        <v/>
      </c>
      <c r="GJ166" s="43" t="str">
        <f aca="false">IF(AND(Tasks[[#This Row],[Task Name]]&lt;&gt;"",Tasks[[#This Row],[_Level]]=1),Tasks[[#This Row],[_Row]],"")</f>
        <v/>
      </c>
      <c r="GK166" s="43" t="str">
        <f aca="false">IF(AND(Tasks[[#This Row],[_IsLeaf]]=1,N(Tasks[[#This Row],[_Days]])=0),Tasks[[#This Row],[Planned Finish]]+Tasks[[#This Row],[_Row]]/100000,"")</f>
        <v/>
      </c>
      <c r="GL166" s="43" t="str">
        <f aca="false">IF(AND(Tasks[[#This Row],[_IsLeaf]]=1,Tasks[[#This Row],[_LeafProgress]]&lt;1,OR(N(Tasks[[#This Row],[Finish Var]])&gt;0,Tasks[[#This Row],[Status]]="Late Start")),MAX(0,Tasks[[#This Row],[Finish Var]])+1-Tasks[[#This Row],[_Row]]/1000000,"")</f>
        <v/>
      </c>
      <c r="GM166" s="43" t="str">
        <f aca="false">IF(AND(Tasks[[#This Row],[_IsLeaf]]=1,N(Tasks[[#This Row],[Actual Start]])=0,Tasks[[#This Row],[_ShownFcstStart]]&gt;=StatusDate,Tasks[[#This Row],[_ShownFcstStart]]&lt;=LookaheadEnd),Tasks[[#This Row],[_ShownFcstStart]]+Tasks[[#This Row],[_Row]]/100000,"")</f>
        <v/>
      </c>
      <c r="GN166" s="43" t="str">
        <f aca="false">IF(AND(Tasks[[#This Row],[_IsLeaf]]=1,Tasks[[#This Row],[_LeafProgress]]&lt;1,Tasks[[#This Row],[_ShownFcstFinish]]&gt;=StatusDate,Tasks[[#This Row],[_ShownFcstFinish]]&lt;=LookaheadEnd),Tasks[[#This Row],[_ShownFcstFinish]]+Tasks[[#This Row],[_Row]]/100000,"")</f>
        <v/>
      </c>
      <c r="GO166" s="43" t="str">
        <f aca="false">IF(Tasks[[#This Row],[_LeafCritical]],Tasks[[#This Row],[_ShownFcstStart]]+Tasks[[#This Row],[_Row]]/100000,"")</f>
        <v/>
      </c>
      <c r="GP166" s="43" t="n">
        <f aca="false">Tasks[[#This Row],[_LeafWork]]*Tasks[[#This Row],[_LeafProgress]]</f>
        <v>0</v>
      </c>
      <c r="GQ166" s="91" t="str">
        <f aca="false">IF(AND(Tasks[[#This Row],[_IsLeaf]]=1,Tasks[[#This Row],[_LeafProgress]]&gt;=1),IF(N(Tasks[[#This Row],[Actual Finish]])&gt;0,Tasks[[#This Row],[Actual Finish]],Tasks[[#This Row],[_ShownFcstFinish]]),"")</f>
        <v/>
      </c>
      <c r="GR166" s="43" t="n">
        <f aca="false">IF(Tasks[[#This Row],[_IsLeaf]]=1,N(Tasks[[#This Row],[Story Points]]),0)</f>
        <v>0</v>
      </c>
      <c r="GS166" s="43" t="str">
        <f aca="false">""</f>
        <v/>
      </c>
      <c r="GT166" s="90" t="b">
        <f aca="false">IF(Tasks[[#This Row],[Task Name]]="",FALSE(),AND(Tasks[[#This Row],[_IsLeaf]]=1,N(Tasks[[#This Row],[_Days]])=0))</f>
        <v>0</v>
      </c>
      <c r="GU166" s="91" t="n">
        <f aca="false">IF(Tasks[[#This Row],[Task Name]]="",0,IF(AND(Tasks[[#This Row],[_IsLeaf]]=1,NOT(Tasks[[#This Row],[_IsMilestone]]),N(Tasks[[#This Row],[Progress]])&gt;0),Tasks[[#This Row],[Start]],0))</f>
        <v>0</v>
      </c>
      <c r="GV166" s="91" t="n">
        <f aca="false">IF(Tasks[[#This Row],[_DoneFrom]]=0,0,IF(Tasks[[#This Row],[Progress]]&gt;=1,Tasks[[#This Row],[Finish]],MAX(Tasks[[#This Row],[_DoneFrom]],Tasks[[#This Row],[Start]]+ROUND((Tasks[[#This Row],[Finish]]-Tasks[[#This Row],[Start]]+1)*Tasks[[#This Row],[Progress]],0)-1)))</f>
        <v>0</v>
      </c>
      <c r="GW166" s="91" t="n">
        <f aca="false">IF(Tasks[[#This Row],[Task Name]]="",0,IF(OR(NOT(Tasks[[#This Row],[_IsLeaf]]=1),Tasks[[#This Row],[_IsMilestone]],N(Tasks[[#This Row],[Progress]])&gt;=1),0,IF(Tasks[[#This Row],[_DoneTo]]&gt;0,Tasks[[#This Row],[_DoneTo]]+1,Tasks[[#This Row],[Start]])))</f>
        <v>0</v>
      </c>
      <c r="GX166" s="91" t="n">
        <f aca="false">IF(Tasks[[#This Row],[_RemFrom]]=0,0,Tasks[[#This Row],[Finish]])</f>
        <v>0</v>
      </c>
      <c r="GY166" s="90" t="b">
        <f aca="false">IF(Tasks[[#This Row],[Task Name]]="",FALSE(),OR(NOT(BaselineSet),N(Tasks[[#This Row],[Baseline Start]])&gt;0))</f>
        <v>0</v>
      </c>
      <c r="GZ16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6" s="92" t="str">
        <f aca="false">IF(Tasks[[#This Row],[_IsLeaf]]=1,Tasks[[#This Row],[_Row]],"")</f>
        <v/>
      </c>
      <c r="HD166" s="92" t="str">
        <f aca="false">IFERROR(INDEX(Tasks[UID],SMALL(Tasks[_PickKey],Tasks[[#This Row],[_Row]]))&amp;" "&amp;INDEX(Tasks[Task Name],SMALL(Tasks[_PickKey],Tasks[[#This Row],[_Row]])),"")</f>
        <v/>
      </c>
      <c r="HE166" s="43" t="str">
        <f aca="false">IF(Tasks[[#This Row],[Task Name]]="","",IF(Tasks[[#This Row],[_IsSummary]],NETWORKDAYS.INTL(Tasks[[#This Row],[Start]],Tasks[[#This Row],[Finish]],WorkWeek,Holidays),N(Tasks[[#This Row],[_Days]])))</f>
        <v/>
      </c>
      <c r="HF166" s="43" t="n">
        <f aca="false">IF(Tasks[[#This Row],[Expected]]="",0,((Tasks[[#This Row],[Pessimistic]]-Tasks[[#This Row],[Optimistic]])/6)^2)</f>
        <v>0</v>
      </c>
      <c r="HG166" s="43" t="n">
        <f aca="false">IF(Tasks[[#This Row],[Expected]]="",0,Tasks[[#This Row],[Expected]]-N(Tasks[[#This Row],[_Days]]))</f>
        <v>0</v>
      </c>
    </row>
    <row r="167" customFormat="false" ht="15" hidden="false" customHeight="false" outlineLevel="0" collapsed="false">
      <c r="A167" s="21" t="str">
        <f aca="false">IF(Tasks[[#This Row],[Task Name]]="","",COUNTA(Tasks[[#Headers],[Task Name]]:Tasks[[#This Row],[Task Name]])-1)</f>
        <v/>
      </c>
      <c r="B167" s="22" t="n">
        <v>175</v>
      </c>
      <c r="C167" s="22"/>
      <c r="D167" s="23"/>
      <c r="E167" s="22"/>
      <c r="F167" s="23"/>
      <c r="G167" s="22"/>
      <c r="H167" s="22"/>
      <c r="I167" s="23"/>
      <c r="J167" s="22"/>
      <c r="K167" s="22"/>
      <c r="L167" s="23"/>
      <c r="M167" s="22"/>
      <c r="N167" s="22"/>
      <c r="O167" s="23"/>
      <c r="P167" s="22"/>
      <c r="Q167" s="22"/>
      <c r="R167" s="23"/>
      <c r="S167" s="23"/>
      <c r="T167" s="84"/>
      <c r="U167" s="23"/>
      <c r="V167" s="84"/>
      <c r="W167" s="23"/>
      <c r="X167" s="84"/>
      <c r="Y167" s="23"/>
      <c r="Z167" s="84"/>
      <c r="AA167" s="23"/>
      <c r="AB167" s="23"/>
      <c r="AC167" s="7"/>
      <c r="AD167" s="7"/>
      <c r="AE167" s="63" t="str">
        <f aca="false">IF(Tasks[[#This Row],[Task Name]]="","",IF(Tasks[[#This Row],[_IsSummary]],MIN(INDEX(Tasks[_ShownFcstStart],Tasks[[#This Row],[_Row]]+1):INDEX(Tasks[_ShownFcstStart],Tasks[[#This Row],[_Row]]+Tasks[[#This Row],[_Descendants]])),Tasks[[#This Row],[_ShownFcstStart]]))</f>
        <v/>
      </c>
      <c r="AF167" s="63" t="str">
        <f aca="false">IF(Tasks[[#This Row],[Task Name]]="","",IF(Tasks[[#This Row],[_IsSummary]],MAX(INDEX(Tasks[_ShownFcstFinish],Tasks[[#This Row],[_Row]]+1):INDEX(Tasks[_ShownFcstFinish],Tasks[[#This Row],[_Row]]+Tasks[[#This Row],[_Descendants]])),Tasks[[#This Row],[_ShownFcstFinish]]))</f>
        <v/>
      </c>
      <c r="AG167" s="21" t="str">
        <f aca="false">""</f>
        <v/>
      </c>
      <c r="AH167" s="23"/>
      <c r="AI1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7" s="7"/>
      <c r="AK167" s="22"/>
      <c r="AL167" s="23"/>
      <c r="AM167" s="7"/>
      <c r="AN167" s="47" t="str">
        <f aca="false">IF(Tasks[[#This Row],[Task Name]]="","",IF(Tasks[[#This Row],[Finish]]&gt;=Tasks[[#This Row],[Planned Finish]],NETWORKDAYS.INTL(Tasks[[#This Row],[Planned Finish]],Tasks[[#This Row],[Finish]],WorkWeek,Holidays)-1,1-NETWORKDAYS.INTL(Tasks[[#This Row],[Finish]],Tasks[[#This Row],[Planned Finish]],WorkWeek,Holidays)))</f>
        <v/>
      </c>
      <c r="AO167" s="21" t="str">
        <f aca="false">IF(Tasks[[#This Row],[Task Name]]="","",IF(Tasks[[#This Row],[Progress]]&gt;=1,"Complete",IF(OR(N(Tasks[[#This Row],[Actual Start]])&gt;0,Tasks[[#This Row],[Progress]]&gt;0),IF(Tasks[[#This Row],[Finish Var]]&gt;0,"Behind","In Progress"),IF(Tasks[[#This Row],[Planned Start]]&lt;StatusDate,"Late Start","Not Started"))))</f>
        <v/>
      </c>
      <c r="AP167" s="21" t="str">
        <f aca="false">IF(Tasks[[#This Row],[Task Name]]="","",IF(IF(Tasks[[#This Row],[_IsSummary]],COUNTIF(INDEX(Tasks[_LeafCritical],Tasks[[#This Row],[_Row]]+1):INDEX(Tasks[_LeafCritical],Tasks[[#This Row],[_Row]]+Tasks[[#This Row],[_Descendants]]),TRUE())&gt;0,Tasks[[#This Row],[_LeafCritical]]),"Yes",""))</f>
        <v/>
      </c>
      <c r="AQ167" s="63" t="str">
        <f aca="false">IF(Tasks[[#This Row],[Task Name]]="","",IF(N(Tasks[[#This Row],[Baseline Start]])&gt;0,Tasks[[#This Row],[Baseline Start]],Tasks[[#This Row],[_CalcStart]]))</f>
        <v/>
      </c>
      <c r="AR167" s="63" t="str">
        <f aca="false">IF(Tasks[[#This Row],[Task Name]]="","",IF(N(Tasks[[#This Row],[Baseline Finish]])&gt;0,Tasks[[#This Row],[Baseline Finish]],Tasks[[#This Row],[_CalcFinish]]))</f>
        <v/>
      </c>
      <c r="AS167" s="47" t="str">
        <f aca="false">IF(Tasks[[#This Row],[Task Name]]="","",IF(Tasks[[#This Row],[Start]]&gt;=Tasks[[#This Row],[Planned Start]],NETWORKDAYS.INTL(Tasks[[#This Row],[Planned Start]],Tasks[[#This Row],[Start]],WorkWeek,Holidays)-1,1-NETWORKDAYS.INTL(Tasks[[#This Row],[Start]],Tasks[[#This Row],[Planned Start]],WorkWeek,Holidays)))</f>
        <v/>
      </c>
      <c r="AT167" s="63" t="str">
        <f aca="false">IF(Tasks[[#This Row],[Task Name]]="","",IF(Tasks[[#This Row],[_IsSummary]],MIN(INDEX(Tasks[_LeafLateStart],Tasks[[#This Row],[_Row]]+1):INDEX(Tasks[_LeafLateStart],Tasks[[#This Row],[_Row]]+Tasks[[#This Row],[_Descendants]])),Tasks[[#This Row],[_LeafLateStart]]))</f>
        <v/>
      </c>
      <c r="AU167" s="63" t="str">
        <f aca="false">IF(Tasks[[#This Row],[Task Name]]="","",IF(Tasks[[#This Row],[_IsSummary]],MAX(INDEX(Tasks[_LeafLateFinish],Tasks[[#This Row],[_Row]]+1):INDEX(Tasks[_LeafLateFinish],Tasks[[#This Row],[_Row]]+Tasks[[#This Row],[_Descendants]])),Tasks[[#This Row],[_LeafLateFinish]]))</f>
        <v/>
      </c>
      <c r="AV167" s="47" t="str">
        <f aca="false">IF(Tasks[[#This Row],[Task Name]]="","",IF(Tasks[[#This Row],[_IsSummary]],MIN(INDEX(Tasks[_LeafTotalSlack],Tasks[[#This Row],[_Row]]+1):INDEX(Tasks[_LeafTotalSlack],Tasks[[#This Row],[_Row]]+Tasks[[#This Row],[_Descendants]])),Tasks[[#This Row],[_LeafTotalSlack]]))</f>
        <v/>
      </c>
      <c r="AW1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5"/>
      <c r="BA16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1" t="str">
        <f aca="false">IF(Tasks[[#This Row],[Task Name]]="","",IF(Tasks[[#This Row],[_Level]]&lt;=OutlineShowLevel,"Yes","No"))</f>
        <v/>
      </c>
      <c r="BE167" s="86" t="str">
        <f aca="false">IF(Tasks[[#This Row],[Task Name]]="","",IF(Tasks[[#This Row],[_IsSummary]],SUM(INDEX(Tasks[_LeafTotalWork],Tasks[[#This Row],[_Row]]+1):INDEX(Tasks[_LeafTotalWork],Tasks[[#This Row],[_Row]]+Tasks[[#This Row],[_Descendants]])),Tasks[[#This Row],[_LeafTotalWork]]))</f>
        <v/>
      </c>
      <c r="BF167" s="23"/>
      <c r="BG1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7" s="21" t="str">
        <f aca="false">""</f>
        <v/>
      </c>
      <c r="BI167" s="87"/>
      <c r="BJ167" s="22"/>
      <c r="BK167" s="47" t="str">
        <f aca="false">IF(OR(Tasks[[#This Row],[Task Name]]="",Tasks[[#This Row],[Baseline Duration]]=""),"",Tasks[[#This Row],[_SpanDays]]-N(Tasks[[#This Row],[Baseline Duration]]))</f>
        <v/>
      </c>
      <c r="BL167" s="86" t="str">
        <f aca="false">IF(OR(Tasks[[#This Row],[Task Name]]="",Tasks[[#This Row],[Baseline Work]]=""),"",Tasks[[#This Row],[Work]]-N(Tasks[[#This Row],[Baseline Work]]))</f>
        <v/>
      </c>
      <c r="BM167" s="63" t="str">
        <f aca="false">IF(Tasks[[#This Row],[Task Name]]="","",IF(OR(TakeBaseline="Yes",N(Tasks[[#This Row],[Baseline Start]])=0),Tasks[[#This Row],[Start]],Tasks[[#This Row],[Baseline Start]]))</f>
        <v/>
      </c>
      <c r="BN167" s="63" t="str">
        <f aca="false">IF(Tasks[[#This Row],[Task Name]]="","",IF(OR(TakeBaseline="Yes",N(Tasks[[#This Row],[Baseline Finish]])=0),Tasks[[#This Row],[Finish]],Tasks[[#This Row],[Baseline Finish]]))</f>
        <v/>
      </c>
      <c r="BO167" s="21" t="str">
        <f aca="false">IF(Tasks[[#This Row],[Task Name]]="","",IF(OR(TakeBaseline="Yes",N(Tasks[[#This Row],[Baseline Duration]])=0),Tasks[[#This Row],[_SpanDays]],Tasks[[#This Row],[Baseline Duration]]))</f>
        <v/>
      </c>
      <c r="BP167" s="86" t="str">
        <f aca="false">IF(Tasks[[#This Row],[Task Name]]="","",IF(OR(TakeBaseline="Yes",N(Tasks[[#This Row],[Baseline Work]])=0),Tasks[[#This Row],[Work]],Tasks[[#This Row],[Baseline Work]]))</f>
        <v/>
      </c>
      <c r="BQ167" s="7"/>
      <c r="BR167" s="7"/>
      <c r="BS167" s="22"/>
      <c r="BT167" s="88"/>
      <c r="BU167" s="23"/>
      <c r="BV167" s="23"/>
      <c r="BW167" s="23"/>
      <c r="BX167" s="89" t="str">
        <f aca="false">IF(AND(Tasks[[#This Row],[_IsLeaf]]=1,ISNUMBER(Tasks[[#This Row],[Optimistic]]),ISNUMBER(Tasks[[#This Row],[Pessimistic]])),ROUND((Tasks[[#This Row],[Optimistic]]+4*N(Tasks[[#This Row],[_Days]])+Tasks[[#This Row],[Pessimistic]])/6,1),"")</f>
        <v/>
      </c>
      <c r="BY167" s="87"/>
      <c r="BZ167" s="87"/>
      <c r="CA167" s="22"/>
      <c r="CB167" s="43" t="str">
        <f aca="false">IF(Tasks[[#This Row],[Task Name]]="","",MAX(1,N(Tasks[[#This Row],[Level]])))</f>
        <v/>
      </c>
      <c r="CC167" s="43" t="n">
        <f aca="false">ROW()-ROW(Tasks[[#Headers],[ID]])</f>
        <v>162</v>
      </c>
      <c r="CD167" s="43" t="n">
        <f aca="false">IF(OR(Tasks[[#This Row],[Task Name]]="",Tasks[[#This Row],[_Level]]&lt;=1),0,IFERROR(LOOKUP(2,1/(Tasks[[#Headers],[_Level]]:Tasks[[#This Row],[_Level]]=Tasks[[#This Row],[_Level]]-1),ROW(Tasks[[#Headers],[_Level]]:Tasks[[#This Row],[_Level]])),0))</f>
        <v>0</v>
      </c>
      <c r="CE167" s="43" t="n">
        <f aca="false">IFERROR(N(INDEX(Tasks[_Level],Tasks[[#This Row],[_Row]]+1)),0)</f>
        <v>0</v>
      </c>
      <c r="CF167" s="90" t="b">
        <f aca="false">AND(Tasks[[#This Row],[Task Name]]&lt;&gt;"",Tasks[[#This Row],[_NextLevel]]&gt;Tasks[[#This Row],[_Level]])</f>
        <v>0</v>
      </c>
      <c r="CG167" s="43" t="n">
        <f aca="false">IF(Tasks[[#This Row],[_IsSummary]],COUNTIF(Tasks[WBS],Tasks[[#This Row],[WBS]]&amp;".*"),0)</f>
        <v>0</v>
      </c>
      <c r="CH167" s="43" t="n">
        <f aca="false">IF(AND(Tasks[[#This Row],[Task Name]]&lt;&gt;"",NOT(Tasks[[#This Row],[_IsSummary]])),1,0)</f>
        <v>0</v>
      </c>
      <c r="CI167" s="43" t="n">
        <f aca="false">IF(N(Tasks[[#This Row],[_Pred1UID]])=0,0,IFERROR(MATCH(Tasks[[#This Row],[_Pred1UID]],Tasks[UID],0),-1))</f>
        <v>0</v>
      </c>
      <c r="CJ167" s="43" t="n">
        <f aca="false">IF(N(Tasks[[#This Row],[_Pred2UID]])=0,0,IFERROR(MATCH(Tasks[[#This Row],[_Pred2UID]],Tasks[UID],0),-1))</f>
        <v>0</v>
      </c>
      <c r="CK167" s="43" t="n">
        <f aca="false">IF(N(Tasks[[#This Row],[_Pred3UID]])=0,0,IFERROR(MATCH(Tasks[[#This Row],[_Pred3UID]],Tasks[UID],0),-1))</f>
        <v>0</v>
      </c>
      <c r="CL167" s="43" t="n">
        <f aca="false">IF(N(Tasks[[#This Row],[_Pred4UID]])=0,0,IFERROR(MATCH(Tasks[[#This Row],[_Pred4UID]],Tasks[UID],0),-1))</f>
        <v>0</v>
      </c>
      <c r="CM16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7" s="91" t="n">
        <f aca="false">IF(OR(Tasks[[#This Row],[_ConstraintCode]]=2,Tasks[[#This Row],[_ConstraintCode]]=3,Tasks[[#This Row],[_ConstraintCode]]=4,Tasks[[#This Row],[_ConstraintCode]]=6),Tasks[[#This Row],[_ConstraintStart]],0)</f>
        <v>0</v>
      </c>
      <c r="CP167" s="91" t="n">
        <f aca="false">IF(OR(Tasks[[#This Row],[_ConstraintCode]]=2,Tasks[[#This Row],[_ConstraintCode]]=3,Tasks[[#This Row],[_ConstraintCode]]=5,Tasks[[#This Row],[_ConstraintCode]]=7),Tasks[[#This Row],[_ConstraintStart]],2958465)</f>
        <v>2958465</v>
      </c>
      <c r="CQ16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7" s="91" t="str">
        <f aca="false">IF(NOT(Tasks[[#This Row],[_IsLeaf]]=1),"",IF(N(Tasks[[#This Row],[_Days]])&lt;=0,Tasks[[#This Row],[_LeafCalcStart]],WORKDAY.INTL(Tasks[[#This Row],[_LeafCalcStart]],Tasks[[#This Row],[_Days]]-1,WorkWeek,Holidays)))</f>
        <v/>
      </c>
      <c r="CS16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7" s="43" t="str">
        <f aca="false">IF(Tasks[[#This Row],[_Predecessors]]="","",TRIM(MID(SUBSTITUTE(SUBSTITUTE(SUBSTITUTE(UPPER(Tasks[[#This Row],[_Predecessors]]),";",",")," ",""),",",REPT(" ",99)),1,99)))</f>
        <v/>
      </c>
      <c r="CV167" s="43" t="str">
        <f aca="false">IF(Tasks[[#This Row],[_Pred1Text]]="","",IFERROR(VALUE(LEFT(Tasks[[#This Row],[_Pred1Text]],MIN(FIND("F",Tasks[[#This Row],[_Pred1Text]]&amp;"F"),FIND("S",Tasks[[#This Row],[_Pred1Text]]&amp;"S"),FIND("+",Tasks[[#This Row],[_Pred1Text]]&amp;"+"),FIND("-",Tasks[[#This Row],[_Pred1Text]]&amp;"-"))-1)),""))</f>
        <v/>
      </c>
      <c r="CW16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7" s="43" t="str">
        <f aca="false">IF(Tasks[[#This Row],[_Pred1Text]]="","",TRIM(MID(SUBSTITUTE(SUBSTITUTE(SUBSTITUTE(UPPER(Tasks[[#This Row],[_Predecessors]]),";",",")," ",""),",",REPT(" ",99)),100,99)))</f>
        <v/>
      </c>
      <c r="CZ167" s="43" t="str">
        <f aca="false">IF(Tasks[[#This Row],[_Pred2Text]]="","",IFERROR(VALUE(LEFT(Tasks[[#This Row],[_Pred2Text]],MIN(FIND("F",Tasks[[#This Row],[_Pred2Text]]&amp;"F"),FIND("S",Tasks[[#This Row],[_Pred2Text]]&amp;"S"),FIND("+",Tasks[[#This Row],[_Pred2Text]]&amp;"+"),FIND("-",Tasks[[#This Row],[_Pred2Text]]&amp;"-"))-1)),""))</f>
        <v/>
      </c>
      <c r="DA16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7" s="43" t="str">
        <f aca="false">IF(Tasks[[#This Row],[_Pred2Text]]="","",TRIM(MID(SUBSTITUTE(SUBSTITUTE(SUBSTITUTE(UPPER(Tasks[[#This Row],[_Predecessors]]),";",",")," ",""),",",REPT(" ",99)),199,99)))</f>
        <v/>
      </c>
      <c r="DD167" s="43" t="str">
        <f aca="false">IF(Tasks[[#This Row],[_Pred3Text]]="","",IFERROR(VALUE(LEFT(Tasks[[#This Row],[_Pred3Text]],MIN(FIND("F",Tasks[[#This Row],[_Pred3Text]]&amp;"F"),FIND("S",Tasks[[#This Row],[_Pred3Text]]&amp;"S"),FIND("+",Tasks[[#This Row],[_Pred3Text]]&amp;"+"),FIND("-",Tasks[[#This Row],[_Pred3Text]]&amp;"-"))-1)),""))</f>
        <v/>
      </c>
      <c r="DE16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7" s="43" t="str">
        <f aca="false">IF(Tasks[[#This Row],[_Pred3Text]]="","",TRIM(MID(SUBSTITUTE(SUBSTITUTE(SUBSTITUTE(UPPER(Tasks[[#This Row],[_Predecessors]]),";",",")," ",""),",",REPT(" ",99)),298,99)))</f>
        <v/>
      </c>
      <c r="DH167" s="43" t="str">
        <f aca="false">IF(Tasks[[#This Row],[_Pred4Text]]="","",IFERROR(VALUE(LEFT(Tasks[[#This Row],[_Pred4Text]],MIN(FIND("F",Tasks[[#This Row],[_Pred4Text]]&amp;"F"),FIND("S",Tasks[[#This Row],[_Pred4Text]]&amp;"S"),FIND("+",Tasks[[#This Row],[_Pred4Text]]&amp;"+"),FIND("-",Tasks[[#This Row],[_Pred4Text]]&amp;"-"))-1)),""))</f>
        <v/>
      </c>
      <c r="DI16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7" s="43" t="str">
        <f aca="false">IF(OR(Tasks[[#This Row],[Task Name]]="",Tasks[[#This Row],[_Resources]]=""),"",TRIM(MID(SUBSTITUTE(Tasks[[#This Row],[_Resources]],",",REPT(" ",99)),1,99)))</f>
        <v/>
      </c>
      <c r="DL167" s="43" t="str">
        <f aca="false">IF(Tasks[[#This Row],[_Res1Text]]="","",TRIM(MID(SUBSTITUTE(Tasks[[#This Row],[_Resources]],",",REPT(" ",99)),100,99)))</f>
        <v/>
      </c>
      <c r="DM167" s="43" t="str">
        <f aca="false">IF(Tasks[[#This Row],[_Res2Text]]="","",TRIM(MID(SUBSTITUTE(Tasks[[#This Row],[_Resources]],",",REPT(" ",99)),199,99)))</f>
        <v/>
      </c>
      <c r="DN167" s="43" t="str">
        <f aca="false">IF(Tasks[[#This Row],[_Res3Text]]="","",TRIM(MID(SUBSTITUTE(Tasks[[#This Row],[_Resources]],",",REPT(" ",99)),298,99)))</f>
        <v/>
      </c>
      <c r="DO167" s="43" t="n">
        <f aca="false">IF(Tasks[[#This Row],[_Res1Text]]="",0,IFERROR(MATCH(TRIM(LEFT(Tasks[[#This Row],[_Res1Text]],FIND("[",Tasks[[#This Row],[_Res1Text]]&amp;"[")-1)),res_Name,0),IFERROR(MATCH(TRIM(LEFT(Tasks[[#This Row],[_Res1Text]],FIND("[",Tasks[[#This Row],[_Res1Text]]&amp;"[")-1)),res_Initials,0),0)))</f>
        <v>0</v>
      </c>
      <c r="DP167" s="43" t="n">
        <f aca="false">IF(Tasks[[#This Row],[_Res2Text]]="",0,IFERROR(MATCH(TRIM(LEFT(Tasks[[#This Row],[_Res2Text]],FIND("[",Tasks[[#This Row],[_Res2Text]]&amp;"[")-1)),res_Name,0),IFERROR(MATCH(TRIM(LEFT(Tasks[[#This Row],[_Res2Text]],FIND("[",Tasks[[#This Row],[_Res2Text]]&amp;"[")-1)),res_Initials,0),0)))</f>
        <v>0</v>
      </c>
      <c r="DQ167" s="43" t="n">
        <f aca="false">IF(Tasks[[#This Row],[_Res3Text]]="",0,IFERROR(MATCH(TRIM(LEFT(Tasks[[#This Row],[_Res3Text]],FIND("[",Tasks[[#This Row],[_Res3Text]]&amp;"[")-1)),res_Name,0),IFERROR(MATCH(TRIM(LEFT(Tasks[[#This Row],[_Res3Text]],FIND("[",Tasks[[#This Row],[_Res3Text]]&amp;"[")-1)),res_Initials,0),0)))</f>
        <v>0</v>
      </c>
      <c r="DR167" s="43" t="n">
        <f aca="false">IF(Tasks[[#This Row],[_Res4Text]]="",0,IFERROR(MATCH(TRIM(LEFT(Tasks[[#This Row],[_Res4Text]],FIND("[",Tasks[[#This Row],[_Res4Text]]&amp;"[")-1)),res_Name,0),IFERROR(MATCH(TRIM(LEFT(Tasks[[#This Row],[_Res4Text]],FIND("[",Tasks[[#This Row],[_Res4Text]]&amp;"[")-1)),res_Initials,0),0)))</f>
        <v>0</v>
      </c>
      <c r="DS167" s="43" t="str">
        <f aca="false">IF(Tasks[[#This Row],[_Res1Text]]="","",IF(Tasks[[#This Row],[_Res1Row]]&gt;0,INDEX(res_Name,Tasks[[#This Row],[_Res1Row]]),TRIM(LEFT(Tasks[[#This Row],[_Res1Text]],FIND("[",Tasks[[#This Row],[_Res1Text]]&amp;"[")-1))))</f>
        <v/>
      </c>
      <c r="DT16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7" s="43" t="n">
        <f aca="false">IF(NOT(Tasks[[#This Row],[_IsLeaf]]=1),0,(Tasks[[#This Row],[_Resource1]]&lt;&gt;"")+(Tasks[[#This Row],[_Res2]]&lt;&gt;"")+(Tasks[[#This Row],[_Res3]]&lt;&gt;"")+(Tasks[[#This Row],[_Res4]]&lt;&gt;""))</f>
        <v>0</v>
      </c>
      <c r="DV167" s="43" t="str">
        <f aca="false">IF(Tasks[[#This Row],[_Res2Text]]="","",IF(Tasks[[#This Row],[_Res2Row]]&gt;0,INDEX(res_Name,Tasks[[#This Row],[_Res2Row]]),TRIM(LEFT(Tasks[[#This Row],[_Res2Text]],FIND("[",Tasks[[#This Row],[_Res2Text]]&amp;"[")-1))))</f>
        <v/>
      </c>
      <c r="DW16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7" s="43" t="n">
        <f aca="false">IF(OR(NOT(Tasks[[#This Row],[_IsLeaf]]=1),Tasks[[#This Row],[_Res2Row]]=0),0,N(Tasks[[#This Row],[_Days]])*HoursPerDay*IF(Tasks[[#This Row],[_Res2Units]]="",DefaultUnits,Tasks[[#This Row],[_Res2Units]]))</f>
        <v>0</v>
      </c>
      <c r="DY167" s="43" t="n">
        <f aca="false">IF(AND(AND(Tasks[[#This Row],[_IsLeaf]]=1,Tasks[[#This Row],[_LeafTotalWork]]&gt;0),Tasks[[#This Row],[_Res2Work]]&gt;0),Tasks[[#This Row],[_Res2Work]]/(Tasks[[#This Row],[_FinishWorkday]]-Tasks[[#This Row],[_StartWorkday]]+1),0)</f>
        <v>0</v>
      </c>
      <c r="DZ167" s="43" t="n">
        <f aca="false">Tasks[[#This Row],[_Res2WorkPerWD]]*MAX(0,Tasks[[#This Row],[_StartWorkday]]-1)</f>
        <v>0</v>
      </c>
      <c r="EA167" s="43" t="n">
        <f aca="false">Tasks[[#This Row],[_Res2Work]]*Tasks[[#This Row],[_LeafProgress]]</f>
        <v>0</v>
      </c>
      <c r="EB167" s="43" t="str">
        <f aca="false">IF(Tasks[[#This Row],[_Res3Text]]="","",IF(Tasks[[#This Row],[_Res3Row]]&gt;0,INDEX(res_Name,Tasks[[#This Row],[_Res3Row]]),TRIM(LEFT(Tasks[[#This Row],[_Res3Text]],FIND("[",Tasks[[#This Row],[_Res3Text]]&amp;"[")-1))))</f>
        <v/>
      </c>
      <c r="EC16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7" s="43" t="n">
        <f aca="false">IF(OR(NOT(Tasks[[#This Row],[_IsLeaf]]=1),Tasks[[#This Row],[_Res3Row]]=0),0,N(Tasks[[#This Row],[_Days]])*HoursPerDay*IF(Tasks[[#This Row],[_Res3Units]]="",DefaultUnits,Tasks[[#This Row],[_Res3Units]]))</f>
        <v>0</v>
      </c>
      <c r="EE167" s="43" t="n">
        <f aca="false">IF(AND(AND(Tasks[[#This Row],[_IsLeaf]]=1,Tasks[[#This Row],[_LeafTotalWork]]&gt;0),Tasks[[#This Row],[_Res3Work]]&gt;0),Tasks[[#This Row],[_Res3Work]]/(Tasks[[#This Row],[_FinishWorkday]]-Tasks[[#This Row],[_StartWorkday]]+1),0)</f>
        <v>0</v>
      </c>
      <c r="EF167" s="43" t="n">
        <f aca="false">Tasks[[#This Row],[_Res3WorkPerWD]]*MAX(0,Tasks[[#This Row],[_StartWorkday]]-1)</f>
        <v>0</v>
      </c>
      <c r="EG167" s="43" t="n">
        <f aca="false">Tasks[[#This Row],[_Res3Work]]*Tasks[[#This Row],[_LeafProgress]]</f>
        <v>0</v>
      </c>
      <c r="EH167" s="43" t="str">
        <f aca="false">IF(Tasks[[#This Row],[_Res4Text]]="","",IF(Tasks[[#This Row],[_Res4Row]]&gt;0,INDEX(res_Name,Tasks[[#This Row],[_Res4Row]]),TRIM(LEFT(Tasks[[#This Row],[_Res4Text]],FIND("[",Tasks[[#This Row],[_Res4Text]]&amp;"[")-1))))</f>
        <v/>
      </c>
      <c r="EI16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7" s="43" t="n">
        <f aca="false">IF(OR(NOT(Tasks[[#This Row],[_IsLeaf]]=1),Tasks[[#This Row],[_Res4Row]]=0),0,N(Tasks[[#This Row],[_Days]])*HoursPerDay*IF(Tasks[[#This Row],[_Res4Units]]="",DefaultUnits,Tasks[[#This Row],[_Res4Units]]))</f>
        <v>0</v>
      </c>
      <c r="EK167" s="43" t="n">
        <f aca="false">IF(AND(AND(Tasks[[#This Row],[_IsLeaf]]=1,Tasks[[#This Row],[_LeafTotalWork]]&gt;0),Tasks[[#This Row],[_Res4Work]]&gt;0),Tasks[[#This Row],[_Res4Work]]/(Tasks[[#This Row],[_FinishWorkday]]-Tasks[[#This Row],[_StartWorkday]]+1),0)</f>
        <v>0</v>
      </c>
      <c r="EL167" s="43" t="n">
        <f aca="false">Tasks[[#This Row],[_Res4WorkPerWD]]*MAX(0,Tasks[[#This Row],[_StartWorkday]]-1)</f>
        <v>0</v>
      </c>
      <c r="EM167" s="43" t="n">
        <f aca="false">Tasks[[#This Row],[_Res4Work]]*Tasks[[#This Row],[_LeafProgress]]</f>
        <v>0</v>
      </c>
      <c r="EN167" s="43" t="n">
        <f aca="false">IF(ISNUMBER(Tasks[[#This Row],[% Complete]]),Tasks[[#This Row],[% Complete]],IF(Tasks[[#This Row],[Stage]]="",0,IFERROR(INDEX(stg_Pct,MATCH(Tasks[[#This Row],[Stage]],stg_Name,0)),0)))</f>
        <v>0</v>
      </c>
      <c r="EO167" s="43" t="n">
        <f aca="false">IF(NOT(Tasks[[#This Row],[_IsLeaf]]=1),0,IF(N(Tasks[[#This Row],[Actual Finish]])&gt;0,1,MIN(1,Tasks[[#This Row],[_Pct]])))</f>
        <v>0</v>
      </c>
      <c r="EP167" s="43" t="n">
        <f aca="false">IF(OR(NOT(Tasks[[#This Row],[_IsLeaf]]=1),Tasks[[#This Row],[_Res1Row]]=0),0,N(Tasks[[#This Row],[_Days]])*HoursPerDay*IF(Tasks[[#This Row],[_Units1]]="",DefaultUnits,Tasks[[#This Row],[_Units1]]))</f>
        <v>0</v>
      </c>
      <c r="EQ167" s="43" t="n">
        <f aca="false">Tasks[[#This Row],[_LeafWork]]+Tasks[[#This Row],[_Res2Work]]+Tasks[[#This Row],[_Res3Work]]+Tasks[[#This Row],[_Res4Work]]</f>
        <v>0</v>
      </c>
      <c r="ER16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7" s="43" t="n">
        <f aca="false">IF(NOT(Tasks[[#This Row],[_IsLeaf]]=1),0,MAX(_xlfn.MAXIFS(Tasks[_Row],Tasks[_Pred1UID],Tasks[[#This Row],[UID]]),_xlfn.MAXIFS(Tasks[_Row],Tasks[_Pred2UID],Tasks[[#This Row],[UID]]),_xlfn.MAXIFS(Tasks[_Row],Tasks[_Pred3UID],Tasks[[#This Row],[UID]]),_xlfn.MAXIFS(Tasks[_Row],Tasks[_Pred4UID],Tasks[[#This Row],[UID]])))</f>
        <v>0</v>
      </c>
      <c r="FA16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7" s="91" t="str">
        <f aca="false">IF(NOT(Tasks[[#This Row],[_IsLeaf]]=1),"",IF(N(Tasks[[#This Row],[_Days]])&lt;=0,Tasks[[#This Row],[_LeafLateFinish]],WORKDAY.INTL(Tasks[[#This Row],[_LeafLateFinish]],-(Tasks[[#This Row],[_Days]]-1),WorkWeek,Holidays)))</f>
        <v/>
      </c>
      <c r="FD16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7" s="90" t="b">
        <f aca="false">AND(Tasks[[#This Row],[_IsLeaf]]=1,Tasks[[#This Row],[_LeafProgress]]&lt;1,N(Tasks[[#This Row],[_LeafTotalSlack]])&lt;=CriticalSlackDays)</f>
        <v>0</v>
      </c>
      <c r="FF167" s="43" t="n">
        <f aca="false">IF(AND(Tasks[[#This Row],[_IsLeaf]]=1,Tasks[[#This Row],[_ConstraintCode]]=1,Tasks[[#This Row],[Mode]]&lt;&gt;"Manual",N(Tasks[[#This Row],[Actual Start]])=0),MAX(0,N(Tasks[[#This Row],[Free Slack]])),0)</f>
        <v>0</v>
      </c>
      <c r="FG167" s="91" t="str">
        <f aca="false">IF(NOT(Tasks[[#This Row],[_IsLeaf]]=1),"",IF(Tasks[[#This Row],[_AlapShift]]=0,Tasks[[#This Row],[_LeafCalcStart]],WORKDAY.INTL(Tasks[[#This Row],[_LeafCalcStart]],Tasks[[#This Row],[_AlapShift]],WorkWeek,Holidays)))</f>
        <v/>
      </c>
      <c r="FH167" s="91" t="str">
        <f aca="false">IF(NOT(Tasks[[#This Row],[_IsLeaf]]=1),"",IF(Tasks[[#This Row],[_AlapShift]]=0,Tasks[[#This Row],[_LeafCalcFinish]],WORKDAY.INTL(Tasks[[#This Row],[_LeafCalcFinish]],Tasks[[#This Row],[_AlapShift]],WorkWeek,Holidays)))</f>
        <v/>
      </c>
      <c r="FI167" s="91" t="str">
        <f aca="false">IF(NOT(Tasks[[#This Row],[_IsLeaf]]=1),"",IF(Tasks[[#This Row],[_AlapShift]]=0,Tasks[[#This Row],[_LeafFcstStart]],WORKDAY.INTL(Tasks[[#This Row],[_LeafFcstStart]],Tasks[[#This Row],[_AlapShift]],WorkWeek,Holidays)))</f>
        <v/>
      </c>
      <c r="FJ167" s="91" t="str">
        <f aca="false">IF(NOT(Tasks[[#This Row],[_IsLeaf]]=1),"",IF(Tasks[[#This Row],[_AlapShift]]=0,Tasks[[#This Row],[_LeafFcstFinish]],WORKDAY.INTL(Tasks[[#This Row],[_LeafFcstFinish]],Tasks[[#This Row],[_AlapShift]],WorkWeek,Holidays)))</f>
        <v/>
      </c>
      <c r="FK167" s="91" t="str">
        <f aca="false">IF(Tasks[[#This Row],[Task Name]]="","",IF(Tasks[[#This Row],[_IsSummary]],MIN(INDEX(Tasks[_ShownCalcStart],Tasks[[#This Row],[_Row]]+1):INDEX(Tasks[_ShownCalcStart],Tasks[[#This Row],[_Row]]+Tasks[[#This Row],[_Descendants]])),Tasks[[#This Row],[_ShownCalcStart]]))</f>
        <v/>
      </c>
      <c r="FL167" s="91" t="str">
        <f aca="false">IF(Tasks[[#This Row],[Task Name]]="","",IF(Tasks[[#This Row],[_IsSummary]],MAX(INDEX(Tasks[_ShownCalcFinish],Tasks[[#This Row],[_Row]]+1):INDEX(Tasks[_ShownCalcFinish],Tasks[[#This Row],[_Row]]+Tasks[[#This Row],[_Descendants]])),Tasks[[#This Row],[_ShownCalcFinish]]))</f>
        <v/>
      </c>
      <c r="FM16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7" s="43" t="n">
        <f aca="false">IF(AND(Tasks[[#This Row],[_IsLeaf]]=1,Tasks[[#This Row],[_LeafTotalWork]]&gt;0),NETWORKDAYS.INTL(ProjectStart,Tasks[[#This Row],[_ShownFcstStart]],WorkWeek,Holidays),0)</f>
        <v>0</v>
      </c>
      <c r="FZ167" s="43" t="n">
        <f aca="false">IF(AND(Tasks[[#This Row],[_IsLeaf]]=1,Tasks[[#This Row],[_LeafTotalWork]]&gt;0),MAX(Tasks[[#This Row],[_StartWorkday]],NETWORKDAYS.INTL(ProjectStart,Tasks[[#This Row],[_ShownFcstFinish]],WorkWeek,Holidays)),0)</f>
        <v>0</v>
      </c>
      <c r="GA167" s="43" t="n">
        <f aca="false">IF(AND(Tasks[[#This Row],[_IsLeaf]]=1,Tasks[[#This Row],[_LeafTotalWork]]&gt;0),Tasks[[#This Row],[_LeafWork]]/(Tasks[[#This Row],[_FinishWorkday]]-Tasks[[#This Row],[_StartWorkday]]+1),0)</f>
        <v>0</v>
      </c>
      <c r="GB167" s="43" t="n">
        <f aca="false">Tasks[[#This Row],[_WorkPerWorkday]]*(Tasks[[#This Row],[_StartWorkday]]-1)</f>
        <v>-0</v>
      </c>
      <c r="GC167" s="43" t="n">
        <f aca="false">IF(Tasks[[#This Row],[_IsLeaf]]=1,MAX(N(Tasks[[#This Row],[_Days]]),0.1),0)</f>
        <v>0</v>
      </c>
      <c r="GD167" s="43" t="n">
        <f aca="false">Tasks[[#This Row],[_WeightDur]]*Tasks[[#This Row],[_LeafProgress]]</f>
        <v>0</v>
      </c>
      <c r="GE167" s="43" t="n">
        <f aca="false">Tasks[[#This Row],[_WeightDur]]*Tasks[[#This Row],[_PlannedPct]]</f>
        <v>0</v>
      </c>
      <c r="GF16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7" s="43" t="str">
        <f aca="false">IF(AND(Tasks[[#This Row],[_IsLeaf]]=1,N(Tasks[[#This Row],[_Days]])=0,Tasks[[#This Row],[_LeafProgress]]&lt;1),Tasks[[#This Row],[_ShownFcstFinish]]+Tasks[[#This Row],[_Row]]/100000,"")</f>
        <v/>
      </c>
      <c r="GH16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7" s="43" t="str">
        <f aca="false">IF(Tasks[[#This Row],[Task Name]]="","",LEFT(Tasks[[#This Row],[WBS]],FIND(".",Tasks[[#This Row],[WBS]]&amp;".")-1))</f>
        <v/>
      </c>
      <c r="GJ167" s="43" t="str">
        <f aca="false">IF(AND(Tasks[[#This Row],[Task Name]]&lt;&gt;"",Tasks[[#This Row],[_Level]]=1),Tasks[[#This Row],[_Row]],"")</f>
        <v/>
      </c>
      <c r="GK167" s="43" t="str">
        <f aca="false">IF(AND(Tasks[[#This Row],[_IsLeaf]]=1,N(Tasks[[#This Row],[_Days]])=0),Tasks[[#This Row],[Planned Finish]]+Tasks[[#This Row],[_Row]]/100000,"")</f>
        <v/>
      </c>
      <c r="GL167" s="43" t="str">
        <f aca="false">IF(AND(Tasks[[#This Row],[_IsLeaf]]=1,Tasks[[#This Row],[_LeafProgress]]&lt;1,OR(N(Tasks[[#This Row],[Finish Var]])&gt;0,Tasks[[#This Row],[Status]]="Late Start")),MAX(0,Tasks[[#This Row],[Finish Var]])+1-Tasks[[#This Row],[_Row]]/1000000,"")</f>
        <v/>
      </c>
      <c r="GM167" s="43" t="str">
        <f aca="false">IF(AND(Tasks[[#This Row],[_IsLeaf]]=1,N(Tasks[[#This Row],[Actual Start]])=0,Tasks[[#This Row],[_ShownFcstStart]]&gt;=StatusDate,Tasks[[#This Row],[_ShownFcstStart]]&lt;=LookaheadEnd),Tasks[[#This Row],[_ShownFcstStart]]+Tasks[[#This Row],[_Row]]/100000,"")</f>
        <v/>
      </c>
      <c r="GN167" s="43" t="str">
        <f aca="false">IF(AND(Tasks[[#This Row],[_IsLeaf]]=1,Tasks[[#This Row],[_LeafProgress]]&lt;1,Tasks[[#This Row],[_ShownFcstFinish]]&gt;=StatusDate,Tasks[[#This Row],[_ShownFcstFinish]]&lt;=LookaheadEnd),Tasks[[#This Row],[_ShownFcstFinish]]+Tasks[[#This Row],[_Row]]/100000,"")</f>
        <v/>
      </c>
      <c r="GO167" s="43" t="str">
        <f aca="false">IF(Tasks[[#This Row],[_LeafCritical]],Tasks[[#This Row],[_ShownFcstStart]]+Tasks[[#This Row],[_Row]]/100000,"")</f>
        <v/>
      </c>
      <c r="GP167" s="43" t="n">
        <f aca="false">Tasks[[#This Row],[_LeafWork]]*Tasks[[#This Row],[_LeafProgress]]</f>
        <v>0</v>
      </c>
      <c r="GQ167" s="91" t="str">
        <f aca="false">IF(AND(Tasks[[#This Row],[_IsLeaf]]=1,Tasks[[#This Row],[_LeafProgress]]&gt;=1),IF(N(Tasks[[#This Row],[Actual Finish]])&gt;0,Tasks[[#This Row],[Actual Finish]],Tasks[[#This Row],[_ShownFcstFinish]]),"")</f>
        <v/>
      </c>
      <c r="GR167" s="43" t="n">
        <f aca="false">IF(Tasks[[#This Row],[_IsLeaf]]=1,N(Tasks[[#This Row],[Story Points]]),0)</f>
        <v>0</v>
      </c>
      <c r="GS167" s="43" t="str">
        <f aca="false">""</f>
        <v/>
      </c>
      <c r="GT167" s="90" t="b">
        <f aca="false">IF(Tasks[[#This Row],[Task Name]]="",FALSE(),AND(Tasks[[#This Row],[_IsLeaf]]=1,N(Tasks[[#This Row],[_Days]])=0))</f>
        <v>0</v>
      </c>
      <c r="GU167" s="91" t="n">
        <f aca="false">IF(Tasks[[#This Row],[Task Name]]="",0,IF(AND(Tasks[[#This Row],[_IsLeaf]]=1,NOT(Tasks[[#This Row],[_IsMilestone]]),N(Tasks[[#This Row],[Progress]])&gt;0),Tasks[[#This Row],[Start]],0))</f>
        <v>0</v>
      </c>
      <c r="GV167" s="91" t="n">
        <f aca="false">IF(Tasks[[#This Row],[_DoneFrom]]=0,0,IF(Tasks[[#This Row],[Progress]]&gt;=1,Tasks[[#This Row],[Finish]],MAX(Tasks[[#This Row],[_DoneFrom]],Tasks[[#This Row],[Start]]+ROUND((Tasks[[#This Row],[Finish]]-Tasks[[#This Row],[Start]]+1)*Tasks[[#This Row],[Progress]],0)-1)))</f>
        <v>0</v>
      </c>
      <c r="GW167" s="91" t="n">
        <f aca="false">IF(Tasks[[#This Row],[Task Name]]="",0,IF(OR(NOT(Tasks[[#This Row],[_IsLeaf]]=1),Tasks[[#This Row],[_IsMilestone]],N(Tasks[[#This Row],[Progress]])&gt;=1),0,IF(Tasks[[#This Row],[_DoneTo]]&gt;0,Tasks[[#This Row],[_DoneTo]]+1,Tasks[[#This Row],[Start]])))</f>
        <v>0</v>
      </c>
      <c r="GX167" s="91" t="n">
        <f aca="false">IF(Tasks[[#This Row],[_RemFrom]]=0,0,Tasks[[#This Row],[Finish]])</f>
        <v>0</v>
      </c>
      <c r="GY167" s="90" t="b">
        <f aca="false">IF(Tasks[[#This Row],[Task Name]]="",FALSE(),OR(NOT(BaselineSet),N(Tasks[[#This Row],[Baseline Start]])&gt;0))</f>
        <v>0</v>
      </c>
      <c r="GZ16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7" s="92" t="str">
        <f aca="false">IF(Tasks[[#This Row],[_IsLeaf]]=1,Tasks[[#This Row],[_Row]],"")</f>
        <v/>
      </c>
      <c r="HD167" s="92" t="str">
        <f aca="false">IFERROR(INDEX(Tasks[UID],SMALL(Tasks[_PickKey],Tasks[[#This Row],[_Row]]))&amp;" "&amp;INDEX(Tasks[Task Name],SMALL(Tasks[_PickKey],Tasks[[#This Row],[_Row]])),"")</f>
        <v/>
      </c>
      <c r="HE167" s="43" t="str">
        <f aca="false">IF(Tasks[[#This Row],[Task Name]]="","",IF(Tasks[[#This Row],[_IsSummary]],NETWORKDAYS.INTL(Tasks[[#This Row],[Start]],Tasks[[#This Row],[Finish]],WorkWeek,Holidays),N(Tasks[[#This Row],[_Days]])))</f>
        <v/>
      </c>
      <c r="HF167" s="43" t="n">
        <f aca="false">IF(Tasks[[#This Row],[Expected]]="",0,((Tasks[[#This Row],[Pessimistic]]-Tasks[[#This Row],[Optimistic]])/6)^2)</f>
        <v>0</v>
      </c>
      <c r="HG167" s="43" t="n">
        <f aca="false">IF(Tasks[[#This Row],[Expected]]="",0,Tasks[[#This Row],[Expected]]-N(Tasks[[#This Row],[_Days]]))</f>
        <v>0</v>
      </c>
    </row>
    <row r="168" customFormat="false" ht="15" hidden="false" customHeight="false" outlineLevel="0" collapsed="false">
      <c r="A168" s="21" t="str">
        <f aca="false">IF(Tasks[[#This Row],[Task Name]]="","",COUNTA(Tasks[[#Headers],[Task Name]]:Tasks[[#This Row],[Task Name]])-1)</f>
        <v/>
      </c>
      <c r="B168" s="22" t="n">
        <v>176</v>
      </c>
      <c r="C168" s="22"/>
      <c r="D168" s="23"/>
      <c r="E168" s="22"/>
      <c r="F168" s="23"/>
      <c r="G168" s="22"/>
      <c r="H168" s="22"/>
      <c r="I168" s="23"/>
      <c r="J168" s="22"/>
      <c r="K168" s="22"/>
      <c r="L168" s="23"/>
      <c r="M168" s="22"/>
      <c r="N168" s="22"/>
      <c r="O168" s="23"/>
      <c r="P168" s="22"/>
      <c r="Q168" s="22"/>
      <c r="R168" s="23"/>
      <c r="S168" s="23"/>
      <c r="T168" s="84"/>
      <c r="U168" s="23"/>
      <c r="V168" s="84"/>
      <c r="W168" s="23"/>
      <c r="X168" s="84"/>
      <c r="Y168" s="23"/>
      <c r="Z168" s="84"/>
      <c r="AA168" s="23"/>
      <c r="AB168" s="23"/>
      <c r="AC168" s="7"/>
      <c r="AD168" s="7"/>
      <c r="AE168" s="63" t="str">
        <f aca="false">IF(Tasks[[#This Row],[Task Name]]="","",IF(Tasks[[#This Row],[_IsSummary]],MIN(INDEX(Tasks[_ShownFcstStart],Tasks[[#This Row],[_Row]]+1):INDEX(Tasks[_ShownFcstStart],Tasks[[#This Row],[_Row]]+Tasks[[#This Row],[_Descendants]])),Tasks[[#This Row],[_ShownFcstStart]]))</f>
        <v/>
      </c>
      <c r="AF168" s="63" t="str">
        <f aca="false">IF(Tasks[[#This Row],[Task Name]]="","",IF(Tasks[[#This Row],[_IsSummary]],MAX(INDEX(Tasks[_ShownFcstFinish],Tasks[[#This Row],[_Row]]+1):INDEX(Tasks[_ShownFcstFinish],Tasks[[#This Row],[_Row]]+Tasks[[#This Row],[_Descendants]])),Tasks[[#This Row],[_ShownFcstFinish]]))</f>
        <v/>
      </c>
      <c r="AG168" s="21" t="str">
        <f aca="false">""</f>
        <v/>
      </c>
      <c r="AH168" s="23"/>
      <c r="AI1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8" s="7"/>
      <c r="AK168" s="22"/>
      <c r="AL168" s="23"/>
      <c r="AM168" s="7"/>
      <c r="AN168" s="47" t="str">
        <f aca="false">IF(Tasks[[#This Row],[Task Name]]="","",IF(Tasks[[#This Row],[Finish]]&gt;=Tasks[[#This Row],[Planned Finish]],NETWORKDAYS.INTL(Tasks[[#This Row],[Planned Finish]],Tasks[[#This Row],[Finish]],WorkWeek,Holidays)-1,1-NETWORKDAYS.INTL(Tasks[[#This Row],[Finish]],Tasks[[#This Row],[Planned Finish]],WorkWeek,Holidays)))</f>
        <v/>
      </c>
      <c r="AO168" s="21" t="str">
        <f aca="false">IF(Tasks[[#This Row],[Task Name]]="","",IF(Tasks[[#This Row],[Progress]]&gt;=1,"Complete",IF(OR(N(Tasks[[#This Row],[Actual Start]])&gt;0,Tasks[[#This Row],[Progress]]&gt;0),IF(Tasks[[#This Row],[Finish Var]]&gt;0,"Behind","In Progress"),IF(Tasks[[#This Row],[Planned Start]]&lt;StatusDate,"Late Start","Not Started"))))</f>
        <v/>
      </c>
      <c r="AP168" s="21" t="str">
        <f aca="false">IF(Tasks[[#This Row],[Task Name]]="","",IF(IF(Tasks[[#This Row],[_IsSummary]],COUNTIF(INDEX(Tasks[_LeafCritical],Tasks[[#This Row],[_Row]]+1):INDEX(Tasks[_LeafCritical],Tasks[[#This Row],[_Row]]+Tasks[[#This Row],[_Descendants]]),TRUE())&gt;0,Tasks[[#This Row],[_LeafCritical]]),"Yes",""))</f>
        <v/>
      </c>
      <c r="AQ168" s="63" t="str">
        <f aca="false">IF(Tasks[[#This Row],[Task Name]]="","",IF(N(Tasks[[#This Row],[Baseline Start]])&gt;0,Tasks[[#This Row],[Baseline Start]],Tasks[[#This Row],[_CalcStart]]))</f>
        <v/>
      </c>
      <c r="AR168" s="63" t="str">
        <f aca="false">IF(Tasks[[#This Row],[Task Name]]="","",IF(N(Tasks[[#This Row],[Baseline Finish]])&gt;0,Tasks[[#This Row],[Baseline Finish]],Tasks[[#This Row],[_CalcFinish]]))</f>
        <v/>
      </c>
      <c r="AS168" s="47" t="str">
        <f aca="false">IF(Tasks[[#This Row],[Task Name]]="","",IF(Tasks[[#This Row],[Start]]&gt;=Tasks[[#This Row],[Planned Start]],NETWORKDAYS.INTL(Tasks[[#This Row],[Planned Start]],Tasks[[#This Row],[Start]],WorkWeek,Holidays)-1,1-NETWORKDAYS.INTL(Tasks[[#This Row],[Start]],Tasks[[#This Row],[Planned Start]],WorkWeek,Holidays)))</f>
        <v/>
      </c>
      <c r="AT168" s="63" t="str">
        <f aca="false">IF(Tasks[[#This Row],[Task Name]]="","",IF(Tasks[[#This Row],[_IsSummary]],MIN(INDEX(Tasks[_LeafLateStart],Tasks[[#This Row],[_Row]]+1):INDEX(Tasks[_LeafLateStart],Tasks[[#This Row],[_Row]]+Tasks[[#This Row],[_Descendants]])),Tasks[[#This Row],[_LeafLateStart]]))</f>
        <v/>
      </c>
      <c r="AU168" s="63" t="str">
        <f aca="false">IF(Tasks[[#This Row],[Task Name]]="","",IF(Tasks[[#This Row],[_IsSummary]],MAX(INDEX(Tasks[_LeafLateFinish],Tasks[[#This Row],[_Row]]+1):INDEX(Tasks[_LeafLateFinish],Tasks[[#This Row],[_Row]]+Tasks[[#This Row],[_Descendants]])),Tasks[[#This Row],[_LeafLateFinish]]))</f>
        <v/>
      </c>
      <c r="AV168" s="47" t="str">
        <f aca="false">IF(Tasks[[#This Row],[Task Name]]="","",IF(Tasks[[#This Row],[_IsSummary]],MIN(INDEX(Tasks[_LeafTotalSlack],Tasks[[#This Row],[_Row]]+1):INDEX(Tasks[_LeafTotalSlack],Tasks[[#This Row],[_Row]]+Tasks[[#This Row],[_Descendants]])),Tasks[[#This Row],[_LeafTotalSlack]]))</f>
        <v/>
      </c>
      <c r="AW1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5"/>
      <c r="BA16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1" t="str">
        <f aca="false">IF(Tasks[[#This Row],[Task Name]]="","",IF(Tasks[[#This Row],[_Level]]&lt;=OutlineShowLevel,"Yes","No"))</f>
        <v/>
      </c>
      <c r="BE168" s="86" t="str">
        <f aca="false">IF(Tasks[[#This Row],[Task Name]]="","",IF(Tasks[[#This Row],[_IsSummary]],SUM(INDEX(Tasks[_LeafTotalWork],Tasks[[#This Row],[_Row]]+1):INDEX(Tasks[_LeafTotalWork],Tasks[[#This Row],[_Row]]+Tasks[[#This Row],[_Descendants]])),Tasks[[#This Row],[_LeafTotalWork]]))</f>
        <v/>
      </c>
      <c r="BF168" s="23"/>
      <c r="BG1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8" s="21" t="str">
        <f aca="false">""</f>
        <v/>
      </c>
      <c r="BI168" s="87"/>
      <c r="BJ168" s="22"/>
      <c r="BK168" s="47" t="str">
        <f aca="false">IF(OR(Tasks[[#This Row],[Task Name]]="",Tasks[[#This Row],[Baseline Duration]]=""),"",Tasks[[#This Row],[_SpanDays]]-N(Tasks[[#This Row],[Baseline Duration]]))</f>
        <v/>
      </c>
      <c r="BL168" s="86" t="str">
        <f aca="false">IF(OR(Tasks[[#This Row],[Task Name]]="",Tasks[[#This Row],[Baseline Work]]=""),"",Tasks[[#This Row],[Work]]-N(Tasks[[#This Row],[Baseline Work]]))</f>
        <v/>
      </c>
      <c r="BM168" s="63" t="str">
        <f aca="false">IF(Tasks[[#This Row],[Task Name]]="","",IF(OR(TakeBaseline="Yes",N(Tasks[[#This Row],[Baseline Start]])=0),Tasks[[#This Row],[Start]],Tasks[[#This Row],[Baseline Start]]))</f>
        <v/>
      </c>
      <c r="BN168" s="63" t="str">
        <f aca="false">IF(Tasks[[#This Row],[Task Name]]="","",IF(OR(TakeBaseline="Yes",N(Tasks[[#This Row],[Baseline Finish]])=0),Tasks[[#This Row],[Finish]],Tasks[[#This Row],[Baseline Finish]]))</f>
        <v/>
      </c>
      <c r="BO168" s="21" t="str">
        <f aca="false">IF(Tasks[[#This Row],[Task Name]]="","",IF(OR(TakeBaseline="Yes",N(Tasks[[#This Row],[Baseline Duration]])=0),Tasks[[#This Row],[_SpanDays]],Tasks[[#This Row],[Baseline Duration]]))</f>
        <v/>
      </c>
      <c r="BP168" s="86" t="str">
        <f aca="false">IF(Tasks[[#This Row],[Task Name]]="","",IF(OR(TakeBaseline="Yes",N(Tasks[[#This Row],[Baseline Work]])=0),Tasks[[#This Row],[Work]],Tasks[[#This Row],[Baseline Work]]))</f>
        <v/>
      </c>
      <c r="BQ168" s="7"/>
      <c r="BR168" s="7"/>
      <c r="BS168" s="22"/>
      <c r="BT168" s="88"/>
      <c r="BU168" s="23"/>
      <c r="BV168" s="23"/>
      <c r="BW168" s="23"/>
      <c r="BX168" s="89" t="str">
        <f aca="false">IF(AND(Tasks[[#This Row],[_IsLeaf]]=1,ISNUMBER(Tasks[[#This Row],[Optimistic]]),ISNUMBER(Tasks[[#This Row],[Pessimistic]])),ROUND((Tasks[[#This Row],[Optimistic]]+4*N(Tasks[[#This Row],[_Days]])+Tasks[[#This Row],[Pessimistic]])/6,1),"")</f>
        <v/>
      </c>
      <c r="BY168" s="87"/>
      <c r="BZ168" s="87"/>
      <c r="CA168" s="22"/>
      <c r="CB168" s="43" t="str">
        <f aca="false">IF(Tasks[[#This Row],[Task Name]]="","",MAX(1,N(Tasks[[#This Row],[Level]])))</f>
        <v/>
      </c>
      <c r="CC168" s="43" t="n">
        <f aca="false">ROW()-ROW(Tasks[[#Headers],[ID]])</f>
        <v>163</v>
      </c>
      <c r="CD168" s="43" t="n">
        <f aca="false">IF(OR(Tasks[[#This Row],[Task Name]]="",Tasks[[#This Row],[_Level]]&lt;=1),0,IFERROR(LOOKUP(2,1/(Tasks[[#Headers],[_Level]]:Tasks[[#This Row],[_Level]]=Tasks[[#This Row],[_Level]]-1),ROW(Tasks[[#Headers],[_Level]]:Tasks[[#This Row],[_Level]])),0))</f>
        <v>0</v>
      </c>
      <c r="CE168" s="43" t="n">
        <f aca="false">IFERROR(N(INDEX(Tasks[_Level],Tasks[[#This Row],[_Row]]+1)),0)</f>
        <v>0</v>
      </c>
      <c r="CF168" s="90" t="b">
        <f aca="false">AND(Tasks[[#This Row],[Task Name]]&lt;&gt;"",Tasks[[#This Row],[_NextLevel]]&gt;Tasks[[#This Row],[_Level]])</f>
        <v>0</v>
      </c>
      <c r="CG168" s="43" t="n">
        <f aca="false">IF(Tasks[[#This Row],[_IsSummary]],COUNTIF(Tasks[WBS],Tasks[[#This Row],[WBS]]&amp;".*"),0)</f>
        <v>0</v>
      </c>
      <c r="CH168" s="43" t="n">
        <f aca="false">IF(AND(Tasks[[#This Row],[Task Name]]&lt;&gt;"",NOT(Tasks[[#This Row],[_IsSummary]])),1,0)</f>
        <v>0</v>
      </c>
      <c r="CI168" s="43" t="n">
        <f aca="false">IF(N(Tasks[[#This Row],[_Pred1UID]])=0,0,IFERROR(MATCH(Tasks[[#This Row],[_Pred1UID]],Tasks[UID],0),-1))</f>
        <v>0</v>
      </c>
      <c r="CJ168" s="43" t="n">
        <f aca="false">IF(N(Tasks[[#This Row],[_Pred2UID]])=0,0,IFERROR(MATCH(Tasks[[#This Row],[_Pred2UID]],Tasks[UID],0),-1))</f>
        <v>0</v>
      </c>
      <c r="CK168" s="43" t="n">
        <f aca="false">IF(N(Tasks[[#This Row],[_Pred3UID]])=0,0,IFERROR(MATCH(Tasks[[#This Row],[_Pred3UID]],Tasks[UID],0),-1))</f>
        <v>0</v>
      </c>
      <c r="CL168" s="43" t="n">
        <f aca="false">IF(N(Tasks[[#This Row],[_Pred4UID]])=0,0,IFERROR(MATCH(Tasks[[#This Row],[_Pred4UID]],Tasks[UID],0),-1))</f>
        <v>0</v>
      </c>
      <c r="CM16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8" s="91" t="n">
        <f aca="false">IF(OR(Tasks[[#This Row],[_ConstraintCode]]=2,Tasks[[#This Row],[_ConstraintCode]]=3,Tasks[[#This Row],[_ConstraintCode]]=4,Tasks[[#This Row],[_ConstraintCode]]=6),Tasks[[#This Row],[_ConstraintStart]],0)</f>
        <v>0</v>
      </c>
      <c r="CP168" s="91" t="n">
        <f aca="false">IF(OR(Tasks[[#This Row],[_ConstraintCode]]=2,Tasks[[#This Row],[_ConstraintCode]]=3,Tasks[[#This Row],[_ConstraintCode]]=5,Tasks[[#This Row],[_ConstraintCode]]=7),Tasks[[#This Row],[_ConstraintStart]],2958465)</f>
        <v>2958465</v>
      </c>
      <c r="CQ16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8" s="91" t="str">
        <f aca="false">IF(NOT(Tasks[[#This Row],[_IsLeaf]]=1),"",IF(N(Tasks[[#This Row],[_Days]])&lt;=0,Tasks[[#This Row],[_LeafCalcStart]],WORKDAY.INTL(Tasks[[#This Row],[_LeafCalcStart]],Tasks[[#This Row],[_Days]]-1,WorkWeek,Holidays)))</f>
        <v/>
      </c>
      <c r="CS16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8" s="43" t="str">
        <f aca="false">IF(Tasks[[#This Row],[_Predecessors]]="","",TRIM(MID(SUBSTITUTE(SUBSTITUTE(SUBSTITUTE(UPPER(Tasks[[#This Row],[_Predecessors]]),";",",")," ",""),",",REPT(" ",99)),1,99)))</f>
        <v/>
      </c>
      <c r="CV168" s="43" t="str">
        <f aca="false">IF(Tasks[[#This Row],[_Pred1Text]]="","",IFERROR(VALUE(LEFT(Tasks[[#This Row],[_Pred1Text]],MIN(FIND("F",Tasks[[#This Row],[_Pred1Text]]&amp;"F"),FIND("S",Tasks[[#This Row],[_Pred1Text]]&amp;"S"),FIND("+",Tasks[[#This Row],[_Pred1Text]]&amp;"+"),FIND("-",Tasks[[#This Row],[_Pred1Text]]&amp;"-"))-1)),""))</f>
        <v/>
      </c>
      <c r="CW16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8" s="43" t="str">
        <f aca="false">IF(Tasks[[#This Row],[_Pred1Text]]="","",TRIM(MID(SUBSTITUTE(SUBSTITUTE(SUBSTITUTE(UPPER(Tasks[[#This Row],[_Predecessors]]),";",",")," ",""),",",REPT(" ",99)),100,99)))</f>
        <v/>
      </c>
      <c r="CZ168" s="43" t="str">
        <f aca="false">IF(Tasks[[#This Row],[_Pred2Text]]="","",IFERROR(VALUE(LEFT(Tasks[[#This Row],[_Pred2Text]],MIN(FIND("F",Tasks[[#This Row],[_Pred2Text]]&amp;"F"),FIND("S",Tasks[[#This Row],[_Pred2Text]]&amp;"S"),FIND("+",Tasks[[#This Row],[_Pred2Text]]&amp;"+"),FIND("-",Tasks[[#This Row],[_Pred2Text]]&amp;"-"))-1)),""))</f>
        <v/>
      </c>
      <c r="DA16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8" s="43" t="str">
        <f aca="false">IF(Tasks[[#This Row],[_Pred2Text]]="","",TRIM(MID(SUBSTITUTE(SUBSTITUTE(SUBSTITUTE(UPPER(Tasks[[#This Row],[_Predecessors]]),";",",")," ",""),",",REPT(" ",99)),199,99)))</f>
        <v/>
      </c>
      <c r="DD168" s="43" t="str">
        <f aca="false">IF(Tasks[[#This Row],[_Pred3Text]]="","",IFERROR(VALUE(LEFT(Tasks[[#This Row],[_Pred3Text]],MIN(FIND("F",Tasks[[#This Row],[_Pred3Text]]&amp;"F"),FIND("S",Tasks[[#This Row],[_Pred3Text]]&amp;"S"),FIND("+",Tasks[[#This Row],[_Pred3Text]]&amp;"+"),FIND("-",Tasks[[#This Row],[_Pred3Text]]&amp;"-"))-1)),""))</f>
        <v/>
      </c>
      <c r="DE16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8" s="43" t="str">
        <f aca="false">IF(Tasks[[#This Row],[_Pred3Text]]="","",TRIM(MID(SUBSTITUTE(SUBSTITUTE(SUBSTITUTE(UPPER(Tasks[[#This Row],[_Predecessors]]),";",",")," ",""),",",REPT(" ",99)),298,99)))</f>
        <v/>
      </c>
      <c r="DH168" s="43" t="str">
        <f aca="false">IF(Tasks[[#This Row],[_Pred4Text]]="","",IFERROR(VALUE(LEFT(Tasks[[#This Row],[_Pred4Text]],MIN(FIND("F",Tasks[[#This Row],[_Pred4Text]]&amp;"F"),FIND("S",Tasks[[#This Row],[_Pred4Text]]&amp;"S"),FIND("+",Tasks[[#This Row],[_Pred4Text]]&amp;"+"),FIND("-",Tasks[[#This Row],[_Pred4Text]]&amp;"-"))-1)),""))</f>
        <v/>
      </c>
      <c r="DI16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8" s="43" t="str">
        <f aca="false">IF(OR(Tasks[[#This Row],[Task Name]]="",Tasks[[#This Row],[_Resources]]=""),"",TRIM(MID(SUBSTITUTE(Tasks[[#This Row],[_Resources]],",",REPT(" ",99)),1,99)))</f>
        <v/>
      </c>
      <c r="DL168" s="43" t="str">
        <f aca="false">IF(Tasks[[#This Row],[_Res1Text]]="","",TRIM(MID(SUBSTITUTE(Tasks[[#This Row],[_Resources]],",",REPT(" ",99)),100,99)))</f>
        <v/>
      </c>
      <c r="DM168" s="43" t="str">
        <f aca="false">IF(Tasks[[#This Row],[_Res2Text]]="","",TRIM(MID(SUBSTITUTE(Tasks[[#This Row],[_Resources]],",",REPT(" ",99)),199,99)))</f>
        <v/>
      </c>
      <c r="DN168" s="43" t="str">
        <f aca="false">IF(Tasks[[#This Row],[_Res3Text]]="","",TRIM(MID(SUBSTITUTE(Tasks[[#This Row],[_Resources]],",",REPT(" ",99)),298,99)))</f>
        <v/>
      </c>
      <c r="DO168" s="43" t="n">
        <f aca="false">IF(Tasks[[#This Row],[_Res1Text]]="",0,IFERROR(MATCH(TRIM(LEFT(Tasks[[#This Row],[_Res1Text]],FIND("[",Tasks[[#This Row],[_Res1Text]]&amp;"[")-1)),res_Name,0),IFERROR(MATCH(TRIM(LEFT(Tasks[[#This Row],[_Res1Text]],FIND("[",Tasks[[#This Row],[_Res1Text]]&amp;"[")-1)),res_Initials,0),0)))</f>
        <v>0</v>
      </c>
      <c r="DP168" s="43" t="n">
        <f aca="false">IF(Tasks[[#This Row],[_Res2Text]]="",0,IFERROR(MATCH(TRIM(LEFT(Tasks[[#This Row],[_Res2Text]],FIND("[",Tasks[[#This Row],[_Res2Text]]&amp;"[")-1)),res_Name,0),IFERROR(MATCH(TRIM(LEFT(Tasks[[#This Row],[_Res2Text]],FIND("[",Tasks[[#This Row],[_Res2Text]]&amp;"[")-1)),res_Initials,0),0)))</f>
        <v>0</v>
      </c>
      <c r="DQ168" s="43" t="n">
        <f aca="false">IF(Tasks[[#This Row],[_Res3Text]]="",0,IFERROR(MATCH(TRIM(LEFT(Tasks[[#This Row],[_Res3Text]],FIND("[",Tasks[[#This Row],[_Res3Text]]&amp;"[")-1)),res_Name,0),IFERROR(MATCH(TRIM(LEFT(Tasks[[#This Row],[_Res3Text]],FIND("[",Tasks[[#This Row],[_Res3Text]]&amp;"[")-1)),res_Initials,0),0)))</f>
        <v>0</v>
      </c>
      <c r="DR168" s="43" t="n">
        <f aca="false">IF(Tasks[[#This Row],[_Res4Text]]="",0,IFERROR(MATCH(TRIM(LEFT(Tasks[[#This Row],[_Res4Text]],FIND("[",Tasks[[#This Row],[_Res4Text]]&amp;"[")-1)),res_Name,0),IFERROR(MATCH(TRIM(LEFT(Tasks[[#This Row],[_Res4Text]],FIND("[",Tasks[[#This Row],[_Res4Text]]&amp;"[")-1)),res_Initials,0),0)))</f>
        <v>0</v>
      </c>
      <c r="DS168" s="43" t="str">
        <f aca="false">IF(Tasks[[#This Row],[_Res1Text]]="","",IF(Tasks[[#This Row],[_Res1Row]]&gt;0,INDEX(res_Name,Tasks[[#This Row],[_Res1Row]]),TRIM(LEFT(Tasks[[#This Row],[_Res1Text]],FIND("[",Tasks[[#This Row],[_Res1Text]]&amp;"[")-1))))</f>
        <v/>
      </c>
      <c r="DT16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8" s="43" t="n">
        <f aca="false">IF(NOT(Tasks[[#This Row],[_IsLeaf]]=1),0,(Tasks[[#This Row],[_Resource1]]&lt;&gt;"")+(Tasks[[#This Row],[_Res2]]&lt;&gt;"")+(Tasks[[#This Row],[_Res3]]&lt;&gt;"")+(Tasks[[#This Row],[_Res4]]&lt;&gt;""))</f>
        <v>0</v>
      </c>
      <c r="DV168" s="43" t="str">
        <f aca="false">IF(Tasks[[#This Row],[_Res2Text]]="","",IF(Tasks[[#This Row],[_Res2Row]]&gt;0,INDEX(res_Name,Tasks[[#This Row],[_Res2Row]]),TRIM(LEFT(Tasks[[#This Row],[_Res2Text]],FIND("[",Tasks[[#This Row],[_Res2Text]]&amp;"[")-1))))</f>
        <v/>
      </c>
      <c r="DW16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8" s="43" t="n">
        <f aca="false">IF(OR(NOT(Tasks[[#This Row],[_IsLeaf]]=1),Tasks[[#This Row],[_Res2Row]]=0),0,N(Tasks[[#This Row],[_Days]])*HoursPerDay*IF(Tasks[[#This Row],[_Res2Units]]="",DefaultUnits,Tasks[[#This Row],[_Res2Units]]))</f>
        <v>0</v>
      </c>
      <c r="DY168" s="43" t="n">
        <f aca="false">IF(AND(AND(Tasks[[#This Row],[_IsLeaf]]=1,Tasks[[#This Row],[_LeafTotalWork]]&gt;0),Tasks[[#This Row],[_Res2Work]]&gt;0),Tasks[[#This Row],[_Res2Work]]/(Tasks[[#This Row],[_FinishWorkday]]-Tasks[[#This Row],[_StartWorkday]]+1),0)</f>
        <v>0</v>
      </c>
      <c r="DZ168" s="43" t="n">
        <f aca="false">Tasks[[#This Row],[_Res2WorkPerWD]]*MAX(0,Tasks[[#This Row],[_StartWorkday]]-1)</f>
        <v>0</v>
      </c>
      <c r="EA168" s="43" t="n">
        <f aca="false">Tasks[[#This Row],[_Res2Work]]*Tasks[[#This Row],[_LeafProgress]]</f>
        <v>0</v>
      </c>
      <c r="EB168" s="43" t="str">
        <f aca="false">IF(Tasks[[#This Row],[_Res3Text]]="","",IF(Tasks[[#This Row],[_Res3Row]]&gt;0,INDEX(res_Name,Tasks[[#This Row],[_Res3Row]]),TRIM(LEFT(Tasks[[#This Row],[_Res3Text]],FIND("[",Tasks[[#This Row],[_Res3Text]]&amp;"[")-1))))</f>
        <v/>
      </c>
      <c r="EC16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8" s="43" t="n">
        <f aca="false">IF(OR(NOT(Tasks[[#This Row],[_IsLeaf]]=1),Tasks[[#This Row],[_Res3Row]]=0),0,N(Tasks[[#This Row],[_Days]])*HoursPerDay*IF(Tasks[[#This Row],[_Res3Units]]="",DefaultUnits,Tasks[[#This Row],[_Res3Units]]))</f>
        <v>0</v>
      </c>
      <c r="EE168" s="43" t="n">
        <f aca="false">IF(AND(AND(Tasks[[#This Row],[_IsLeaf]]=1,Tasks[[#This Row],[_LeafTotalWork]]&gt;0),Tasks[[#This Row],[_Res3Work]]&gt;0),Tasks[[#This Row],[_Res3Work]]/(Tasks[[#This Row],[_FinishWorkday]]-Tasks[[#This Row],[_StartWorkday]]+1),0)</f>
        <v>0</v>
      </c>
      <c r="EF168" s="43" t="n">
        <f aca="false">Tasks[[#This Row],[_Res3WorkPerWD]]*MAX(0,Tasks[[#This Row],[_StartWorkday]]-1)</f>
        <v>0</v>
      </c>
      <c r="EG168" s="43" t="n">
        <f aca="false">Tasks[[#This Row],[_Res3Work]]*Tasks[[#This Row],[_LeafProgress]]</f>
        <v>0</v>
      </c>
      <c r="EH168" s="43" t="str">
        <f aca="false">IF(Tasks[[#This Row],[_Res4Text]]="","",IF(Tasks[[#This Row],[_Res4Row]]&gt;0,INDEX(res_Name,Tasks[[#This Row],[_Res4Row]]),TRIM(LEFT(Tasks[[#This Row],[_Res4Text]],FIND("[",Tasks[[#This Row],[_Res4Text]]&amp;"[")-1))))</f>
        <v/>
      </c>
      <c r="EI16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8" s="43" t="n">
        <f aca="false">IF(OR(NOT(Tasks[[#This Row],[_IsLeaf]]=1),Tasks[[#This Row],[_Res4Row]]=0),0,N(Tasks[[#This Row],[_Days]])*HoursPerDay*IF(Tasks[[#This Row],[_Res4Units]]="",DefaultUnits,Tasks[[#This Row],[_Res4Units]]))</f>
        <v>0</v>
      </c>
      <c r="EK168" s="43" t="n">
        <f aca="false">IF(AND(AND(Tasks[[#This Row],[_IsLeaf]]=1,Tasks[[#This Row],[_LeafTotalWork]]&gt;0),Tasks[[#This Row],[_Res4Work]]&gt;0),Tasks[[#This Row],[_Res4Work]]/(Tasks[[#This Row],[_FinishWorkday]]-Tasks[[#This Row],[_StartWorkday]]+1),0)</f>
        <v>0</v>
      </c>
      <c r="EL168" s="43" t="n">
        <f aca="false">Tasks[[#This Row],[_Res4WorkPerWD]]*MAX(0,Tasks[[#This Row],[_StartWorkday]]-1)</f>
        <v>0</v>
      </c>
      <c r="EM168" s="43" t="n">
        <f aca="false">Tasks[[#This Row],[_Res4Work]]*Tasks[[#This Row],[_LeafProgress]]</f>
        <v>0</v>
      </c>
      <c r="EN168" s="43" t="n">
        <f aca="false">IF(ISNUMBER(Tasks[[#This Row],[% Complete]]),Tasks[[#This Row],[% Complete]],IF(Tasks[[#This Row],[Stage]]="",0,IFERROR(INDEX(stg_Pct,MATCH(Tasks[[#This Row],[Stage]],stg_Name,0)),0)))</f>
        <v>0</v>
      </c>
      <c r="EO168" s="43" t="n">
        <f aca="false">IF(NOT(Tasks[[#This Row],[_IsLeaf]]=1),0,IF(N(Tasks[[#This Row],[Actual Finish]])&gt;0,1,MIN(1,Tasks[[#This Row],[_Pct]])))</f>
        <v>0</v>
      </c>
      <c r="EP168" s="43" t="n">
        <f aca="false">IF(OR(NOT(Tasks[[#This Row],[_IsLeaf]]=1),Tasks[[#This Row],[_Res1Row]]=0),0,N(Tasks[[#This Row],[_Days]])*HoursPerDay*IF(Tasks[[#This Row],[_Units1]]="",DefaultUnits,Tasks[[#This Row],[_Units1]]))</f>
        <v>0</v>
      </c>
      <c r="EQ168" s="43" t="n">
        <f aca="false">Tasks[[#This Row],[_LeafWork]]+Tasks[[#This Row],[_Res2Work]]+Tasks[[#This Row],[_Res3Work]]+Tasks[[#This Row],[_Res4Work]]</f>
        <v>0</v>
      </c>
      <c r="ER16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8" s="43" t="n">
        <f aca="false">IF(NOT(Tasks[[#This Row],[_IsLeaf]]=1),0,MAX(_xlfn.MAXIFS(Tasks[_Row],Tasks[_Pred1UID],Tasks[[#This Row],[UID]]),_xlfn.MAXIFS(Tasks[_Row],Tasks[_Pred2UID],Tasks[[#This Row],[UID]]),_xlfn.MAXIFS(Tasks[_Row],Tasks[_Pred3UID],Tasks[[#This Row],[UID]]),_xlfn.MAXIFS(Tasks[_Row],Tasks[_Pred4UID],Tasks[[#This Row],[UID]])))</f>
        <v>0</v>
      </c>
      <c r="FA16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8" s="91" t="str">
        <f aca="false">IF(NOT(Tasks[[#This Row],[_IsLeaf]]=1),"",IF(N(Tasks[[#This Row],[_Days]])&lt;=0,Tasks[[#This Row],[_LeafLateFinish]],WORKDAY.INTL(Tasks[[#This Row],[_LeafLateFinish]],-(Tasks[[#This Row],[_Days]]-1),WorkWeek,Holidays)))</f>
        <v/>
      </c>
      <c r="FD16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8" s="90" t="b">
        <f aca="false">AND(Tasks[[#This Row],[_IsLeaf]]=1,Tasks[[#This Row],[_LeafProgress]]&lt;1,N(Tasks[[#This Row],[_LeafTotalSlack]])&lt;=CriticalSlackDays)</f>
        <v>0</v>
      </c>
      <c r="FF168" s="43" t="n">
        <f aca="false">IF(AND(Tasks[[#This Row],[_IsLeaf]]=1,Tasks[[#This Row],[_ConstraintCode]]=1,Tasks[[#This Row],[Mode]]&lt;&gt;"Manual",N(Tasks[[#This Row],[Actual Start]])=0),MAX(0,N(Tasks[[#This Row],[Free Slack]])),0)</f>
        <v>0</v>
      </c>
      <c r="FG168" s="91" t="str">
        <f aca="false">IF(NOT(Tasks[[#This Row],[_IsLeaf]]=1),"",IF(Tasks[[#This Row],[_AlapShift]]=0,Tasks[[#This Row],[_LeafCalcStart]],WORKDAY.INTL(Tasks[[#This Row],[_LeafCalcStart]],Tasks[[#This Row],[_AlapShift]],WorkWeek,Holidays)))</f>
        <v/>
      </c>
      <c r="FH168" s="91" t="str">
        <f aca="false">IF(NOT(Tasks[[#This Row],[_IsLeaf]]=1),"",IF(Tasks[[#This Row],[_AlapShift]]=0,Tasks[[#This Row],[_LeafCalcFinish]],WORKDAY.INTL(Tasks[[#This Row],[_LeafCalcFinish]],Tasks[[#This Row],[_AlapShift]],WorkWeek,Holidays)))</f>
        <v/>
      </c>
      <c r="FI168" s="91" t="str">
        <f aca="false">IF(NOT(Tasks[[#This Row],[_IsLeaf]]=1),"",IF(Tasks[[#This Row],[_AlapShift]]=0,Tasks[[#This Row],[_LeafFcstStart]],WORKDAY.INTL(Tasks[[#This Row],[_LeafFcstStart]],Tasks[[#This Row],[_AlapShift]],WorkWeek,Holidays)))</f>
        <v/>
      </c>
      <c r="FJ168" s="91" t="str">
        <f aca="false">IF(NOT(Tasks[[#This Row],[_IsLeaf]]=1),"",IF(Tasks[[#This Row],[_AlapShift]]=0,Tasks[[#This Row],[_LeafFcstFinish]],WORKDAY.INTL(Tasks[[#This Row],[_LeafFcstFinish]],Tasks[[#This Row],[_AlapShift]],WorkWeek,Holidays)))</f>
        <v/>
      </c>
      <c r="FK168" s="91" t="str">
        <f aca="false">IF(Tasks[[#This Row],[Task Name]]="","",IF(Tasks[[#This Row],[_IsSummary]],MIN(INDEX(Tasks[_ShownCalcStart],Tasks[[#This Row],[_Row]]+1):INDEX(Tasks[_ShownCalcStart],Tasks[[#This Row],[_Row]]+Tasks[[#This Row],[_Descendants]])),Tasks[[#This Row],[_ShownCalcStart]]))</f>
        <v/>
      </c>
      <c r="FL168" s="91" t="str">
        <f aca="false">IF(Tasks[[#This Row],[Task Name]]="","",IF(Tasks[[#This Row],[_IsSummary]],MAX(INDEX(Tasks[_ShownCalcFinish],Tasks[[#This Row],[_Row]]+1):INDEX(Tasks[_ShownCalcFinish],Tasks[[#This Row],[_Row]]+Tasks[[#This Row],[_Descendants]])),Tasks[[#This Row],[_ShownCalcFinish]]))</f>
        <v/>
      </c>
      <c r="FM16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8" s="43" t="n">
        <f aca="false">IF(AND(Tasks[[#This Row],[_IsLeaf]]=1,Tasks[[#This Row],[_LeafTotalWork]]&gt;0),NETWORKDAYS.INTL(ProjectStart,Tasks[[#This Row],[_ShownFcstStart]],WorkWeek,Holidays),0)</f>
        <v>0</v>
      </c>
      <c r="FZ168" s="43" t="n">
        <f aca="false">IF(AND(Tasks[[#This Row],[_IsLeaf]]=1,Tasks[[#This Row],[_LeafTotalWork]]&gt;0),MAX(Tasks[[#This Row],[_StartWorkday]],NETWORKDAYS.INTL(ProjectStart,Tasks[[#This Row],[_ShownFcstFinish]],WorkWeek,Holidays)),0)</f>
        <v>0</v>
      </c>
      <c r="GA168" s="43" t="n">
        <f aca="false">IF(AND(Tasks[[#This Row],[_IsLeaf]]=1,Tasks[[#This Row],[_LeafTotalWork]]&gt;0),Tasks[[#This Row],[_LeafWork]]/(Tasks[[#This Row],[_FinishWorkday]]-Tasks[[#This Row],[_StartWorkday]]+1),0)</f>
        <v>0</v>
      </c>
      <c r="GB168" s="43" t="n">
        <f aca="false">Tasks[[#This Row],[_WorkPerWorkday]]*(Tasks[[#This Row],[_StartWorkday]]-1)</f>
        <v>-0</v>
      </c>
      <c r="GC168" s="43" t="n">
        <f aca="false">IF(Tasks[[#This Row],[_IsLeaf]]=1,MAX(N(Tasks[[#This Row],[_Days]]),0.1),0)</f>
        <v>0</v>
      </c>
      <c r="GD168" s="43" t="n">
        <f aca="false">Tasks[[#This Row],[_WeightDur]]*Tasks[[#This Row],[_LeafProgress]]</f>
        <v>0</v>
      </c>
      <c r="GE168" s="43" t="n">
        <f aca="false">Tasks[[#This Row],[_WeightDur]]*Tasks[[#This Row],[_PlannedPct]]</f>
        <v>0</v>
      </c>
      <c r="GF16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8" s="43" t="str">
        <f aca="false">IF(AND(Tasks[[#This Row],[_IsLeaf]]=1,N(Tasks[[#This Row],[_Days]])=0,Tasks[[#This Row],[_LeafProgress]]&lt;1),Tasks[[#This Row],[_ShownFcstFinish]]+Tasks[[#This Row],[_Row]]/100000,"")</f>
        <v/>
      </c>
      <c r="GH16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8" s="43" t="str">
        <f aca="false">IF(Tasks[[#This Row],[Task Name]]="","",LEFT(Tasks[[#This Row],[WBS]],FIND(".",Tasks[[#This Row],[WBS]]&amp;".")-1))</f>
        <v/>
      </c>
      <c r="GJ168" s="43" t="str">
        <f aca="false">IF(AND(Tasks[[#This Row],[Task Name]]&lt;&gt;"",Tasks[[#This Row],[_Level]]=1),Tasks[[#This Row],[_Row]],"")</f>
        <v/>
      </c>
      <c r="GK168" s="43" t="str">
        <f aca="false">IF(AND(Tasks[[#This Row],[_IsLeaf]]=1,N(Tasks[[#This Row],[_Days]])=0),Tasks[[#This Row],[Planned Finish]]+Tasks[[#This Row],[_Row]]/100000,"")</f>
        <v/>
      </c>
      <c r="GL168" s="43" t="str">
        <f aca="false">IF(AND(Tasks[[#This Row],[_IsLeaf]]=1,Tasks[[#This Row],[_LeafProgress]]&lt;1,OR(N(Tasks[[#This Row],[Finish Var]])&gt;0,Tasks[[#This Row],[Status]]="Late Start")),MAX(0,Tasks[[#This Row],[Finish Var]])+1-Tasks[[#This Row],[_Row]]/1000000,"")</f>
        <v/>
      </c>
      <c r="GM168" s="43" t="str">
        <f aca="false">IF(AND(Tasks[[#This Row],[_IsLeaf]]=1,N(Tasks[[#This Row],[Actual Start]])=0,Tasks[[#This Row],[_ShownFcstStart]]&gt;=StatusDate,Tasks[[#This Row],[_ShownFcstStart]]&lt;=LookaheadEnd),Tasks[[#This Row],[_ShownFcstStart]]+Tasks[[#This Row],[_Row]]/100000,"")</f>
        <v/>
      </c>
      <c r="GN168" s="43" t="str">
        <f aca="false">IF(AND(Tasks[[#This Row],[_IsLeaf]]=1,Tasks[[#This Row],[_LeafProgress]]&lt;1,Tasks[[#This Row],[_ShownFcstFinish]]&gt;=StatusDate,Tasks[[#This Row],[_ShownFcstFinish]]&lt;=LookaheadEnd),Tasks[[#This Row],[_ShownFcstFinish]]+Tasks[[#This Row],[_Row]]/100000,"")</f>
        <v/>
      </c>
      <c r="GO168" s="43" t="str">
        <f aca="false">IF(Tasks[[#This Row],[_LeafCritical]],Tasks[[#This Row],[_ShownFcstStart]]+Tasks[[#This Row],[_Row]]/100000,"")</f>
        <v/>
      </c>
      <c r="GP168" s="43" t="n">
        <f aca="false">Tasks[[#This Row],[_LeafWork]]*Tasks[[#This Row],[_LeafProgress]]</f>
        <v>0</v>
      </c>
      <c r="GQ168" s="91" t="str">
        <f aca="false">IF(AND(Tasks[[#This Row],[_IsLeaf]]=1,Tasks[[#This Row],[_LeafProgress]]&gt;=1),IF(N(Tasks[[#This Row],[Actual Finish]])&gt;0,Tasks[[#This Row],[Actual Finish]],Tasks[[#This Row],[_ShownFcstFinish]]),"")</f>
        <v/>
      </c>
      <c r="GR168" s="43" t="n">
        <f aca="false">IF(Tasks[[#This Row],[_IsLeaf]]=1,N(Tasks[[#This Row],[Story Points]]),0)</f>
        <v>0</v>
      </c>
      <c r="GS168" s="43" t="str">
        <f aca="false">""</f>
        <v/>
      </c>
      <c r="GT168" s="90" t="b">
        <f aca="false">IF(Tasks[[#This Row],[Task Name]]="",FALSE(),AND(Tasks[[#This Row],[_IsLeaf]]=1,N(Tasks[[#This Row],[_Days]])=0))</f>
        <v>0</v>
      </c>
      <c r="GU168" s="91" t="n">
        <f aca="false">IF(Tasks[[#This Row],[Task Name]]="",0,IF(AND(Tasks[[#This Row],[_IsLeaf]]=1,NOT(Tasks[[#This Row],[_IsMilestone]]),N(Tasks[[#This Row],[Progress]])&gt;0),Tasks[[#This Row],[Start]],0))</f>
        <v>0</v>
      </c>
      <c r="GV168" s="91" t="n">
        <f aca="false">IF(Tasks[[#This Row],[_DoneFrom]]=0,0,IF(Tasks[[#This Row],[Progress]]&gt;=1,Tasks[[#This Row],[Finish]],MAX(Tasks[[#This Row],[_DoneFrom]],Tasks[[#This Row],[Start]]+ROUND((Tasks[[#This Row],[Finish]]-Tasks[[#This Row],[Start]]+1)*Tasks[[#This Row],[Progress]],0)-1)))</f>
        <v>0</v>
      </c>
      <c r="GW168" s="91" t="n">
        <f aca="false">IF(Tasks[[#This Row],[Task Name]]="",0,IF(OR(NOT(Tasks[[#This Row],[_IsLeaf]]=1),Tasks[[#This Row],[_IsMilestone]],N(Tasks[[#This Row],[Progress]])&gt;=1),0,IF(Tasks[[#This Row],[_DoneTo]]&gt;0,Tasks[[#This Row],[_DoneTo]]+1,Tasks[[#This Row],[Start]])))</f>
        <v>0</v>
      </c>
      <c r="GX168" s="91" t="n">
        <f aca="false">IF(Tasks[[#This Row],[_RemFrom]]=0,0,Tasks[[#This Row],[Finish]])</f>
        <v>0</v>
      </c>
      <c r="GY168" s="90" t="b">
        <f aca="false">IF(Tasks[[#This Row],[Task Name]]="",FALSE(),OR(NOT(BaselineSet),N(Tasks[[#This Row],[Baseline Start]])&gt;0))</f>
        <v>0</v>
      </c>
      <c r="GZ16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8" s="92" t="str">
        <f aca="false">IF(Tasks[[#This Row],[_IsLeaf]]=1,Tasks[[#This Row],[_Row]],"")</f>
        <v/>
      </c>
      <c r="HD168" s="92" t="str">
        <f aca="false">IFERROR(INDEX(Tasks[UID],SMALL(Tasks[_PickKey],Tasks[[#This Row],[_Row]]))&amp;" "&amp;INDEX(Tasks[Task Name],SMALL(Tasks[_PickKey],Tasks[[#This Row],[_Row]])),"")</f>
        <v/>
      </c>
      <c r="HE168" s="43" t="str">
        <f aca="false">IF(Tasks[[#This Row],[Task Name]]="","",IF(Tasks[[#This Row],[_IsSummary]],NETWORKDAYS.INTL(Tasks[[#This Row],[Start]],Tasks[[#This Row],[Finish]],WorkWeek,Holidays),N(Tasks[[#This Row],[_Days]])))</f>
        <v/>
      </c>
      <c r="HF168" s="43" t="n">
        <f aca="false">IF(Tasks[[#This Row],[Expected]]="",0,((Tasks[[#This Row],[Pessimistic]]-Tasks[[#This Row],[Optimistic]])/6)^2)</f>
        <v>0</v>
      </c>
      <c r="HG168" s="43" t="n">
        <f aca="false">IF(Tasks[[#This Row],[Expected]]="",0,Tasks[[#This Row],[Expected]]-N(Tasks[[#This Row],[_Days]]))</f>
        <v>0</v>
      </c>
    </row>
    <row r="169" customFormat="false" ht="15" hidden="false" customHeight="false" outlineLevel="0" collapsed="false">
      <c r="A169" s="21" t="str">
        <f aca="false">IF(Tasks[[#This Row],[Task Name]]="","",COUNTA(Tasks[[#Headers],[Task Name]]:Tasks[[#This Row],[Task Name]])-1)</f>
        <v/>
      </c>
      <c r="B169" s="22" t="n">
        <v>177</v>
      </c>
      <c r="C169" s="22"/>
      <c r="D169" s="23"/>
      <c r="E169" s="22"/>
      <c r="F169" s="23"/>
      <c r="G169" s="22"/>
      <c r="H169" s="22"/>
      <c r="I169" s="23"/>
      <c r="J169" s="22"/>
      <c r="K169" s="22"/>
      <c r="L169" s="23"/>
      <c r="M169" s="22"/>
      <c r="N169" s="22"/>
      <c r="O169" s="23"/>
      <c r="P169" s="22"/>
      <c r="Q169" s="22"/>
      <c r="R169" s="23"/>
      <c r="S169" s="23"/>
      <c r="T169" s="84"/>
      <c r="U169" s="23"/>
      <c r="V169" s="84"/>
      <c r="W169" s="23"/>
      <c r="X169" s="84"/>
      <c r="Y169" s="23"/>
      <c r="Z169" s="84"/>
      <c r="AA169" s="23"/>
      <c r="AB169" s="23"/>
      <c r="AC169" s="7"/>
      <c r="AD169" s="7"/>
      <c r="AE169" s="63" t="str">
        <f aca="false">IF(Tasks[[#This Row],[Task Name]]="","",IF(Tasks[[#This Row],[_IsSummary]],MIN(INDEX(Tasks[_ShownFcstStart],Tasks[[#This Row],[_Row]]+1):INDEX(Tasks[_ShownFcstStart],Tasks[[#This Row],[_Row]]+Tasks[[#This Row],[_Descendants]])),Tasks[[#This Row],[_ShownFcstStart]]))</f>
        <v/>
      </c>
      <c r="AF169" s="63" t="str">
        <f aca="false">IF(Tasks[[#This Row],[Task Name]]="","",IF(Tasks[[#This Row],[_IsSummary]],MAX(INDEX(Tasks[_ShownFcstFinish],Tasks[[#This Row],[_Row]]+1):INDEX(Tasks[_ShownFcstFinish],Tasks[[#This Row],[_Row]]+Tasks[[#This Row],[_Descendants]])),Tasks[[#This Row],[_ShownFcstFinish]]))</f>
        <v/>
      </c>
      <c r="AG169" s="21" t="str">
        <f aca="false">""</f>
        <v/>
      </c>
      <c r="AH169" s="23"/>
      <c r="AI1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9" s="7"/>
      <c r="AK169" s="22"/>
      <c r="AL169" s="23"/>
      <c r="AM169" s="7"/>
      <c r="AN169" s="47" t="str">
        <f aca="false">IF(Tasks[[#This Row],[Task Name]]="","",IF(Tasks[[#This Row],[Finish]]&gt;=Tasks[[#This Row],[Planned Finish]],NETWORKDAYS.INTL(Tasks[[#This Row],[Planned Finish]],Tasks[[#This Row],[Finish]],WorkWeek,Holidays)-1,1-NETWORKDAYS.INTL(Tasks[[#This Row],[Finish]],Tasks[[#This Row],[Planned Finish]],WorkWeek,Holidays)))</f>
        <v/>
      </c>
      <c r="AO169" s="21" t="str">
        <f aca="false">IF(Tasks[[#This Row],[Task Name]]="","",IF(Tasks[[#This Row],[Progress]]&gt;=1,"Complete",IF(OR(N(Tasks[[#This Row],[Actual Start]])&gt;0,Tasks[[#This Row],[Progress]]&gt;0),IF(Tasks[[#This Row],[Finish Var]]&gt;0,"Behind","In Progress"),IF(Tasks[[#This Row],[Planned Start]]&lt;StatusDate,"Late Start","Not Started"))))</f>
        <v/>
      </c>
      <c r="AP169" s="21" t="str">
        <f aca="false">IF(Tasks[[#This Row],[Task Name]]="","",IF(IF(Tasks[[#This Row],[_IsSummary]],COUNTIF(INDEX(Tasks[_LeafCritical],Tasks[[#This Row],[_Row]]+1):INDEX(Tasks[_LeafCritical],Tasks[[#This Row],[_Row]]+Tasks[[#This Row],[_Descendants]]),TRUE())&gt;0,Tasks[[#This Row],[_LeafCritical]]),"Yes",""))</f>
        <v/>
      </c>
      <c r="AQ169" s="63" t="str">
        <f aca="false">IF(Tasks[[#This Row],[Task Name]]="","",IF(N(Tasks[[#This Row],[Baseline Start]])&gt;0,Tasks[[#This Row],[Baseline Start]],Tasks[[#This Row],[_CalcStart]]))</f>
        <v/>
      </c>
      <c r="AR169" s="63" t="str">
        <f aca="false">IF(Tasks[[#This Row],[Task Name]]="","",IF(N(Tasks[[#This Row],[Baseline Finish]])&gt;0,Tasks[[#This Row],[Baseline Finish]],Tasks[[#This Row],[_CalcFinish]]))</f>
        <v/>
      </c>
      <c r="AS169" s="47" t="str">
        <f aca="false">IF(Tasks[[#This Row],[Task Name]]="","",IF(Tasks[[#This Row],[Start]]&gt;=Tasks[[#This Row],[Planned Start]],NETWORKDAYS.INTL(Tasks[[#This Row],[Planned Start]],Tasks[[#This Row],[Start]],WorkWeek,Holidays)-1,1-NETWORKDAYS.INTL(Tasks[[#This Row],[Start]],Tasks[[#This Row],[Planned Start]],WorkWeek,Holidays)))</f>
        <v/>
      </c>
      <c r="AT169" s="63" t="str">
        <f aca="false">IF(Tasks[[#This Row],[Task Name]]="","",IF(Tasks[[#This Row],[_IsSummary]],MIN(INDEX(Tasks[_LeafLateStart],Tasks[[#This Row],[_Row]]+1):INDEX(Tasks[_LeafLateStart],Tasks[[#This Row],[_Row]]+Tasks[[#This Row],[_Descendants]])),Tasks[[#This Row],[_LeafLateStart]]))</f>
        <v/>
      </c>
      <c r="AU169" s="63" t="str">
        <f aca="false">IF(Tasks[[#This Row],[Task Name]]="","",IF(Tasks[[#This Row],[_IsSummary]],MAX(INDEX(Tasks[_LeafLateFinish],Tasks[[#This Row],[_Row]]+1):INDEX(Tasks[_LeafLateFinish],Tasks[[#This Row],[_Row]]+Tasks[[#This Row],[_Descendants]])),Tasks[[#This Row],[_LeafLateFinish]]))</f>
        <v/>
      </c>
      <c r="AV169" s="47" t="str">
        <f aca="false">IF(Tasks[[#This Row],[Task Name]]="","",IF(Tasks[[#This Row],[_IsSummary]],MIN(INDEX(Tasks[_LeafTotalSlack],Tasks[[#This Row],[_Row]]+1):INDEX(Tasks[_LeafTotalSlack],Tasks[[#This Row],[_Row]]+Tasks[[#This Row],[_Descendants]])),Tasks[[#This Row],[_LeafTotalSlack]]))</f>
        <v/>
      </c>
      <c r="AW1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5"/>
      <c r="BA16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1" t="str">
        <f aca="false">IF(Tasks[[#This Row],[Task Name]]="","",IF(Tasks[[#This Row],[_Level]]&lt;=OutlineShowLevel,"Yes","No"))</f>
        <v/>
      </c>
      <c r="BE169" s="86" t="str">
        <f aca="false">IF(Tasks[[#This Row],[Task Name]]="","",IF(Tasks[[#This Row],[_IsSummary]],SUM(INDEX(Tasks[_LeafTotalWork],Tasks[[#This Row],[_Row]]+1):INDEX(Tasks[_LeafTotalWork],Tasks[[#This Row],[_Row]]+Tasks[[#This Row],[_Descendants]])),Tasks[[#This Row],[_LeafTotalWork]]))</f>
        <v/>
      </c>
      <c r="BF169" s="23"/>
      <c r="BG1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9" s="21" t="str">
        <f aca="false">""</f>
        <v/>
      </c>
      <c r="BI169" s="87"/>
      <c r="BJ169" s="22"/>
      <c r="BK169" s="47" t="str">
        <f aca="false">IF(OR(Tasks[[#This Row],[Task Name]]="",Tasks[[#This Row],[Baseline Duration]]=""),"",Tasks[[#This Row],[_SpanDays]]-N(Tasks[[#This Row],[Baseline Duration]]))</f>
        <v/>
      </c>
      <c r="BL169" s="86" t="str">
        <f aca="false">IF(OR(Tasks[[#This Row],[Task Name]]="",Tasks[[#This Row],[Baseline Work]]=""),"",Tasks[[#This Row],[Work]]-N(Tasks[[#This Row],[Baseline Work]]))</f>
        <v/>
      </c>
      <c r="BM169" s="63" t="str">
        <f aca="false">IF(Tasks[[#This Row],[Task Name]]="","",IF(OR(TakeBaseline="Yes",N(Tasks[[#This Row],[Baseline Start]])=0),Tasks[[#This Row],[Start]],Tasks[[#This Row],[Baseline Start]]))</f>
        <v/>
      </c>
      <c r="BN169" s="63" t="str">
        <f aca="false">IF(Tasks[[#This Row],[Task Name]]="","",IF(OR(TakeBaseline="Yes",N(Tasks[[#This Row],[Baseline Finish]])=0),Tasks[[#This Row],[Finish]],Tasks[[#This Row],[Baseline Finish]]))</f>
        <v/>
      </c>
      <c r="BO169" s="21" t="str">
        <f aca="false">IF(Tasks[[#This Row],[Task Name]]="","",IF(OR(TakeBaseline="Yes",N(Tasks[[#This Row],[Baseline Duration]])=0),Tasks[[#This Row],[_SpanDays]],Tasks[[#This Row],[Baseline Duration]]))</f>
        <v/>
      </c>
      <c r="BP169" s="86" t="str">
        <f aca="false">IF(Tasks[[#This Row],[Task Name]]="","",IF(OR(TakeBaseline="Yes",N(Tasks[[#This Row],[Baseline Work]])=0),Tasks[[#This Row],[Work]],Tasks[[#This Row],[Baseline Work]]))</f>
        <v/>
      </c>
      <c r="BQ169" s="7"/>
      <c r="BR169" s="7"/>
      <c r="BS169" s="22"/>
      <c r="BT169" s="88"/>
      <c r="BU169" s="23"/>
      <c r="BV169" s="23"/>
      <c r="BW169" s="23"/>
      <c r="BX169" s="89" t="str">
        <f aca="false">IF(AND(Tasks[[#This Row],[_IsLeaf]]=1,ISNUMBER(Tasks[[#This Row],[Optimistic]]),ISNUMBER(Tasks[[#This Row],[Pessimistic]])),ROUND((Tasks[[#This Row],[Optimistic]]+4*N(Tasks[[#This Row],[_Days]])+Tasks[[#This Row],[Pessimistic]])/6,1),"")</f>
        <v/>
      </c>
      <c r="BY169" s="87"/>
      <c r="BZ169" s="87"/>
      <c r="CA169" s="22"/>
      <c r="CB169" s="43" t="str">
        <f aca="false">IF(Tasks[[#This Row],[Task Name]]="","",MAX(1,N(Tasks[[#This Row],[Level]])))</f>
        <v/>
      </c>
      <c r="CC169" s="43" t="n">
        <f aca="false">ROW()-ROW(Tasks[[#Headers],[ID]])</f>
        <v>164</v>
      </c>
      <c r="CD169" s="43" t="n">
        <f aca="false">IF(OR(Tasks[[#This Row],[Task Name]]="",Tasks[[#This Row],[_Level]]&lt;=1),0,IFERROR(LOOKUP(2,1/(Tasks[[#Headers],[_Level]]:Tasks[[#This Row],[_Level]]=Tasks[[#This Row],[_Level]]-1),ROW(Tasks[[#Headers],[_Level]]:Tasks[[#This Row],[_Level]])),0))</f>
        <v>0</v>
      </c>
      <c r="CE169" s="43" t="n">
        <f aca="false">IFERROR(N(INDEX(Tasks[_Level],Tasks[[#This Row],[_Row]]+1)),0)</f>
        <v>0</v>
      </c>
      <c r="CF169" s="90" t="b">
        <f aca="false">AND(Tasks[[#This Row],[Task Name]]&lt;&gt;"",Tasks[[#This Row],[_NextLevel]]&gt;Tasks[[#This Row],[_Level]])</f>
        <v>0</v>
      </c>
      <c r="CG169" s="43" t="n">
        <f aca="false">IF(Tasks[[#This Row],[_IsSummary]],COUNTIF(Tasks[WBS],Tasks[[#This Row],[WBS]]&amp;".*"),0)</f>
        <v>0</v>
      </c>
      <c r="CH169" s="43" t="n">
        <f aca="false">IF(AND(Tasks[[#This Row],[Task Name]]&lt;&gt;"",NOT(Tasks[[#This Row],[_IsSummary]])),1,0)</f>
        <v>0</v>
      </c>
      <c r="CI169" s="43" t="n">
        <f aca="false">IF(N(Tasks[[#This Row],[_Pred1UID]])=0,0,IFERROR(MATCH(Tasks[[#This Row],[_Pred1UID]],Tasks[UID],0),-1))</f>
        <v>0</v>
      </c>
      <c r="CJ169" s="43" t="n">
        <f aca="false">IF(N(Tasks[[#This Row],[_Pred2UID]])=0,0,IFERROR(MATCH(Tasks[[#This Row],[_Pred2UID]],Tasks[UID],0),-1))</f>
        <v>0</v>
      </c>
      <c r="CK169" s="43" t="n">
        <f aca="false">IF(N(Tasks[[#This Row],[_Pred3UID]])=0,0,IFERROR(MATCH(Tasks[[#This Row],[_Pred3UID]],Tasks[UID],0),-1))</f>
        <v>0</v>
      </c>
      <c r="CL169" s="43" t="n">
        <f aca="false">IF(N(Tasks[[#This Row],[_Pred4UID]])=0,0,IFERROR(MATCH(Tasks[[#This Row],[_Pred4UID]],Tasks[UID],0),-1))</f>
        <v>0</v>
      </c>
      <c r="CM16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9" s="91" t="n">
        <f aca="false">IF(OR(Tasks[[#This Row],[_ConstraintCode]]=2,Tasks[[#This Row],[_ConstraintCode]]=3,Tasks[[#This Row],[_ConstraintCode]]=4,Tasks[[#This Row],[_ConstraintCode]]=6),Tasks[[#This Row],[_ConstraintStart]],0)</f>
        <v>0</v>
      </c>
      <c r="CP169" s="91" t="n">
        <f aca="false">IF(OR(Tasks[[#This Row],[_ConstraintCode]]=2,Tasks[[#This Row],[_ConstraintCode]]=3,Tasks[[#This Row],[_ConstraintCode]]=5,Tasks[[#This Row],[_ConstraintCode]]=7),Tasks[[#This Row],[_ConstraintStart]],2958465)</f>
        <v>2958465</v>
      </c>
      <c r="CQ16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9" s="91" t="str">
        <f aca="false">IF(NOT(Tasks[[#This Row],[_IsLeaf]]=1),"",IF(N(Tasks[[#This Row],[_Days]])&lt;=0,Tasks[[#This Row],[_LeafCalcStart]],WORKDAY.INTL(Tasks[[#This Row],[_LeafCalcStart]],Tasks[[#This Row],[_Days]]-1,WorkWeek,Holidays)))</f>
        <v/>
      </c>
      <c r="CS16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9" s="43" t="str">
        <f aca="false">IF(Tasks[[#This Row],[_Predecessors]]="","",TRIM(MID(SUBSTITUTE(SUBSTITUTE(SUBSTITUTE(UPPER(Tasks[[#This Row],[_Predecessors]]),";",",")," ",""),",",REPT(" ",99)),1,99)))</f>
        <v/>
      </c>
      <c r="CV169" s="43" t="str">
        <f aca="false">IF(Tasks[[#This Row],[_Pred1Text]]="","",IFERROR(VALUE(LEFT(Tasks[[#This Row],[_Pred1Text]],MIN(FIND("F",Tasks[[#This Row],[_Pred1Text]]&amp;"F"),FIND("S",Tasks[[#This Row],[_Pred1Text]]&amp;"S"),FIND("+",Tasks[[#This Row],[_Pred1Text]]&amp;"+"),FIND("-",Tasks[[#This Row],[_Pred1Text]]&amp;"-"))-1)),""))</f>
        <v/>
      </c>
      <c r="CW16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9" s="43" t="str">
        <f aca="false">IF(Tasks[[#This Row],[_Pred1Text]]="","",TRIM(MID(SUBSTITUTE(SUBSTITUTE(SUBSTITUTE(UPPER(Tasks[[#This Row],[_Predecessors]]),";",",")," ",""),",",REPT(" ",99)),100,99)))</f>
        <v/>
      </c>
      <c r="CZ169" s="43" t="str">
        <f aca="false">IF(Tasks[[#This Row],[_Pred2Text]]="","",IFERROR(VALUE(LEFT(Tasks[[#This Row],[_Pred2Text]],MIN(FIND("F",Tasks[[#This Row],[_Pred2Text]]&amp;"F"),FIND("S",Tasks[[#This Row],[_Pred2Text]]&amp;"S"),FIND("+",Tasks[[#This Row],[_Pred2Text]]&amp;"+"),FIND("-",Tasks[[#This Row],[_Pred2Text]]&amp;"-"))-1)),""))</f>
        <v/>
      </c>
      <c r="DA16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9" s="43" t="str">
        <f aca="false">IF(Tasks[[#This Row],[_Pred2Text]]="","",TRIM(MID(SUBSTITUTE(SUBSTITUTE(SUBSTITUTE(UPPER(Tasks[[#This Row],[_Predecessors]]),";",",")," ",""),",",REPT(" ",99)),199,99)))</f>
        <v/>
      </c>
      <c r="DD169" s="43" t="str">
        <f aca="false">IF(Tasks[[#This Row],[_Pred3Text]]="","",IFERROR(VALUE(LEFT(Tasks[[#This Row],[_Pred3Text]],MIN(FIND("F",Tasks[[#This Row],[_Pred3Text]]&amp;"F"),FIND("S",Tasks[[#This Row],[_Pred3Text]]&amp;"S"),FIND("+",Tasks[[#This Row],[_Pred3Text]]&amp;"+"),FIND("-",Tasks[[#This Row],[_Pred3Text]]&amp;"-"))-1)),""))</f>
        <v/>
      </c>
      <c r="DE16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9" s="43" t="str">
        <f aca="false">IF(Tasks[[#This Row],[_Pred3Text]]="","",TRIM(MID(SUBSTITUTE(SUBSTITUTE(SUBSTITUTE(UPPER(Tasks[[#This Row],[_Predecessors]]),";",",")," ",""),",",REPT(" ",99)),298,99)))</f>
        <v/>
      </c>
      <c r="DH169" s="43" t="str">
        <f aca="false">IF(Tasks[[#This Row],[_Pred4Text]]="","",IFERROR(VALUE(LEFT(Tasks[[#This Row],[_Pred4Text]],MIN(FIND("F",Tasks[[#This Row],[_Pred4Text]]&amp;"F"),FIND("S",Tasks[[#This Row],[_Pred4Text]]&amp;"S"),FIND("+",Tasks[[#This Row],[_Pred4Text]]&amp;"+"),FIND("-",Tasks[[#This Row],[_Pred4Text]]&amp;"-"))-1)),""))</f>
        <v/>
      </c>
      <c r="DI16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9" s="43" t="str">
        <f aca="false">IF(OR(Tasks[[#This Row],[Task Name]]="",Tasks[[#This Row],[_Resources]]=""),"",TRIM(MID(SUBSTITUTE(Tasks[[#This Row],[_Resources]],",",REPT(" ",99)),1,99)))</f>
        <v/>
      </c>
      <c r="DL169" s="43" t="str">
        <f aca="false">IF(Tasks[[#This Row],[_Res1Text]]="","",TRIM(MID(SUBSTITUTE(Tasks[[#This Row],[_Resources]],",",REPT(" ",99)),100,99)))</f>
        <v/>
      </c>
      <c r="DM169" s="43" t="str">
        <f aca="false">IF(Tasks[[#This Row],[_Res2Text]]="","",TRIM(MID(SUBSTITUTE(Tasks[[#This Row],[_Resources]],",",REPT(" ",99)),199,99)))</f>
        <v/>
      </c>
      <c r="DN169" s="43" t="str">
        <f aca="false">IF(Tasks[[#This Row],[_Res3Text]]="","",TRIM(MID(SUBSTITUTE(Tasks[[#This Row],[_Resources]],",",REPT(" ",99)),298,99)))</f>
        <v/>
      </c>
      <c r="DO169" s="43" t="n">
        <f aca="false">IF(Tasks[[#This Row],[_Res1Text]]="",0,IFERROR(MATCH(TRIM(LEFT(Tasks[[#This Row],[_Res1Text]],FIND("[",Tasks[[#This Row],[_Res1Text]]&amp;"[")-1)),res_Name,0),IFERROR(MATCH(TRIM(LEFT(Tasks[[#This Row],[_Res1Text]],FIND("[",Tasks[[#This Row],[_Res1Text]]&amp;"[")-1)),res_Initials,0),0)))</f>
        <v>0</v>
      </c>
      <c r="DP169" s="43" t="n">
        <f aca="false">IF(Tasks[[#This Row],[_Res2Text]]="",0,IFERROR(MATCH(TRIM(LEFT(Tasks[[#This Row],[_Res2Text]],FIND("[",Tasks[[#This Row],[_Res2Text]]&amp;"[")-1)),res_Name,0),IFERROR(MATCH(TRIM(LEFT(Tasks[[#This Row],[_Res2Text]],FIND("[",Tasks[[#This Row],[_Res2Text]]&amp;"[")-1)),res_Initials,0),0)))</f>
        <v>0</v>
      </c>
      <c r="DQ169" s="43" t="n">
        <f aca="false">IF(Tasks[[#This Row],[_Res3Text]]="",0,IFERROR(MATCH(TRIM(LEFT(Tasks[[#This Row],[_Res3Text]],FIND("[",Tasks[[#This Row],[_Res3Text]]&amp;"[")-1)),res_Name,0),IFERROR(MATCH(TRIM(LEFT(Tasks[[#This Row],[_Res3Text]],FIND("[",Tasks[[#This Row],[_Res3Text]]&amp;"[")-1)),res_Initials,0),0)))</f>
        <v>0</v>
      </c>
      <c r="DR169" s="43" t="n">
        <f aca="false">IF(Tasks[[#This Row],[_Res4Text]]="",0,IFERROR(MATCH(TRIM(LEFT(Tasks[[#This Row],[_Res4Text]],FIND("[",Tasks[[#This Row],[_Res4Text]]&amp;"[")-1)),res_Name,0),IFERROR(MATCH(TRIM(LEFT(Tasks[[#This Row],[_Res4Text]],FIND("[",Tasks[[#This Row],[_Res4Text]]&amp;"[")-1)),res_Initials,0),0)))</f>
        <v>0</v>
      </c>
      <c r="DS169" s="43" t="str">
        <f aca="false">IF(Tasks[[#This Row],[_Res1Text]]="","",IF(Tasks[[#This Row],[_Res1Row]]&gt;0,INDEX(res_Name,Tasks[[#This Row],[_Res1Row]]),TRIM(LEFT(Tasks[[#This Row],[_Res1Text]],FIND("[",Tasks[[#This Row],[_Res1Text]]&amp;"[")-1))))</f>
        <v/>
      </c>
      <c r="DT16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9" s="43" t="n">
        <f aca="false">IF(NOT(Tasks[[#This Row],[_IsLeaf]]=1),0,(Tasks[[#This Row],[_Resource1]]&lt;&gt;"")+(Tasks[[#This Row],[_Res2]]&lt;&gt;"")+(Tasks[[#This Row],[_Res3]]&lt;&gt;"")+(Tasks[[#This Row],[_Res4]]&lt;&gt;""))</f>
        <v>0</v>
      </c>
      <c r="DV169" s="43" t="str">
        <f aca="false">IF(Tasks[[#This Row],[_Res2Text]]="","",IF(Tasks[[#This Row],[_Res2Row]]&gt;0,INDEX(res_Name,Tasks[[#This Row],[_Res2Row]]),TRIM(LEFT(Tasks[[#This Row],[_Res2Text]],FIND("[",Tasks[[#This Row],[_Res2Text]]&amp;"[")-1))))</f>
        <v/>
      </c>
      <c r="DW16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9" s="43" t="n">
        <f aca="false">IF(OR(NOT(Tasks[[#This Row],[_IsLeaf]]=1),Tasks[[#This Row],[_Res2Row]]=0),0,N(Tasks[[#This Row],[_Days]])*HoursPerDay*IF(Tasks[[#This Row],[_Res2Units]]="",DefaultUnits,Tasks[[#This Row],[_Res2Units]]))</f>
        <v>0</v>
      </c>
      <c r="DY169" s="43" t="n">
        <f aca="false">IF(AND(AND(Tasks[[#This Row],[_IsLeaf]]=1,Tasks[[#This Row],[_LeafTotalWork]]&gt;0),Tasks[[#This Row],[_Res2Work]]&gt;0),Tasks[[#This Row],[_Res2Work]]/(Tasks[[#This Row],[_FinishWorkday]]-Tasks[[#This Row],[_StartWorkday]]+1),0)</f>
        <v>0</v>
      </c>
      <c r="DZ169" s="43" t="n">
        <f aca="false">Tasks[[#This Row],[_Res2WorkPerWD]]*MAX(0,Tasks[[#This Row],[_StartWorkday]]-1)</f>
        <v>0</v>
      </c>
      <c r="EA169" s="43" t="n">
        <f aca="false">Tasks[[#This Row],[_Res2Work]]*Tasks[[#This Row],[_LeafProgress]]</f>
        <v>0</v>
      </c>
      <c r="EB169" s="43" t="str">
        <f aca="false">IF(Tasks[[#This Row],[_Res3Text]]="","",IF(Tasks[[#This Row],[_Res3Row]]&gt;0,INDEX(res_Name,Tasks[[#This Row],[_Res3Row]]),TRIM(LEFT(Tasks[[#This Row],[_Res3Text]],FIND("[",Tasks[[#This Row],[_Res3Text]]&amp;"[")-1))))</f>
        <v/>
      </c>
      <c r="EC16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9" s="43" t="n">
        <f aca="false">IF(OR(NOT(Tasks[[#This Row],[_IsLeaf]]=1),Tasks[[#This Row],[_Res3Row]]=0),0,N(Tasks[[#This Row],[_Days]])*HoursPerDay*IF(Tasks[[#This Row],[_Res3Units]]="",DefaultUnits,Tasks[[#This Row],[_Res3Units]]))</f>
        <v>0</v>
      </c>
      <c r="EE169" s="43" t="n">
        <f aca="false">IF(AND(AND(Tasks[[#This Row],[_IsLeaf]]=1,Tasks[[#This Row],[_LeafTotalWork]]&gt;0),Tasks[[#This Row],[_Res3Work]]&gt;0),Tasks[[#This Row],[_Res3Work]]/(Tasks[[#This Row],[_FinishWorkday]]-Tasks[[#This Row],[_StartWorkday]]+1),0)</f>
        <v>0</v>
      </c>
      <c r="EF169" s="43" t="n">
        <f aca="false">Tasks[[#This Row],[_Res3WorkPerWD]]*MAX(0,Tasks[[#This Row],[_StartWorkday]]-1)</f>
        <v>0</v>
      </c>
      <c r="EG169" s="43" t="n">
        <f aca="false">Tasks[[#This Row],[_Res3Work]]*Tasks[[#This Row],[_LeafProgress]]</f>
        <v>0</v>
      </c>
      <c r="EH169" s="43" t="str">
        <f aca="false">IF(Tasks[[#This Row],[_Res4Text]]="","",IF(Tasks[[#This Row],[_Res4Row]]&gt;0,INDEX(res_Name,Tasks[[#This Row],[_Res4Row]]),TRIM(LEFT(Tasks[[#This Row],[_Res4Text]],FIND("[",Tasks[[#This Row],[_Res4Text]]&amp;"[")-1))))</f>
        <v/>
      </c>
      <c r="EI16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9" s="43" t="n">
        <f aca="false">IF(OR(NOT(Tasks[[#This Row],[_IsLeaf]]=1),Tasks[[#This Row],[_Res4Row]]=0),0,N(Tasks[[#This Row],[_Days]])*HoursPerDay*IF(Tasks[[#This Row],[_Res4Units]]="",DefaultUnits,Tasks[[#This Row],[_Res4Units]]))</f>
        <v>0</v>
      </c>
      <c r="EK169" s="43" t="n">
        <f aca="false">IF(AND(AND(Tasks[[#This Row],[_IsLeaf]]=1,Tasks[[#This Row],[_LeafTotalWork]]&gt;0),Tasks[[#This Row],[_Res4Work]]&gt;0),Tasks[[#This Row],[_Res4Work]]/(Tasks[[#This Row],[_FinishWorkday]]-Tasks[[#This Row],[_StartWorkday]]+1),0)</f>
        <v>0</v>
      </c>
      <c r="EL169" s="43" t="n">
        <f aca="false">Tasks[[#This Row],[_Res4WorkPerWD]]*MAX(0,Tasks[[#This Row],[_StartWorkday]]-1)</f>
        <v>0</v>
      </c>
      <c r="EM169" s="43" t="n">
        <f aca="false">Tasks[[#This Row],[_Res4Work]]*Tasks[[#This Row],[_LeafProgress]]</f>
        <v>0</v>
      </c>
      <c r="EN169" s="43" t="n">
        <f aca="false">IF(ISNUMBER(Tasks[[#This Row],[% Complete]]),Tasks[[#This Row],[% Complete]],IF(Tasks[[#This Row],[Stage]]="",0,IFERROR(INDEX(stg_Pct,MATCH(Tasks[[#This Row],[Stage]],stg_Name,0)),0)))</f>
        <v>0</v>
      </c>
      <c r="EO169" s="43" t="n">
        <f aca="false">IF(NOT(Tasks[[#This Row],[_IsLeaf]]=1),0,IF(N(Tasks[[#This Row],[Actual Finish]])&gt;0,1,MIN(1,Tasks[[#This Row],[_Pct]])))</f>
        <v>0</v>
      </c>
      <c r="EP169" s="43" t="n">
        <f aca="false">IF(OR(NOT(Tasks[[#This Row],[_IsLeaf]]=1),Tasks[[#This Row],[_Res1Row]]=0),0,N(Tasks[[#This Row],[_Days]])*HoursPerDay*IF(Tasks[[#This Row],[_Units1]]="",DefaultUnits,Tasks[[#This Row],[_Units1]]))</f>
        <v>0</v>
      </c>
      <c r="EQ169" s="43" t="n">
        <f aca="false">Tasks[[#This Row],[_LeafWork]]+Tasks[[#This Row],[_Res2Work]]+Tasks[[#This Row],[_Res3Work]]+Tasks[[#This Row],[_Res4Work]]</f>
        <v>0</v>
      </c>
      <c r="ER16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9" s="43" t="n">
        <f aca="false">IF(NOT(Tasks[[#This Row],[_IsLeaf]]=1),0,MAX(_xlfn.MAXIFS(Tasks[_Row],Tasks[_Pred1UID],Tasks[[#This Row],[UID]]),_xlfn.MAXIFS(Tasks[_Row],Tasks[_Pred2UID],Tasks[[#This Row],[UID]]),_xlfn.MAXIFS(Tasks[_Row],Tasks[_Pred3UID],Tasks[[#This Row],[UID]]),_xlfn.MAXIFS(Tasks[_Row],Tasks[_Pred4UID],Tasks[[#This Row],[UID]])))</f>
        <v>0</v>
      </c>
      <c r="FA16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9" s="91" t="str">
        <f aca="false">IF(NOT(Tasks[[#This Row],[_IsLeaf]]=1),"",IF(N(Tasks[[#This Row],[_Days]])&lt;=0,Tasks[[#This Row],[_LeafLateFinish]],WORKDAY.INTL(Tasks[[#This Row],[_LeafLateFinish]],-(Tasks[[#This Row],[_Days]]-1),WorkWeek,Holidays)))</f>
        <v/>
      </c>
      <c r="FD16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9" s="90" t="b">
        <f aca="false">AND(Tasks[[#This Row],[_IsLeaf]]=1,Tasks[[#This Row],[_LeafProgress]]&lt;1,N(Tasks[[#This Row],[_LeafTotalSlack]])&lt;=CriticalSlackDays)</f>
        <v>0</v>
      </c>
      <c r="FF169" s="43" t="n">
        <f aca="false">IF(AND(Tasks[[#This Row],[_IsLeaf]]=1,Tasks[[#This Row],[_ConstraintCode]]=1,Tasks[[#This Row],[Mode]]&lt;&gt;"Manual",N(Tasks[[#This Row],[Actual Start]])=0),MAX(0,N(Tasks[[#This Row],[Free Slack]])),0)</f>
        <v>0</v>
      </c>
      <c r="FG169" s="91" t="str">
        <f aca="false">IF(NOT(Tasks[[#This Row],[_IsLeaf]]=1),"",IF(Tasks[[#This Row],[_AlapShift]]=0,Tasks[[#This Row],[_LeafCalcStart]],WORKDAY.INTL(Tasks[[#This Row],[_LeafCalcStart]],Tasks[[#This Row],[_AlapShift]],WorkWeek,Holidays)))</f>
        <v/>
      </c>
      <c r="FH169" s="91" t="str">
        <f aca="false">IF(NOT(Tasks[[#This Row],[_IsLeaf]]=1),"",IF(Tasks[[#This Row],[_AlapShift]]=0,Tasks[[#This Row],[_LeafCalcFinish]],WORKDAY.INTL(Tasks[[#This Row],[_LeafCalcFinish]],Tasks[[#This Row],[_AlapShift]],WorkWeek,Holidays)))</f>
        <v/>
      </c>
      <c r="FI169" s="91" t="str">
        <f aca="false">IF(NOT(Tasks[[#This Row],[_IsLeaf]]=1),"",IF(Tasks[[#This Row],[_AlapShift]]=0,Tasks[[#This Row],[_LeafFcstStart]],WORKDAY.INTL(Tasks[[#This Row],[_LeafFcstStart]],Tasks[[#This Row],[_AlapShift]],WorkWeek,Holidays)))</f>
        <v/>
      </c>
      <c r="FJ169" s="91" t="str">
        <f aca="false">IF(NOT(Tasks[[#This Row],[_IsLeaf]]=1),"",IF(Tasks[[#This Row],[_AlapShift]]=0,Tasks[[#This Row],[_LeafFcstFinish]],WORKDAY.INTL(Tasks[[#This Row],[_LeafFcstFinish]],Tasks[[#This Row],[_AlapShift]],WorkWeek,Holidays)))</f>
        <v/>
      </c>
      <c r="FK169" s="91" t="str">
        <f aca="false">IF(Tasks[[#This Row],[Task Name]]="","",IF(Tasks[[#This Row],[_IsSummary]],MIN(INDEX(Tasks[_ShownCalcStart],Tasks[[#This Row],[_Row]]+1):INDEX(Tasks[_ShownCalcStart],Tasks[[#This Row],[_Row]]+Tasks[[#This Row],[_Descendants]])),Tasks[[#This Row],[_ShownCalcStart]]))</f>
        <v/>
      </c>
      <c r="FL169" s="91" t="str">
        <f aca="false">IF(Tasks[[#This Row],[Task Name]]="","",IF(Tasks[[#This Row],[_IsSummary]],MAX(INDEX(Tasks[_ShownCalcFinish],Tasks[[#This Row],[_Row]]+1):INDEX(Tasks[_ShownCalcFinish],Tasks[[#This Row],[_Row]]+Tasks[[#This Row],[_Descendants]])),Tasks[[#This Row],[_ShownCalcFinish]]))</f>
        <v/>
      </c>
      <c r="FM16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9" s="43" t="n">
        <f aca="false">IF(AND(Tasks[[#This Row],[_IsLeaf]]=1,Tasks[[#This Row],[_LeafTotalWork]]&gt;0),NETWORKDAYS.INTL(ProjectStart,Tasks[[#This Row],[_ShownFcstStart]],WorkWeek,Holidays),0)</f>
        <v>0</v>
      </c>
      <c r="FZ169" s="43" t="n">
        <f aca="false">IF(AND(Tasks[[#This Row],[_IsLeaf]]=1,Tasks[[#This Row],[_LeafTotalWork]]&gt;0),MAX(Tasks[[#This Row],[_StartWorkday]],NETWORKDAYS.INTL(ProjectStart,Tasks[[#This Row],[_ShownFcstFinish]],WorkWeek,Holidays)),0)</f>
        <v>0</v>
      </c>
      <c r="GA169" s="43" t="n">
        <f aca="false">IF(AND(Tasks[[#This Row],[_IsLeaf]]=1,Tasks[[#This Row],[_LeafTotalWork]]&gt;0),Tasks[[#This Row],[_LeafWork]]/(Tasks[[#This Row],[_FinishWorkday]]-Tasks[[#This Row],[_StartWorkday]]+1),0)</f>
        <v>0</v>
      </c>
      <c r="GB169" s="43" t="n">
        <f aca="false">Tasks[[#This Row],[_WorkPerWorkday]]*(Tasks[[#This Row],[_StartWorkday]]-1)</f>
        <v>-0</v>
      </c>
      <c r="GC169" s="43" t="n">
        <f aca="false">IF(Tasks[[#This Row],[_IsLeaf]]=1,MAX(N(Tasks[[#This Row],[_Days]]),0.1),0)</f>
        <v>0</v>
      </c>
      <c r="GD169" s="43" t="n">
        <f aca="false">Tasks[[#This Row],[_WeightDur]]*Tasks[[#This Row],[_LeafProgress]]</f>
        <v>0</v>
      </c>
      <c r="GE169" s="43" t="n">
        <f aca="false">Tasks[[#This Row],[_WeightDur]]*Tasks[[#This Row],[_PlannedPct]]</f>
        <v>0</v>
      </c>
      <c r="GF16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9" s="43" t="str">
        <f aca="false">IF(AND(Tasks[[#This Row],[_IsLeaf]]=1,N(Tasks[[#This Row],[_Days]])=0,Tasks[[#This Row],[_LeafProgress]]&lt;1),Tasks[[#This Row],[_ShownFcstFinish]]+Tasks[[#This Row],[_Row]]/100000,"")</f>
        <v/>
      </c>
      <c r="GH16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9" s="43" t="str">
        <f aca="false">IF(Tasks[[#This Row],[Task Name]]="","",LEFT(Tasks[[#This Row],[WBS]],FIND(".",Tasks[[#This Row],[WBS]]&amp;".")-1))</f>
        <v/>
      </c>
      <c r="GJ169" s="43" t="str">
        <f aca="false">IF(AND(Tasks[[#This Row],[Task Name]]&lt;&gt;"",Tasks[[#This Row],[_Level]]=1),Tasks[[#This Row],[_Row]],"")</f>
        <v/>
      </c>
      <c r="GK169" s="43" t="str">
        <f aca="false">IF(AND(Tasks[[#This Row],[_IsLeaf]]=1,N(Tasks[[#This Row],[_Days]])=0),Tasks[[#This Row],[Planned Finish]]+Tasks[[#This Row],[_Row]]/100000,"")</f>
        <v/>
      </c>
      <c r="GL169" s="43" t="str">
        <f aca="false">IF(AND(Tasks[[#This Row],[_IsLeaf]]=1,Tasks[[#This Row],[_LeafProgress]]&lt;1,OR(N(Tasks[[#This Row],[Finish Var]])&gt;0,Tasks[[#This Row],[Status]]="Late Start")),MAX(0,Tasks[[#This Row],[Finish Var]])+1-Tasks[[#This Row],[_Row]]/1000000,"")</f>
        <v/>
      </c>
      <c r="GM169" s="43" t="str">
        <f aca="false">IF(AND(Tasks[[#This Row],[_IsLeaf]]=1,N(Tasks[[#This Row],[Actual Start]])=0,Tasks[[#This Row],[_ShownFcstStart]]&gt;=StatusDate,Tasks[[#This Row],[_ShownFcstStart]]&lt;=LookaheadEnd),Tasks[[#This Row],[_ShownFcstStart]]+Tasks[[#This Row],[_Row]]/100000,"")</f>
        <v/>
      </c>
      <c r="GN169" s="43" t="str">
        <f aca="false">IF(AND(Tasks[[#This Row],[_IsLeaf]]=1,Tasks[[#This Row],[_LeafProgress]]&lt;1,Tasks[[#This Row],[_ShownFcstFinish]]&gt;=StatusDate,Tasks[[#This Row],[_ShownFcstFinish]]&lt;=LookaheadEnd),Tasks[[#This Row],[_ShownFcstFinish]]+Tasks[[#This Row],[_Row]]/100000,"")</f>
        <v/>
      </c>
      <c r="GO169" s="43" t="str">
        <f aca="false">IF(Tasks[[#This Row],[_LeafCritical]],Tasks[[#This Row],[_ShownFcstStart]]+Tasks[[#This Row],[_Row]]/100000,"")</f>
        <v/>
      </c>
      <c r="GP169" s="43" t="n">
        <f aca="false">Tasks[[#This Row],[_LeafWork]]*Tasks[[#This Row],[_LeafProgress]]</f>
        <v>0</v>
      </c>
      <c r="GQ169" s="91" t="str">
        <f aca="false">IF(AND(Tasks[[#This Row],[_IsLeaf]]=1,Tasks[[#This Row],[_LeafProgress]]&gt;=1),IF(N(Tasks[[#This Row],[Actual Finish]])&gt;0,Tasks[[#This Row],[Actual Finish]],Tasks[[#This Row],[_ShownFcstFinish]]),"")</f>
        <v/>
      </c>
      <c r="GR169" s="43" t="n">
        <f aca="false">IF(Tasks[[#This Row],[_IsLeaf]]=1,N(Tasks[[#This Row],[Story Points]]),0)</f>
        <v>0</v>
      </c>
      <c r="GS169" s="43" t="str">
        <f aca="false">""</f>
        <v/>
      </c>
      <c r="GT169" s="90" t="b">
        <f aca="false">IF(Tasks[[#This Row],[Task Name]]="",FALSE(),AND(Tasks[[#This Row],[_IsLeaf]]=1,N(Tasks[[#This Row],[_Days]])=0))</f>
        <v>0</v>
      </c>
      <c r="GU169" s="91" t="n">
        <f aca="false">IF(Tasks[[#This Row],[Task Name]]="",0,IF(AND(Tasks[[#This Row],[_IsLeaf]]=1,NOT(Tasks[[#This Row],[_IsMilestone]]),N(Tasks[[#This Row],[Progress]])&gt;0),Tasks[[#This Row],[Start]],0))</f>
        <v>0</v>
      </c>
      <c r="GV169" s="91" t="n">
        <f aca="false">IF(Tasks[[#This Row],[_DoneFrom]]=0,0,IF(Tasks[[#This Row],[Progress]]&gt;=1,Tasks[[#This Row],[Finish]],MAX(Tasks[[#This Row],[_DoneFrom]],Tasks[[#This Row],[Start]]+ROUND((Tasks[[#This Row],[Finish]]-Tasks[[#This Row],[Start]]+1)*Tasks[[#This Row],[Progress]],0)-1)))</f>
        <v>0</v>
      </c>
      <c r="GW169" s="91" t="n">
        <f aca="false">IF(Tasks[[#This Row],[Task Name]]="",0,IF(OR(NOT(Tasks[[#This Row],[_IsLeaf]]=1),Tasks[[#This Row],[_IsMilestone]],N(Tasks[[#This Row],[Progress]])&gt;=1),0,IF(Tasks[[#This Row],[_DoneTo]]&gt;0,Tasks[[#This Row],[_DoneTo]]+1,Tasks[[#This Row],[Start]])))</f>
        <v>0</v>
      </c>
      <c r="GX169" s="91" t="n">
        <f aca="false">IF(Tasks[[#This Row],[_RemFrom]]=0,0,Tasks[[#This Row],[Finish]])</f>
        <v>0</v>
      </c>
      <c r="GY169" s="90" t="b">
        <f aca="false">IF(Tasks[[#This Row],[Task Name]]="",FALSE(),OR(NOT(BaselineSet),N(Tasks[[#This Row],[Baseline Start]])&gt;0))</f>
        <v>0</v>
      </c>
      <c r="GZ16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9" s="92" t="str">
        <f aca="false">IF(Tasks[[#This Row],[_IsLeaf]]=1,Tasks[[#This Row],[_Row]],"")</f>
        <v/>
      </c>
      <c r="HD169" s="92" t="str">
        <f aca="false">IFERROR(INDEX(Tasks[UID],SMALL(Tasks[_PickKey],Tasks[[#This Row],[_Row]]))&amp;" "&amp;INDEX(Tasks[Task Name],SMALL(Tasks[_PickKey],Tasks[[#This Row],[_Row]])),"")</f>
        <v/>
      </c>
      <c r="HE169" s="43" t="str">
        <f aca="false">IF(Tasks[[#This Row],[Task Name]]="","",IF(Tasks[[#This Row],[_IsSummary]],NETWORKDAYS.INTL(Tasks[[#This Row],[Start]],Tasks[[#This Row],[Finish]],WorkWeek,Holidays),N(Tasks[[#This Row],[_Days]])))</f>
        <v/>
      </c>
      <c r="HF169" s="43" t="n">
        <f aca="false">IF(Tasks[[#This Row],[Expected]]="",0,((Tasks[[#This Row],[Pessimistic]]-Tasks[[#This Row],[Optimistic]])/6)^2)</f>
        <v>0</v>
      </c>
      <c r="HG169" s="43" t="n">
        <f aca="false">IF(Tasks[[#This Row],[Expected]]="",0,Tasks[[#This Row],[Expected]]-N(Tasks[[#This Row],[_Days]]))</f>
        <v>0</v>
      </c>
    </row>
    <row r="170" customFormat="false" ht="15" hidden="false" customHeight="false" outlineLevel="0" collapsed="false">
      <c r="A170" s="21" t="str">
        <f aca="false">IF(Tasks[[#This Row],[Task Name]]="","",COUNTA(Tasks[[#Headers],[Task Name]]:Tasks[[#This Row],[Task Name]])-1)</f>
        <v/>
      </c>
      <c r="B170" s="22" t="n">
        <v>178</v>
      </c>
      <c r="C170" s="22"/>
      <c r="D170" s="23"/>
      <c r="E170" s="22"/>
      <c r="F170" s="23"/>
      <c r="G170" s="22"/>
      <c r="H170" s="22"/>
      <c r="I170" s="23"/>
      <c r="J170" s="22"/>
      <c r="K170" s="22"/>
      <c r="L170" s="23"/>
      <c r="M170" s="22"/>
      <c r="N170" s="22"/>
      <c r="O170" s="23"/>
      <c r="P170" s="22"/>
      <c r="Q170" s="22"/>
      <c r="R170" s="23"/>
      <c r="S170" s="23"/>
      <c r="T170" s="84"/>
      <c r="U170" s="23"/>
      <c r="V170" s="84"/>
      <c r="W170" s="23"/>
      <c r="X170" s="84"/>
      <c r="Y170" s="23"/>
      <c r="Z170" s="84"/>
      <c r="AA170" s="23"/>
      <c r="AB170" s="23"/>
      <c r="AC170" s="7"/>
      <c r="AD170" s="7"/>
      <c r="AE170" s="63" t="str">
        <f aca="false">IF(Tasks[[#This Row],[Task Name]]="","",IF(Tasks[[#This Row],[_IsSummary]],MIN(INDEX(Tasks[_ShownFcstStart],Tasks[[#This Row],[_Row]]+1):INDEX(Tasks[_ShownFcstStart],Tasks[[#This Row],[_Row]]+Tasks[[#This Row],[_Descendants]])),Tasks[[#This Row],[_ShownFcstStart]]))</f>
        <v/>
      </c>
      <c r="AF170" s="63" t="str">
        <f aca="false">IF(Tasks[[#This Row],[Task Name]]="","",IF(Tasks[[#This Row],[_IsSummary]],MAX(INDEX(Tasks[_ShownFcstFinish],Tasks[[#This Row],[_Row]]+1):INDEX(Tasks[_ShownFcstFinish],Tasks[[#This Row],[_Row]]+Tasks[[#This Row],[_Descendants]])),Tasks[[#This Row],[_ShownFcstFinish]]))</f>
        <v/>
      </c>
      <c r="AG170" s="21" t="str">
        <f aca="false">""</f>
        <v/>
      </c>
      <c r="AH170" s="23"/>
      <c r="AI1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0" s="7"/>
      <c r="AK170" s="22"/>
      <c r="AL170" s="23"/>
      <c r="AM170" s="7"/>
      <c r="AN170" s="47" t="str">
        <f aca="false">IF(Tasks[[#This Row],[Task Name]]="","",IF(Tasks[[#This Row],[Finish]]&gt;=Tasks[[#This Row],[Planned Finish]],NETWORKDAYS.INTL(Tasks[[#This Row],[Planned Finish]],Tasks[[#This Row],[Finish]],WorkWeek,Holidays)-1,1-NETWORKDAYS.INTL(Tasks[[#This Row],[Finish]],Tasks[[#This Row],[Planned Finish]],WorkWeek,Holidays)))</f>
        <v/>
      </c>
      <c r="AO170" s="21" t="str">
        <f aca="false">IF(Tasks[[#This Row],[Task Name]]="","",IF(Tasks[[#This Row],[Progress]]&gt;=1,"Complete",IF(OR(N(Tasks[[#This Row],[Actual Start]])&gt;0,Tasks[[#This Row],[Progress]]&gt;0),IF(Tasks[[#This Row],[Finish Var]]&gt;0,"Behind","In Progress"),IF(Tasks[[#This Row],[Planned Start]]&lt;StatusDate,"Late Start","Not Started"))))</f>
        <v/>
      </c>
      <c r="AP170" s="21" t="str">
        <f aca="false">IF(Tasks[[#This Row],[Task Name]]="","",IF(IF(Tasks[[#This Row],[_IsSummary]],COUNTIF(INDEX(Tasks[_LeafCritical],Tasks[[#This Row],[_Row]]+1):INDEX(Tasks[_LeafCritical],Tasks[[#This Row],[_Row]]+Tasks[[#This Row],[_Descendants]]),TRUE())&gt;0,Tasks[[#This Row],[_LeafCritical]]),"Yes",""))</f>
        <v/>
      </c>
      <c r="AQ170" s="63" t="str">
        <f aca="false">IF(Tasks[[#This Row],[Task Name]]="","",IF(N(Tasks[[#This Row],[Baseline Start]])&gt;0,Tasks[[#This Row],[Baseline Start]],Tasks[[#This Row],[_CalcStart]]))</f>
        <v/>
      </c>
      <c r="AR170" s="63" t="str">
        <f aca="false">IF(Tasks[[#This Row],[Task Name]]="","",IF(N(Tasks[[#This Row],[Baseline Finish]])&gt;0,Tasks[[#This Row],[Baseline Finish]],Tasks[[#This Row],[_CalcFinish]]))</f>
        <v/>
      </c>
      <c r="AS170" s="47" t="str">
        <f aca="false">IF(Tasks[[#This Row],[Task Name]]="","",IF(Tasks[[#This Row],[Start]]&gt;=Tasks[[#This Row],[Planned Start]],NETWORKDAYS.INTL(Tasks[[#This Row],[Planned Start]],Tasks[[#This Row],[Start]],WorkWeek,Holidays)-1,1-NETWORKDAYS.INTL(Tasks[[#This Row],[Start]],Tasks[[#This Row],[Planned Start]],WorkWeek,Holidays)))</f>
        <v/>
      </c>
      <c r="AT170" s="63" t="str">
        <f aca="false">IF(Tasks[[#This Row],[Task Name]]="","",IF(Tasks[[#This Row],[_IsSummary]],MIN(INDEX(Tasks[_LeafLateStart],Tasks[[#This Row],[_Row]]+1):INDEX(Tasks[_LeafLateStart],Tasks[[#This Row],[_Row]]+Tasks[[#This Row],[_Descendants]])),Tasks[[#This Row],[_LeafLateStart]]))</f>
        <v/>
      </c>
      <c r="AU170" s="63" t="str">
        <f aca="false">IF(Tasks[[#This Row],[Task Name]]="","",IF(Tasks[[#This Row],[_IsSummary]],MAX(INDEX(Tasks[_LeafLateFinish],Tasks[[#This Row],[_Row]]+1):INDEX(Tasks[_LeafLateFinish],Tasks[[#This Row],[_Row]]+Tasks[[#This Row],[_Descendants]])),Tasks[[#This Row],[_LeafLateFinish]]))</f>
        <v/>
      </c>
      <c r="AV170" s="47" t="str">
        <f aca="false">IF(Tasks[[#This Row],[Task Name]]="","",IF(Tasks[[#This Row],[_IsSummary]],MIN(INDEX(Tasks[_LeafTotalSlack],Tasks[[#This Row],[_Row]]+1):INDEX(Tasks[_LeafTotalSlack],Tasks[[#This Row],[_Row]]+Tasks[[#This Row],[_Descendants]])),Tasks[[#This Row],[_LeafTotalSlack]]))</f>
        <v/>
      </c>
      <c r="AW1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5"/>
      <c r="BA17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1" t="str">
        <f aca="false">IF(Tasks[[#This Row],[Task Name]]="","",IF(Tasks[[#This Row],[_Level]]&lt;=OutlineShowLevel,"Yes","No"))</f>
        <v/>
      </c>
      <c r="BE170" s="86" t="str">
        <f aca="false">IF(Tasks[[#This Row],[Task Name]]="","",IF(Tasks[[#This Row],[_IsSummary]],SUM(INDEX(Tasks[_LeafTotalWork],Tasks[[#This Row],[_Row]]+1):INDEX(Tasks[_LeafTotalWork],Tasks[[#This Row],[_Row]]+Tasks[[#This Row],[_Descendants]])),Tasks[[#This Row],[_LeafTotalWork]]))</f>
        <v/>
      </c>
      <c r="BF170" s="23"/>
      <c r="BG1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0" s="21" t="str">
        <f aca="false">""</f>
        <v/>
      </c>
      <c r="BI170" s="87"/>
      <c r="BJ170" s="22"/>
      <c r="BK170" s="47" t="str">
        <f aca="false">IF(OR(Tasks[[#This Row],[Task Name]]="",Tasks[[#This Row],[Baseline Duration]]=""),"",Tasks[[#This Row],[_SpanDays]]-N(Tasks[[#This Row],[Baseline Duration]]))</f>
        <v/>
      </c>
      <c r="BL170" s="86" t="str">
        <f aca="false">IF(OR(Tasks[[#This Row],[Task Name]]="",Tasks[[#This Row],[Baseline Work]]=""),"",Tasks[[#This Row],[Work]]-N(Tasks[[#This Row],[Baseline Work]]))</f>
        <v/>
      </c>
      <c r="BM170" s="63" t="str">
        <f aca="false">IF(Tasks[[#This Row],[Task Name]]="","",IF(OR(TakeBaseline="Yes",N(Tasks[[#This Row],[Baseline Start]])=0),Tasks[[#This Row],[Start]],Tasks[[#This Row],[Baseline Start]]))</f>
        <v/>
      </c>
      <c r="BN170" s="63" t="str">
        <f aca="false">IF(Tasks[[#This Row],[Task Name]]="","",IF(OR(TakeBaseline="Yes",N(Tasks[[#This Row],[Baseline Finish]])=0),Tasks[[#This Row],[Finish]],Tasks[[#This Row],[Baseline Finish]]))</f>
        <v/>
      </c>
      <c r="BO170" s="21" t="str">
        <f aca="false">IF(Tasks[[#This Row],[Task Name]]="","",IF(OR(TakeBaseline="Yes",N(Tasks[[#This Row],[Baseline Duration]])=0),Tasks[[#This Row],[_SpanDays]],Tasks[[#This Row],[Baseline Duration]]))</f>
        <v/>
      </c>
      <c r="BP170" s="86" t="str">
        <f aca="false">IF(Tasks[[#This Row],[Task Name]]="","",IF(OR(TakeBaseline="Yes",N(Tasks[[#This Row],[Baseline Work]])=0),Tasks[[#This Row],[Work]],Tasks[[#This Row],[Baseline Work]]))</f>
        <v/>
      </c>
      <c r="BQ170" s="7"/>
      <c r="BR170" s="7"/>
      <c r="BS170" s="22"/>
      <c r="BT170" s="88"/>
      <c r="BU170" s="23"/>
      <c r="BV170" s="23"/>
      <c r="BW170" s="23"/>
      <c r="BX170" s="89" t="str">
        <f aca="false">IF(AND(Tasks[[#This Row],[_IsLeaf]]=1,ISNUMBER(Tasks[[#This Row],[Optimistic]]),ISNUMBER(Tasks[[#This Row],[Pessimistic]])),ROUND((Tasks[[#This Row],[Optimistic]]+4*N(Tasks[[#This Row],[_Days]])+Tasks[[#This Row],[Pessimistic]])/6,1),"")</f>
        <v/>
      </c>
      <c r="BY170" s="87"/>
      <c r="BZ170" s="87"/>
      <c r="CA170" s="22"/>
      <c r="CB170" s="43" t="str">
        <f aca="false">IF(Tasks[[#This Row],[Task Name]]="","",MAX(1,N(Tasks[[#This Row],[Level]])))</f>
        <v/>
      </c>
      <c r="CC170" s="43" t="n">
        <f aca="false">ROW()-ROW(Tasks[[#Headers],[ID]])</f>
        <v>165</v>
      </c>
      <c r="CD170" s="43" t="n">
        <f aca="false">IF(OR(Tasks[[#This Row],[Task Name]]="",Tasks[[#This Row],[_Level]]&lt;=1),0,IFERROR(LOOKUP(2,1/(Tasks[[#Headers],[_Level]]:Tasks[[#This Row],[_Level]]=Tasks[[#This Row],[_Level]]-1),ROW(Tasks[[#Headers],[_Level]]:Tasks[[#This Row],[_Level]])),0))</f>
        <v>0</v>
      </c>
      <c r="CE170" s="43" t="n">
        <f aca="false">IFERROR(N(INDEX(Tasks[_Level],Tasks[[#This Row],[_Row]]+1)),0)</f>
        <v>0</v>
      </c>
      <c r="CF170" s="90" t="b">
        <f aca="false">AND(Tasks[[#This Row],[Task Name]]&lt;&gt;"",Tasks[[#This Row],[_NextLevel]]&gt;Tasks[[#This Row],[_Level]])</f>
        <v>0</v>
      </c>
      <c r="CG170" s="43" t="n">
        <f aca="false">IF(Tasks[[#This Row],[_IsSummary]],COUNTIF(Tasks[WBS],Tasks[[#This Row],[WBS]]&amp;".*"),0)</f>
        <v>0</v>
      </c>
      <c r="CH170" s="43" t="n">
        <f aca="false">IF(AND(Tasks[[#This Row],[Task Name]]&lt;&gt;"",NOT(Tasks[[#This Row],[_IsSummary]])),1,0)</f>
        <v>0</v>
      </c>
      <c r="CI170" s="43" t="n">
        <f aca="false">IF(N(Tasks[[#This Row],[_Pred1UID]])=0,0,IFERROR(MATCH(Tasks[[#This Row],[_Pred1UID]],Tasks[UID],0),-1))</f>
        <v>0</v>
      </c>
      <c r="CJ170" s="43" t="n">
        <f aca="false">IF(N(Tasks[[#This Row],[_Pred2UID]])=0,0,IFERROR(MATCH(Tasks[[#This Row],[_Pred2UID]],Tasks[UID],0),-1))</f>
        <v>0</v>
      </c>
      <c r="CK170" s="43" t="n">
        <f aca="false">IF(N(Tasks[[#This Row],[_Pred3UID]])=0,0,IFERROR(MATCH(Tasks[[#This Row],[_Pred3UID]],Tasks[UID],0),-1))</f>
        <v>0</v>
      </c>
      <c r="CL170" s="43" t="n">
        <f aca="false">IF(N(Tasks[[#This Row],[_Pred4UID]])=0,0,IFERROR(MATCH(Tasks[[#This Row],[_Pred4UID]],Tasks[UID],0),-1))</f>
        <v>0</v>
      </c>
      <c r="CM17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0" s="91" t="n">
        <f aca="false">IF(OR(Tasks[[#This Row],[_ConstraintCode]]=2,Tasks[[#This Row],[_ConstraintCode]]=3,Tasks[[#This Row],[_ConstraintCode]]=4,Tasks[[#This Row],[_ConstraintCode]]=6),Tasks[[#This Row],[_ConstraintStart]],0)</f>
        <v>0</v>
      </c>
      <c r="CP170" s="91" t="n">
        <f aca="false">IF(OR(Tasks[[#This Row],[_ConstraintCode]]=2,Tasks[[#This Row],[_ConstraintCode]]=3,Tasks[[#This Row],[_ConstraintCode]]=5,Tasks[[#This Row],[_ConstraintCode]]=7),Tasks[[#This Row],[_ConstraintStart]],2958465)</f>
        <v>2958465</v>
      </c>
      <c r="CQ17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0" s="91" t="str">
        <f aca="false">IF(NOT(Tasks[[#This Row],[_IsLeaf]]=1),"",IF(N(Tasks[[#This Row],[_Days]])&lt;=0,Tasks[[#This Row],[_LeafCalcStart]],WORKDAY.INTL(Tasks[[#This Row],[_LeafCalcStart]],Tasks[[#This Row],[_Days]]-1,WorkWeek,Holidays)))</f>
        <v/>
      </c>
      <c r="CS17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0" s="43" t="str">
        <f aca="false">IF(Tasks[[#This Row],[_Predecessors]]="","",TRIM(MID(SUBSTITUTE(SUBSTITUTE(SUBSTITUTE(UPPER(Tasks[[#This Row],[_Predecessors]]),";",",")," ",""),",",REPT(" ",99)),1,99)))</f>
        <v/>
      </c>
      <c r="CV170" s="43" t="str">
        <f aca="false">IF(Tasks[[#This Row],[_Pred1Text]]="","",IFERROR(VALUE(LEFT(Tasks[[#This Row],[_Pred1Text]],MIN(FIND("F",Tasks[[#This Row],[_Pred1Text]]&amp;"F"),FIND("S",Tasks[[#This Row],[_Pred1Text]]&amp;"S"),FIND("+",Tasks[[#This Row],[_Pred1Text]]&amp;"+"),FIND("-",Tasks[[#This Row],[_Pred1Text]]&amp;"-"))-1)),""))</f>
        <v/>
      </c>
      <c r="CW17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0" s="43" t="str">
        <f aca="false">IF(Tasks[[#This Row],[_Pred1Text]]="","",TRIM(MID(SUBSTITUTE(SUBSTITUTE(SUBSTITUTE(UPPER(Tasks[[#This Row],[_Predecessors]]),";",",")," ",""),",",REPT(" ",99)),100,99)))</f>
        <v/>
      </c>
      <c r="CZ170" s="43" t="str">
        <f aca="false">IF(Tasks[[#This Row],[_Pred2Text]]="","",IFERROR(VALUE(LEFT(Tasks[[#This Row],[_Pred2Text]],MIN(FIND("F",Tasks[[#This Row],[_Pred2Text]]&amp;"F"),FIND("S",Tasks[[#This Row],[_Pred2Text]]&amp;"S"),FIND("+",Tasks[[#This Row],[_Pred2Text]]&amp;"+"),FIND("-",Tasks[[#This Row],[_Pred2Text]]&amp;"-"))-1)),""))</f>
        <v/>
      </c>
      <c r="DA17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0" s="43" t="str">
        <f aca="false">IF(Tasks[[#This Row],[_Pred2Text]]="","",TRIM(MID(SUBSTITUTE(SUBSTITUTE(SUBSTITUTE(UPPER(Tasks[[#This Row],[_Predecessors]]),";",",")," ",""),",",REPT(" ",99)),199,99)))</f>
        <v/>
      </c>
      <c r="DD170" s="43" t="str">
        <f aca="false">IF(Tasks[[#This Row],[_Pred3Text]]="","",IFERROR(VALUE(LEFT(Tasks[[#This Row],[_Pred3Text]],MIN(FIND("F",Tasks[[#This Row],[_Pred3Text]]&amp;"F"),FIND("S",Tasks[[#This Row],[_Pred3Text]]&amp;"S"),FIND("+",Tasks[[#This Row],[_Pred3Text]]&amp;"+"),FIND("-",Tasks[[#This Row],[_Pred3Text]]&amp;"-"))-1)),""))</f>
        <v/>
      </c>
      <c r="DE17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0" s="43" t="str">
        <f aca="false">IF(Tasks[[#This Row],[_Pred3Text]]="","",TRIM(MID(SUBSTITUTE(SUBSTITUTE(SUBSTITUTE(UPPER(Tasks[[#This Row],[_Predecessors]]),";",",")," ",""),",",REPT(" ",99)),298,99)))</f>
        <v/>
      </c>
      <c r="DH170" s="43" t="str">
        <f aca="false">IF(Tasks[[#This Row],[_Pred4Text]]="","",IFERROR(VALUE(LEFT(Tasks[[#This Row],[_Pred4Text]],MIN(FIND("F",Tasks[[#This Row],[_Pred4Text]]&amp;"F"),FIND("S",Tasks[[#This Row],[_Pred4Text]]&amp;"S"),FIND("+",Tasks[[#This Row],[_Pred4Text]]&amp;"+"),FIND("-",Tasks[[#This Row],[_Pred4Text]]&amp;"-"))-1)),""))</f>
        <v/>
      </c>
      <c r="DI17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0" s="43" t="str">
        <f aca="false">IF(OR(Tasks[[#This Row],[Task Name]]="",Tasks[[#This Row],[_Resources]]=""),"",TRIM(MID(SUBSTITUTE(Tasks[[#This Row],[_Resources]],",",REPT(" ",99)),1,99)))</f>
        <v/>
      </c>
      <c r="DL170" s="43" t="str">
        <f aca="false">IF(Tasks[[#This Row],[_Res1Text]]="","",TRIM(MID(SUBSTITUTE(Tasks[[#This Row],[_Resources]],",",REPT(" ",99)),100,99)))</f>
        <v/>
      </c>
      <c r="DM170" s="43" t="str">
        <f aca="false">IF(Tasks[[#This Row],[_Res2Text]]="","",TRIM(MID(SUBSTITUTE(Tasks[[#This Row],[_Resources]],",",REPT(" ",99)),199,99)))</f>
        <v/>
      </c>
      <c r="DN170" s="43" t="str">
        <f aca="false">IF(Tasks[[#This Row],[_Res3Text]]="","",TRIM(MID(SUBSTITUTE(Tasks[[#This Row],[_Resources]],",",REPT(" ",99)),298,99)))</f>
        <v/>
      </c>
      <c r="DO170" s="43" t="n">
        <f aca="false">IF(Tasks[[#This Row],[_Res1Text]]="",0,IFERROR(MATCH(TRIM(LEFT(Tasks[[#This Row],[_Res1Text]],FIND("[",Tasks[[#This Row],[_Res1Text]]&amp;"[")-1)),res_Name,0),IFERROR(MATCH(TRIM(LEFT(Tasks[[#This Row],[_Res1Text]],FIND("[",Tasks[[#This Row],[_Res1Text]]&amp;"[")-1)),res_Initials,0),0)))</f>
        <v>0</v>
      </c>
      <c r="DP170" s="43" t="n">
        <f aca="false">IF(Tasks[[#This Row],[_Res2Text]]="",0,IFERROR(MATCH(TRIM(LEFT(Tasks[[#This Row],[_Res2Text]],FIND("[",Tasks[[#This Row],[_Res2Text]]&amp;"[")-1)),res_Name,0),IFERROR(MATCH(TRIM(LEFT(Tasks[[#This Row],[_Res2Text]],FIND("[",Tasks[[#This Row],[_Res2Text]]&amp;"[")-1)),res_Initials,0),0)))</f>
        <v>0</v>
      </c>
      <c r="DQ170" s="43" t="n">
        <f aca="false">IF(Tasks[[#This Row],[_Res3Text]]="",0,IFERROR(MATCH(TRIM(LEFT(Tasks[[#This Row],[_Res3Text]],FIND("[",Tasks[[#This Row],[_Res3Text]]&amp;"[")-1)),res_Name,0),IFERROR(MATCH(TRIM(LEFT(Tasks[[#This Row],[_Res3Text]],FIND("[",Tasks[[#This Row],[_Res3Text]]&amp;"[")-1)),res_Initials,0),0)))</f>
        <v>0</v>
      </c>
      <c r="DR170" s="43" t="n">
        <f aca="false">IF(Tasks[[#This Row],[_Res4Text]]="",0,IFERROR(MATCH(TRIM(LEFT(Tasks[[#This Row],[_Res4Text]],FIND("[",Tasks[[#This Row],[_Res4Text]]&amp;"[")-1)),res_Name,0),IFERROR(MATCH(TRIM(LEFT(Tasks[[#This Row],[_Res4Text]],FIND("[",Tasks[[#This Row],[_Res4Text]]&amp;"[")-1)),res_Initials,0),0)))</f>
        <v>0</v>
      </c>
      <c r="DS170" s="43" t="str">
        <f aca="false">IF(Tasks[[#This Row],[_Res1Text]]="","",IF(Tasks[[#This Row],[_Res1Row]]&gt;0,INDEX(res_Name,Tasks[[#This Row],[_Res1Row]]),TRIM(LEFT(Tasks[[#This Row],[_Res1Text]],FIND("[",Tasks[[#This Row],[_Res1Text]]&amp;"[")-1))))</f>
        <v/>
      </c>
      <c r="DT17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0" s="43" t="n">
        <f aca="false">IF(NOT(Tasks[[#This Row],[_IsLeaf]]=1),0,(Tasks[[#This Row],[_Resource1]]&lt;&gt;"")+(Tasks[[#This Row],[_Res2]]&lt;&gt;"")+(Tasks[[#This Row],[_Res3]]&lt;&gt;"")+(Tasks[[#This Row],[_Res4]]&lt;&gt;""))</f>
        <v>0</v>
      </c>
      <c r="DV170" s="43" t="str">
        <f aca="false">IF(Tasks[[#This Row],[_Res2Text]]="","",IF(Tasks[[#This Row],[_Res2Row]]&gt;0,INDEX(res_Name,Tasks[[#This Row],[_Res2Row]]),TRIM(LEFT(Tasks[[#This Row],[_Res2Text]],FIND("[",Tasks[[#This Row],[_Res2Text]]&amp;"[")-1))))</f>
        <v/>
      </c>
      <c r="DW17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0" s="43" t="n">
        <f aca="false">IF(OR(NOT(Tasks[[#This Row],[_IsLeaf]]=1),Tasks[[#This Row],[_Res2Row]]=0),0,N(Tasks[[#This Row],[_Days]])*HoursPerDay*IF(Tasks[[#This Row],[_Res2Units]]="",DefaultUnits,Tasks[[#This Row],[_Res2Units]]))</f>
        <v>0</v>
      </c>
      <c r="DY170" s="43" t="n">
        <f aca="false">IF(AND(AND(Tasks[[#This Row],[_IsLeaf]]=1,Tasks[[#This Row],[_LeafTotalWork]]&gt;0),Tasks[[#This Row],[_Res2Work]]&gt;0),Tasks[[#This Row],[_Res2Work]]/(Tasks[[#This Row],[_FinishWorkday]]-Tasks[[#This Row],[_StartWorkday]]+1),0)</f>
        <v>0</v>
      </c>
      <c r="DZ170" s="43" t="n">
        <f aca="false">Tasks[[#This Row],[_Res2WorkPerWD]]*MAX(0,Tasks[[#This Row],[_StartWorkday]]-1)</f>
        <v>0</v>
      </c>
      <c r="EA170" s="43" t="n">
        <f aca="false">Tasks[[#This Row],[_Res2Work]]*Tasks[[#This Row],[_LeafProgress]]</f>
        <v>0</v>
      </c>
      <c r="EB170" s="43" t="str">
        <f aca="false">IF(Tasks[[#This Row],[_Res3Text]]="","",IF(Tasks[[#This Row],[_Res3Row]]&gt;0,INDEX(res_Name,Tasks[[#This Row],[_Res3Row]]),TRIM(LEFT(Tasks[[#This Row],[_Res3Text]],FIND("[",Tasks[[#This Row],[_Res3Text]]&amp;"[")-1))))</f>
        <v/>
      </c>
      <c r="EC17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0" s="43" t="n">
        <f aca="false">IF(OR(NOT(Tasks[[#This Row],[_IsLeaf]]=1),Tasks[[#This Row],[_Res3Row]]=0),0,N(Tasks[[#This Row],[_Days]])*HoursPerDay*IF(Tasks[[#This Row],[_Res3Units]]="",DefaultUnits,Tasks[[#This Row],[_Res3Units]]))</f>
        <v>0</v>
      </c>
      <c r="EE170" s="43" t="n">
        <f aca="false">IF(AND(AND(Tasks[[#This Row],[_IsLeaf]]=1,Tasks[[#This Row],[_LeafTotalWork]]&gt;0),Tasks[[#This Row],[_Res3Work]]&gt;0),Tasks[[#This Row],[_Res3Work]]/(Tasks[[#This Row],[_FinishWorkday]]-Tasks[[#This Row],[_StartWorkday]]+1),0)</f>
        <v>0</v>
      </c>
      <c r="EF170" s="43" t="n">
        <f aca="false">Tasks[[#This Row],[_Res3WorkPerWD]]*MAX(0,Tasks[[#This Row],[_StartWorkday]]-1)</f>
        <v>0</v>
      </c>
      <c r="EG170" s="43" t="n">
        <f aca="false">Tasks[[#This Row],[_Res3Work]]*Tasks[[#This Row],[_LeafProgress]]</f>
        <v>0</v>
      </c>
      <c r="EH170" s="43" t="str">
        <f aca="false">IF(Tasks[[#This Row],[_Res4Text]]="","",IF(Tasks[[#This Row],[_Res4Row]]&gt;0,INDEX(res_Name,Tasks[[#This Row],[_Res4Row]]),TRIM(LEFT(Tasks[[#This Row],[_Res4Text]],FIND("[",Tasks[[#This Row],[_Res4Text]]&amp;"[")-1))))</f>
        <v/>
      </c>
      <c r="EI17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0" s="43" t="n">
        <f aca="false">IF(OR(NOT(Tasks[[#This Row],[_IsLeaf]]=1),Tasks[[#This Row],[_Res4Row]]=0),0,N(Tasks[[#This Row],[_Days]])*HoursPerDay*IF(Tasks[[#This Row],[_Res4Units]]="",DefaultUnits,Tasks[[#This Row],[_Res4Units]]))</f>
        <v>0</v>
      </c>
      <c r="EK170" s="43" t="n">
        <f aca="false">IF(AND(AND(Tasks[[#This Row],[_IsLeaf]]=1,Tasks[[#This Row],[_LeafTotalWork]]&gt;0),Tasks[[#This Row],[_Res4Work]]&gt;0),Tasks[[#This Row],[_Res4Work]]/(Tasks[[#This Row],[_FinishWorkday]]-Tasks[[#This Row],[_StartWorkday]]+1),0)</f>
        <v>0</v>
      </c>
      <c r="EL170" s="43" t="n">
        <f aca="false">Tasks[[#This Row],[_Res4WorkPerWD]]*MAX(0,Tasks[[#This Row],[_StartWorkday]]-1)</f>
        <v>0</v>
      </c>
      <c r="EM170" s="43" t="n">
        <f aca="false">Tasks[[#This Row],[_Res4Work]]*Tasks[[#This Row],[_LeafProgress]]</f>
        <v>0</v>
      </c>
      <c r="EN170" s="43" t="n">
        <f aca="false">IF(ISNUMBER(Tasks[[#This Row],[% Complete]]),Tasks[[#This Row],[% Complete]],IF(Tasks[[#This Row],[Stage]]="",0,IFERROR(INDEX(stg_Pct,MATCH(Tasks[[#This Row],[Stage]],stg_Name,0)),0)))</f>
        <v>0</v>
      </c>
      <c r="EO170" s="43" t="n">
        <f aca="false">IF(NOT(Tasks[[#This Row],[_IsLeaf]]=1),0,IF(N(Tasks[[#This Row],[Actual Finish]])&gt;0,1,MIN(1,Tasks[[#This Row],[_Pct]])))</f>
        <v>0</v>
      </c>
      <c r="EP170" s="43" t="n">
        <f aca="false">IF(OR(NOT(Tasks[[#This Row],[_IsLeaf]]=1),Tasks[[#This Row],[_Res1Row]]=0),0,N(Tasks[[#This Row],[_Days]])*HoursPerDay*IF(Tasks[[#This Row],[_Units1]]="",DefaultUnits,Tasks[[#This Row],[_Units1]]))</f>
        <v>0</v>
      </c>
      <c r="EQ170" s="43" t="n">
        <f aca="false">Tasks[[#This Row],[_LeafWork]]+Tasks[[#This Row],[_Res2Work]]+Tasks[[#This Row],[_Res3Work]]+Tasks[[#This Row],[_Res4Work]]</f>
        <v>0</v>
      </c>
      <c r="ER17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0" s="43" t="n">
        <f aca="false">IF(NOT(Tasks[[#This Row],[_IsLeaf]]=1),0,MAX(_xlfn.MAXIFS(Tasks[_Row],Tasks[_Pred1UID],Tasks[[#This Row],[UID]]),_xlfn.MAXIFS(Tasks[_Row],Tasks[_Pred2UID],Tasks[[#This Row],[UID]]),_xlfn.MAXIFS(Tasks[_Row],Tasks[_Pred3UID],Tasks[[#This Row],[UID]]),_xlfn.MAXIFS(Tasks[_Row],Tasks[_Pred4UID],Tasks[[#This Row],[UID]])))</f>
        <v>0</v>
      </c>
      <c r="FA17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0" s="91" t="str">
        <f aca="false">IF(NOT(Tasks[[#This Row],[_IsLeaf]]=1),"",IF(N(Tasks[[#This Row],[_Days]])&lt;=0,Tasks[[#This Row],[_LeafLateFinish]],WORKDAY.INTL(Tasks[[#This Row],[_LeafLateFinish]],-(Tasks[[#This Row],[_Days]]-1),WorkWeek,Holidays)))</f>
        <v/>
      </c>
      <c r="FD17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0" s="90" t="b">
        <f aca="false">AND(Tasks[[#This Row],[_IsLeaf]]=1,Tasks[[#This Row],[_LeafProgress]]&lt;1,N(Tasks[[#This Row],[_LeafTotalSlack]])&lt;=CriticalSlackDays)</f>
        <v>0</v>
      </c>
      <c r="FF170" s="43" t="n">
        <f aca="false">IF(AND(Tasks[[#This Row],[_IsLeaf]]=1,Tasks[[#This Row],[_ConstraintCode]]=1,Tasks[[#This Row],[Mode]]&lt;&gt;"Manual",N(Tasks[[#This Row],[Actual Start]])=0),MAX(0,N(Tasks[[#This Row],[Free Slack]])),0)</f>
        <v>0</v>
      </c>
      <c r="FG170" s="91" t="str">
        <f aca="false">IF(NOT(Tasks[[#This Row],[_IsLeaf]]=1),"",IF(Tasks[[#This Row],[_AlapShift]]=0,Tasks[[#This Row],[_LeafCalcStart]],WORKDAY.INTL(Tasks[[#This Row],[_LeafCalcStart]],Tasks[[#This Row],[_AlapShift]],WorkWeek,Holidays)))</f>
        <v/>
      </c>
      <c r="FH170" s="91" t="str">
        <f aca="false">IF(NOT(Tasks[[#This Row],[_IsLeaf]]=1),"",IF(Tasks[[#This Row],[_AlapShift]]=0,Tasks[[#This Row],[_LeafCalcFinish]],WORKDAY.INTL(Tasks[[#This Row],[_LeafCalcFinish]],Tasks[[#This Row],[_AlapShift]],WorkWeek,Holidays)))</f>
        <v/>
      </c>
      <c r="FI170" s="91" t="str">
        <f aca="false">IF(NOT(Tasks[[#This Row],[_IsLeaf]]=1),"",IF(Tasks[[#This Row],[_AlapShift]]=0,Tasks[[#This Row],[_LeafFcstStart]],WORKDAY.INTL(Tasks[[#This Row],[_LeafFcstStart]],Tasks[[#This Row],[_AlapShift]],WorkWeek,Holidays)))</f>
        <v/>
      </c>
      <c r="FJ170" s="91" t="str">
        <f aca="false">IF(NOT(Tasks[[#This Row],[_IsLeaf]]=1),"",IF(Tasks[[#This Row],[_AlapShift]]=0,Tasks[[#This Row],[_LeafFcstFinish]],WORKDAY.INTL(Tasks[[#This Row],[_LeafFcstFinish]],Tasks[[#This Row],[_AlapShift]],WorkWeek,Holidays)))</f>
        <v/>
      </c>
      <c r="FK170" s="91" t="str">
        <f aca="false">IF(Tasks[[#This Row],[Task Name]]="","",IF(Tasks[[#This Row],[_IsSummary]],MIN(INDEX(Tasks[_ShownCalcStart],Tasks[[#This Row],[_Row]]+1):INDEX(Tasks[_ShownCalcStart],Tasks[[#This Row],[_Row]]+Tasks[[#This Row],[_Descendants]])),Tasks[[#This Row],[_ShownCalcStart]]))</f>
        <v/>
      </c>
      <c r="FL170" s="91" t="str">
        <f aca="false">IF(Tasks[[#This Row],[Task Name]]="","",IF(Tasks[[#This Row],[_IsSummary]],MAX(INDEX(Tasks[_ShownCalcFinish],Tasks[[#This Row],[_Row]]+1):INDEX(Tasks[_ShownCalcFinish],Tasks[[#This Row],[_Row]]+Tasks[[#This Row],[_Descendants]])),Tasks[[#This Row],[_ShownCalcFinish]]))</f>
        <v/>
      </c>
      <c r="FM17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0" s="43" t="n">
        <f aca="false">IF(AND(Tasks[[#This Row],[_IsLeaf]]=1,Tasks[[#This Row],[_LeafTotalWork]]&gt;0),NETWORKDAYS.INTL(ProjectStart,Tasks[[#This Row],[_ShownFcstStart]],WorkWeek,Holidays),0)</f>
        <v>0</v>
      </c>
      <c r="FZ170" s="43" t="n">
        <f aca="false">IF(AND(Tasks[[#This Row],[_IsLeaf]]=1,Tasks[[#This Row],[_LeafTotalWork]]&gt;0),MAX(Tasks[[#This Row],[_StartWorkday]],NETWORKDAYS.INTL(ProjectStart,Tasks[[#This Row],[_ShownFcstFinish]],WorkWeek,Holidays)),0)</f>
        <v>0</v>
      </c>
      <c r="GA170" s="43" t="n">
        <f aca="false">IF(AND(Tasks[[#This Row],[_IsLeaf]]=1,Tasks[[#This Row],[_LeafTotalWork]]&gt;0),Tasks[[#This Row],[_LeafWork]]/(Tasks[[#This Row],[_FinishWorkday]]-Tasks[[#This Row],[_StartWorkday]]+1),0)</f>
        <v>0</v>
      </c>
      <c r="GB170" s="43" t="n">
        <f aca="false">Tasks[[#This Row],[_WorkPerWorkday]]*(Tasks[[#This Row],[_StartWorkday]]-1)</f>
        <v>-0</v>
      </c>
      <c r="GC170" s="43" t="n">
        <f aca="false">IF(Tasks[[#This Row],[_IsLeaf]]=1,MAX(N(Tasks[[#This Row],[_Days]]),0.1),0)</f>
        <v>0</v>
      </c>
      <c r="GD170" s="43" t="n">
        <f aca="false">Tasks[[#This Row],[_WeightDur]]*Tasks[[#This Row],[_LeafProgress]]</f>
        <v>0</v>
      </c>
      <c r="GE170" s="43" t="n">
        <f aca="false">Tasks[[#This Row],[_WeightDur]]*Tasks[[#This Row],[_PlannedPct]]</f>
        <v>0</v>
      </c>
      <c r="GF17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0" s="43" t="str">
        <f aca="false">IF(AND(Tasks[[#This Row],[_IsLeaf]]=1,N(Tasks[[#This Row],[_Days]])=0,Tasks[[#This Row],[_LeafProgress]]&lt;1),Tasks[[#This Row],[_ShownFcstFinish]]+Tasks[[#This Row],[_Row]]/100000,"")</f>
        <v/>
      </c>
      <c r="GH17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0" s="43" t="str">
        <f aca="false">IF(Tasks[[#This Row],[Task Name]]="","",LEFT(Tasks[[#This Row],[WBS]],FIND(".",Tasks[[#This Row],[WBS]]&amp;".")-1))</f>
        <v/>
      </c>
      <c r="GJ170" s="43" t="str">
        <f aca="false">IF(AND(Tasks[[#This Row],[Task Name]]&lt;&gt;"",Tasks[[#This Row],[_Level]]=1),Tasks[[#This Row],[_Row]],"")</f>
        <v/>
      </c>
      <c r="GK170" s="43" t="str">
        <f aca="false">IF(AND(Tasks[[#This Row],[_IsLeaf]]=1,N(Tasks[[#This Row],[_Days]])=0),Tasks[[#This Row],[Planned Finish]]+Tasks[[#This Row],[_Row]]/100000,"")</f>
        <v/>
      </c>
      <c r="GL170" s="43" t="str">
        <f aca="false">IF(AND(Tasks[[#This Row],[_IsLeaf]]=1,Tasks[[#This Row],[_LeafProgress]]&lt;1,OR(N(Tasks[[#This Row],[Finish Var]])&gt;0,Tasks[[#This Row],[Status]]="Late Start")),MAX(0,Tasks[[#This Row],[Finish Var]])+1-Tasks[[#This Row],[_Row]]/1000000,"")</f>
        <v/>
      </c>
      <c r="GM170" s="43" t="str">
        <f aca="false">IF(AND(Tasks[[#This Row],[_IsLeaf]]=1,N(Tasks[[#This Row],[Actual Start]])=0,Tasks[[#This Row],[_ShownFcstStart]]&gt;=StatusDate,Tasks[[#This Row],[_ShownFcstStart]]&lt;=LookaheadEnd),Tasks[[#This Row],[_ShownFcstStart]]+Tasks[[#This Row],[_Row]]/100000,"")</f>
        <v/>
      </c>
      <c r="GN170" s="43" t="str">
        <f aca="false">IF(AND(Tasks[[#This Row],[_IsLeaf]]=1,Tasks[[#This Row],[_LeafProgress]]&lt;1,Tasks[[#This Row],[_ShownFcstFinish]]&gt;=StatusDate,Tasks[[#This Row],[_ShownFcstFinish]]&lt;=LookaheadEnd),Tasks[[#This Row],[_ShownFcstFinish]]+Tasks[[#This Row],[_Row]]/100000,"")</f>
        <v/>
      </c>
      <c r="GO170" s="43" t="str">
        <f aca="false">IF(Tasks[[#This Row],[_LeafCritical]],Tasks[[#This Row],[_ShownFcstStart]]+Tasks[[#This Row],[_Row]]/100000,"")</f>
        <v/>
      </c>
      <c r="GP170" s="43" t="n">
        <f aca="false">Tasks[[#This Row],[_LeafWork]]*Tasks[[#This Row],[_LeafProgress]]</f>
        <v>0</v>
      </c>
      <c r="GQ170" s="91" t="str">
        <f aca="false">IF(AND(Tasks[[#This Row],[_IsLeaf]]=1,Tasks[[#This Row],[_LeafProgress]]&gt;=1),IF(N(Tasks[[#This Row],[Actual Finish]])&gt;0,Tasks[[#This Row],[Actual Finish]],Tasks[[#This Row],[_ShownFcstFinish]]),"")</f>
        <v/>
      </c>
      <c r="GR170" s="43" t="n">
        <f aca="false">IF(Tasks[[#This Row],[_IsLeaf]]=1,N(Tasks[[#This Row],[Story Points]]),0)</f>
        <v>0</v>
      </c>
      <c r="GS170" s="43" t="str">
        <f aca="false">""</f>
        <v/>
      </c>
      <c r="GT170" s="90" t="b">
        <f aca="false">IF(Tasks[[#This Row],[Task Name]]="",FALSE(),AND(Tasks[[#This Row],[_IsLeaf]]=1,N(Tasks[[#This Row],[_Days]])=0))</f>
        <v>0</v>
      </c>
      <c r="GU170" s="91" t="n">
        <f aca="false">IF(Tasks[[#This Row],[Task Name]]="",0,IF(AND(Tasks[[#This Row],[_IsLeaf]]=1,NOT(Tasks[[#This Row],[_IsMilestone]]),N(Tasks[[#This Row],[Progress]])&gt;0),Tasks[[#This Row],[Start]],0))</f>
        <v>0</v>
      </c>
      <c r="GV170" s="91" t="n">
        <f aca="false">IF(Tasks[[#This Row],[_DoneFrom]]=0,0,IF(Tasks[[#This Row],[Progress]]&gt;=1,Tasks[[#This Row],[Finish]],MAX(Tasks[[#This Row],[_DoneFrom]],Tasks[[#This Row],[Start]]+ROUND((Tasks[[#This Row],[Finish]]-Tasks[[#This Row],[Start]]+1)*Tasks[[#This Row],[Progress]],0)-1)))</f>
        <v>0</v>
      </c>
      <c r="GW170" s="91" t="n">
        <f aca="false">IF(Tasks[[#This Row],[Task Name]]="",0,IF(OR(NOT(Tasks[[#This Row],[_IsLeaf]]=1),Tasks[[#This Row],[_IsMilestone]],N(Tasks[[#This Row],[Progress]])&gt;=1),0,IF(Tasks[[#This Row],[_DoneTo]]&gt;0,Tasks[[#This Row],[_DoneTo]]+1,Tasks[[#This Row],[Start]])))</f>
        <v>0</v>
      </c>
      <c r="GX170" s="91" t="n">
        <f aca="false">IF(Tasks[[#This Row],[_RemFrom]]=0,0,Tasks[[#This Row],[Finish]])</f>
        <v>0</v>
      </c>
      <c r="GY170" s="90" t="b">
        <f aca="false">IF(Tasks[[#This Row],[Task Name]]="",FALSE(),OR(NOT(BaselineSet),N(Tasks[[#This Row],[Baseline Start]])&gt;0))</f>
        <v>0</v>
      </c>
      <c r="GZ17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0" s="92" t="str">
        <f aca="false">IF(Tasks[[#This Row],[_IsLeaf]]=1,Tasks[[#This Row],[_Row]],"")</f>
        <v/>
      </c>
      <c r="HD170" s="92" t="str">
        <f aca="false">IFERROR(INDEX(Tasks[UID],SMALL(Tasks[_PickKey],Tasks[[#This Row],[_Row]]))&amp;" "&amp;INDEX(Tasks[Task Name],SMALL(Tasks[_PickKey],Tasks[[#This Row],[_Row]])),"")</f>
        <v/>
      </c>
      <c r="HE170" s="43" t="str">
        <f aca="false">IF(Tasks[[#This Row],[Task Name]]="","",IF(Tasks[[#This Row],[_IsSummary]],NETWORKDAYS.INTL(Tasks[[#This Row],[Start]],Tasks[[#This Row],[Finish]],WorkWeek,Holidays),N(Tasks[[#This Row],[_Days]])))</f>
        <v/>
      </c>
      <c r="HF170" s="43" t="n">
        <f aca="false">IF(Tasks[[#This Row],[Expected]]="",0,((Tasks[[#This Row],[Pessimistic]]-Tasks[[#This Row],[Optimistic]])/6)^2)</f>
        <v>0</v>
      </c>
      <c r="HG170" s="43" t="n">
        <f aca="false">IF(Tasks[[#This Row],[Expected]]="",0,Tasks[[#This Row],[Expected]]-N(Tasks[[#This Row],[_Days]]))</f>
        <v>0</v>
      </c>
    </row>
    <row r="171" customFormat="false" ht="15" hidden="false" customHeight="false" outlineLevel="0" collapsed="false">
      <c r="A171" s="21" t="str">
        <f aca="false">IF(Tasks[[#This Row],[Task Name]]="","",COUNTA(Tasks[[#Headers],[Task Name]]:Tasks[[#This Row],[Task Name]])-1)</f>
        <v/>
      </c>
      <c r="B171" s="22" t="n">
        <v>179</v>
      </c>
      <c r="C171" s="22"/>
      <c r="D171" s="23"/>
      <c r="E171" s="22"/>
      <c r="F171" s="23"/>
      <c r="G171" s="22"/>
      <c r="H171" s="22"/>
      <c r="I171" s="23"/>
      <c r="J171" s="22"/>
      <c r="K171" s="22"/>
      <c r="L171" s="23"/>
      <c r="M171" s="22"/>
      <c r="N171" s="22"/>
      <c r="O171" s="23"/>
      <c r="P171" s="22"/>
      <c r="Q171" s="22"/>
      <c r="R171" s="23"/>
      <c r="S171" s="23"/>
      <c r="T171" s="84"/>
      <c r="U171" s="23"/>
      <c r="V171" s="84"/>
      <c r="W171" s="23"/>
      <c r="X171" s="84"/>
      <c r="Y171" s="23"/>
      <c r="Z171" s="84"/>
      <c r="AA171" s="23"/>
      <c r="AB171" s="23"/>
      <c r="AC171" s="7"/>
      <c r="AD171" s="7"/>
      <c r="AE171" s="63" t="str">
        <f aca="false">IF(Tasks[[#This Row],[Task Name]]="","",IF(Tasks[[#This Row],[_IsSummary]],MIN(INDEX(Tasks[_ShownFcstStart],Tasks[[#This Row],[_Row]]+1):INDEX(Tasks[_ShownFcstStart],Tasks[[#This Row],[_Row]]+Tasks[[#This Row],[_Descendants]])),Tasks[[#This Row],[_ShownFcstStart]]))</f>
        <v/>
      </c>
      <c r="AF171" s="63" t="str">
        <f aca="false">IF(Tasks[[#This Row],[Task Name]]="","",IF(Tasks[[#This Row],[_IsSummary]],MAX(INDEX(Tasks[_ShownFcstFinish],Tasks[[#This Row],[_Row]]+1):INDEX(Tasks[_ShownFcstFinish],Tasks[[#This Row],[_Row]]+Tasks[[#This Row],[_Descendants]])),Tasks[[#This Row],[_ShownFcstFinish]]))</f>
        <v/>
      </c>
      <c r="AG171" s="21" t="str">
        <f aca="false">""</f>
        <v/>
      </c>
      <c r="AH171" s="23"/>
      <c r="AI1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1" s="7"/>
      <c r="AK171" s="22"/>
      <c r="AL171" s="23"/>
      <c r="AM171" s="7"/>
      <c r="AN171" s="47" t="str">
        <f aca="false">IF(Tasks[[#This Row],[Task Name]]="","",IF(Tasks[[#This Row],[Finish]]&gt;=Tasks[[#This Row],[Planned Finish]],NETWORKDAYS.INTL(Tasks[[#This Row],[Planned Finish]],Tasks[[#This Row],[Finish]],WorkWeek,Holidays)-1,1-NETWORKDAYS.INTL(Tasks[[#This Row],[Finish]],Tasks[[#This Row],[Planned Finish]],WorkWeek,Holidays)))</f>
        <v/>
      </c>
      <c r="AO171" s="21" t="str">
        <f aca="false">IF(Tasks[[#This Row],[Task Name]]="","",IF(Tasks[[#This Row],[Progress]]&gt;=1,"Complete",IF(OR(N(Tasks[[#This Row],[Actual Start]])&gt;0,Tasks[[#This Row],[Progress]]&gt;0),IF(Tasks[[#This Row],[Finish Var]]&gt;0,"Behind","In Progress"),IF(Tasks[[#This Row],[Planned Start]]&lt;StatusDate,"Late Start","Not Started"))))</f>
        <v/>
      </c>
      <c r="AP171" s="21" t="str">
        <f aca="false">IF(Tasks[[#This Row],[Task Name]]="","",IF(IF(Tasks[[#This Row],[_IsSummary]],COUNTIF(INDEX(Tasks[_LeafCritical],Tasks[[#This Row],[_Row]]+1):INDEX(Tasks[_LeafCritical],Tasks[[#This Row],[_Row]]+Tasks[[#This Row],[_Descendants]]),TRUE())&gt;0,Tasks[[#This Row],[_LeafCritical]]),"Yes",""))</f>
        <v/>
      </c>
      <c r="AQ171" s="63" t="str">
        <f aca="false">IF(Tasks[[#This Row],[Task Name]]="","",IF(N(Tasks[[#This Row],[Baseline Start]])&gt;0,Tasks[[#This Row],[Baseline Start]],Tasks[[#This Row],[_CalcStart]]))</f>
        <v/>
      </c>
      <c r="AR171" s="63" t="str">
        <f aca="false">IF(Tasks[[#This Row],[Task Name]]="","",IF(N(Tasks[[#This Row],[Baseline Finish]])&gt;0,Tasks[[#This Row],[Baseline Finish]],Tasks[[#This Row],[_CalcFinish]]))</f>
        <v/>
      </c>
      <c r="AS171" s="47" t="str">
        <f aca="false">IF(Tasks[[#This Row],[Task Name]]="","",IF(Tasks[[#This Row],[Start]]&gt;=Tasks[[#This Row],[Planned Start]],NETWORKDAYS.INTL(Tasks[[#This Row],[Planned Start]],Tasks[[#This Row],[Start]],WorkWeek,Holidays)-1,1-NETWORKDAYS.INTL(Tasks[[#This Row],[Start]],Tasks[[#This Row],[Planned Start]],WorkWeek,Holidays)))</f>
        <v/>
      </c>
      <c r="AT171" s="63" t="str">
        <f aca="false">IF(Tasks[[#This Row],[Task Name]]="","",IF(Tasks[[#This Row],[_IsSummary]],MIN(INDEX(Tasks[_LeafLateStart],Tasks[[#This Row],[_Row]]+1):INDEX(Tasks[_LeafLateStart],Tasks[[#This Row],[_Row]]+Tasks[[#This Row],[_Descendants]])),Tasks[[#This Row],[_LeafLateStart]]))</f>
        <v/>
      </c>
      <c r="AU171" s="63" t="str">
        <f aca="false">IF(Tasks[[#This Row],[Task Name]]="","",IF(Tasks[[#This Row],[_IsSummary]],MAX(INDEX(Tasks[_LeafLateFinish],Tasks[[#This Row],[_Row]]+1):INDEX(Tasks[_LeafLateFinish],Tasks[[#This Row],[_Row]]+Tasks[[#This Row],[_Descendants]])),Tasks[[#This Row],[_LeafLateFinish]]))</f>
        <v/>
      </c>
      <c r="AV171" s="47" t="str">
        <f aca="false">IF(Tasks[[#This Row],[Task Name]]="","",IF(Tasks[[#This Row],[_IsSummary]],MIN(INDEX(Tasks[_LeafTotalSlack],Tasks[[#This Row],[_Row]]+1):INDEX(Tasks[_LeafTotalSlack],Tasks[[#This Row],[_Row]]+Tasks[[#This Row],[_Descendants]])),Tasks[[#This Row],[_LeafTotalSlack]]))</f>
        <v/>
      </c>
      <c r="AW1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5"/>
      <c r="BA17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1" t="str">
        <f aca="false">IF(Tasks[[#This Row],[Task Name]]="","",IF(Tasks[[#This Row],[_Level]]&lt;=OutlineShowLevel,"Yes","No"))</f>
        <v/>
      </c>
      <c r="BE171" s="86" t="str">
        <f aca="false">IF(Tasks[[#This Row],[Task Name]]="","",IF(Tasks[[#This Row],[_IsSummary]],SUM(INDEX(Tasks[_LeafTotalWork],Tasks[[#This Row],[_Row]]+1):INDEX(Tasks[_LeafTotalWork],Tasks[[#This Row],[_Row]]+Tasks[[#This Row],[_Descendants]])),Tasks[[#This Row],[_LeafTotalWork]]))</f>
        <v/>
      </c>
      <c r="BF171" s="23"/>
      <c r="BG1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1" s="21" t="str">
        <f aca="false">""</f>
        <v/>
      </c>
      <c r="BI171" s="87"/>
      <c r="BJ171" s="22"/>
      <c r="BK171" s="47" t="str">
        <f aca="false">IF(OR(Tasks[[#This Row],[Task Name]]="",Tasks[[#This Row],[Baseline Duration]]=""),"",Tasks[[#This Row],[_SpanDays]]-N(Tasks[[#This Row],[Baseline Duration]]))</f>
        <v/>
      </c>
      <c r="BL171" s="86" t="str">
        <f aca="false">IF(OR(Tasks[[#This Row],[Task Name]]="",Tasks[[#This Row],[Baseline Work]]=""),"",Tasks[[#This Row],[Work]]-N(Tasks[[#This Row],[Baseline Work]]))</f>
        <v/>
      </c>
      <c r="BM171" s="63" t="str">
        <f aca="false">IF(Tasks[[#This Row],[Task Name]]="","",IF(OR(TakeBaseline="Yes",N(Tasks[[#This Row],[Baseline Start]])=0),Tasks[[#This Row],[Start]],Tasks[[#This Row],[Baseline Start]]))</f>
        <v/>
      </c>
      <c r="BN171" s="63" t="str">
        <f aca="false">IF(Tasks[[#This Row],[Task Name]]="","",IF(OR(TakeBaseline="Yes",N(Tasks[[#This Row],[Baseline Finish]])=0),Tasks[[#This Row],[Finish]],Tasks[[#This Row],[Baseline Finish]]))</f>
        <v/>
      </c>
      <c r="BO171" s="21" t="str">
        <f aca="false">IF(Tasks[[#This Row],[Task Name]]="","",IF(OR(TakeBaseline="Yes",N(Tasks[[#This Row],[Baseline Duration]])=0),Tasks[[#This Row],[_SpanDays]],Tasks[[#This Row],[Baseline Duration]]))</f>
        <v/>
      </c>
      <c r="BP171" s="86" t="str">
        <f aca="false">IF(Tasks[[#This Row],[Task Name]]="","",IF(OR(TakeBaseline="Yes",N(Tasks[[#This Row],[Baseline Work]])=0),Tasks[[#This Row],[Work]],Tasks[[#This Row],[Baseline Work]]))</f>
        <v/>
      </c>
      <c r="BQ171" s="7"/>
      <c r="BR171" s="7"/>
      <c r="BS171" s="22"/>
      <c r="BT171" s="88"/>
      <c r="BU171" s="23"/>
      <c r="BV171" s="23"/>
      <c r="BW171" s="23"/>
      <c r="BX171" s="89" t="str">
        <f aca="false">IF(AND(Tasks[[#This Row],[_IsLeaf]]=1,ISNUMBER(Tasks[[#This Row],[Optimistic]]),ISNUMBER(Tasks[[#This Row],[Pessimistic]])),ROUND((Tasks[[#This Row],[Optimistic]]+4*N(Tasks[[#This Row],[_Days]])+Tasks[[#This Row],[Pessimistic]])/6,1),"")</f>
        <v/>
      </c>
      <c r="BY171" s="87"/>
      <c r="BZ171" s="87"/>
      <c r="CA171" s="22"/>
      <c r="CB171" s="43" t="str">
        <f aca="false">IF(Tasks[[#This Row],[Task Name]]="","",MAX(1,N(Tasks[[#This Row],[Level]])))</f>
        <v/>
      </c>
      <c r="CC171" s="43" t="n">
        <f aca="false">ROW()-ROW(Tasks[[#Headers],[ID]])</f>
        <v>166</v>
      </c>
      <c r="CD171" s="43" t="n">
        <f aca="false">IF(OR(Tasks[[#This Row],[Task Name]]="",Tasks[[#This Row],[_Level]]&lt;=1),0,IFERROR(LOOKUP(2,1/(Tasks[[#Headers],[_Level]]:Tasks[[#This Row],[_Level]]=Tasks[[#This Row],[_Level]]-1),ROW(Tasks[[#Headers],[_Level]]:Tasks[[#This Row],[_Level]])),0))</f>
        <v>0</v>
      </c>
      <c r="CE171" s="43" t="n">
        <f aca="false">IFERROR(N(INDEX(Tasks[_Level],Tasks[[#This Row],[_Row]]+1)),0)</f>
        <v>0</v>
      </c>
      <c r="CF171" s="90" t="b">
        <f aca="false">AND(Tasks[[#This Row],[Task Name]]&lt;&gt;"",Tasks[[#This Row],[_NextLevel]]&gt;Tasks[[#This Row],[_Level]])</f>
        <v>0</v>
      </c>
      <c r="CG171" s="43" t="n">
        <f aca="false">IF(Tasks[[#This Row],[_IsSummary]],COUNTIF(Tasks[WBS],Tasks[[#This Row],[WBS]]&amp;".*"),0)</f>
        <v>0</v>
      </c>
      <c r="CH171" s="43" t="n">
        <f aca="false">IF(AND(Tasks[[#This Row],[Task Name]]&lt;&gt;"",NOT(Tasks[[#This Row],[_IsSummary]])),1,0)</f>
        <v>0</v>
      </c>
      <c r="CI171" s="43" t="n">
        <f aca="false">IF(N(Tasks[[#This Row],[_Pred1UID]])=0,0,IFERROR(MATCH(Tasks[[#This Row],[_Pred1UID]],Tasks[UID],0),-1))</f>
        <v>0</v>
      </c>
      <c r="CJ171" s="43" t="n">
        <f aca="false">IF(N(Tasks[[#This Row],[_Pred2UID]])=0,0,IFERROR(MATCH(Tasks[[#This Row],[_Pred2UID]],Tasks[UID],0),-1))</f>
        <v>0</v>
      </c>
      <c r="CK171" s="43" t="n">
        <f aca="false">IF(N(Tasks[[#This Row],[_Pred3UID]])=0,0,IFERROR(MATCH(Tasks[[#This Row],[_Pred3UID]],Tasks[UID],0),-1))</f>
        <v>0</v>
      </c>
      <c r="CL171" s="43" t="n">
        <f aca="false">IF(N(Tasks[[#This Row],[_Pred4UID]])=0,0,IFERROR(MATCH(Tasks[[#This Row],[_Pred4UID]],Tasks[UID],0),-1))</f>
        <v>0</v>
      </c>
      <c r="CM17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1" s="91" t="n">
        <f aca="false">IF(OR(Tasks[[#This Row],[_ConstraintCode]]=2,Tasks[[#This Row],[_ConstraintCode]]=3,Tasks[[#This Row],[_ConstraintCode]]=4,Tasks[[#This Row],[_ConstraintCode]]=6),Tasks[[#This Row],[_ConstraintStart]],0)</f>
        <v>0</v>
      </c>
      <c r="CP171" s="91" t="n">
        <f aca="false">IF(OR(Tasks[[#This Row],[_ConstraintCode]]=2,Tasks[[#This Row],[_ConstraintCode]]=3,Tasks[[#This Row],[_ConstraintCode]]=5,Tasks[[#This Row],[_ConstraintCode]]=7),Tasks[[#This Row],[_ConstraintStart]],2958465)</f>
        <v>2958465</v>
      </c>
      <c r="CQ17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1" s="91" t="str">
        <f aca="false">IF(NOT(Tasks[[#This Row],[_IsLeaf]]=1),"",IF(N(Tasks[[#This Row],[_Days]])&lt;=0,Tasks[[#This Row],[_LeafCalcStart]],WORKDAY.INTL(Tasks[[#This Row],[_LeafCalcStart]],Tasks[[#This Row],[_Days]]-1,WorkWeek,Holidays)))</f>
        <v/>
      </c>
      <c r="CS17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1" s="43" t="str">
        <f aca="false">IF(Tasks[[#This Row],[_Predecessors]]="","",TRIM(MID(SUBSTITUTE(SUBSTITUTE(SUBSTITUTE(UPPER(Tasks[[#This Row],[_Predecessors]]),";",",")," ",""),",",REPT(" ",99)),1,99)))</f>
        <v/>
      </c>
      <c r="CV171" s="43" t="str">
        <f aca="false">IF(Tasks[[#This Row],[_Pred1Text]]="","",IFERROR(VALUE(LEFT(Tasks[[#This Row],[_Pred1Text]],MIN(FIND("F",Tasks[[#This Row],[_Pred1Text]]&amp;"F"),FIND("S",Tasks[[#This Row],[_Pred1Text]]&amp;"S"),FIND("+",Tasks[[#This Row],[_Pred1Text]]&amp;"+"),FIND("-",Tasks[[#This Row],[_Pred1Text]]&amp;"-"))-1)),""))</f>
        <v/>
      </c>
      <c r="CW17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1" s="43" t="str">
        <f aca="false">IF(Tasks[[#This Row],[_Pred1Text]]="","",TRIM(MID(SUBSTITUTE(SUBSTITUTE(SUBSTITUTE(UPPER(Tasks[[#This Row],[_Predecessors]]),";",",")," ",""),",",REPT(" ",99)),100,99)))</f>
        <v/>
      </c>
      <c r="CZ171" s="43" t="str">
        <f aca="false">IF(Tasks[[#This Row],[_Pred2Text]]="","",IFERROR(VALUE(LEFT(Tasks[[#This Row],[_Pred2Text]],MIN(FIND("F",Tasks[[#This Row],[_Pred2Text]]&amp;"F"),FIND("S",Tasks[[#This Row],[_Pred2Text]]&amp;"S"),FIND("+",Tasks[[#This Row],[_Pred2Text]]&amp;"+"),FIND("-",Tasks[[#This Row],[_Pred2Text]]&amp;"-"))-1)),""))</f>
        <v/>
      </c>
      <c r="DA17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1" s="43" t="str">
        <f aca="false">IF(Tasks[[#This Row],[_Pred2Text]]="","",TRIM(MID(SUBSTITUTE(SUBSTITUTE(SUBSTITUTE(UPPER(Tasks[[#This Row],[_Predecessors]]),";",",")," ",""),",",REPT(" ",99)),199,99)))</f>
        <v/>
      </c>
      <c r="DD171" s="43" t="str">
        <f aca="false">IF(Tasks[[#This Row],[_Pred3Text]]="","",IFERROR(VALUE(LEFT(Tasks[[#This Row],[_Pred3Text]],MIN(FIND("F",Tasks[[#This Row],[_Pred3Text]]&amp;"F"),FIND("S",Tasks[[#This Row],[_Pred3Text]]&amp;"S"),FIND("+",Tasks[[#This Row],[_Pred3Text]]&amp;"+"),FIND("-",Tasks[[#This Row],[_Pred3Text]]&amp;"-"))-1)),""))</f>
        <v/>
      </c>
      <c r="DE17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1" s="43" t="str">
        <f aca="false">IF(Tasks[[#This Row],[_Pred3Text]]="","",TRIM(MID(SUBSTITUTE(SUBSTITUTE(SUBSTITUTE(UPPER(Tasks[[#This Row],[_Predecessors]]),";",",")," ",""),",",REPT(" ",99)),298,99)))</f>
        <v/>
      </c>
      <c r="DH171" s="43" t="str">
        <f aca="false">IF(Tasks[[#This Row],[_Pred4Text]]="","",IFERROR(VALUE(LEFT(Tasks[[#This Row],[_Pred4Text]],MIN(FIND("F",Tasks[[#This Row],[_Pred4Text]]&amp;"F"),FIND("S",Tasks[[#This Row],[_Pred4Text]]&amp;"S"),FIND("+",Tasks[[#This Row],[_Pred4Text]]&amp;"+"),FIND("-",Tasks[[#This Row],[_Pred4Text]]&amp;"-"))-1)),""))</f>
        <v/>
      </c>
      <c r="DI17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1" s="43" t="str">
        <f aca="false">IF(OR(Tasks[[#This Row],[Task Name]]="",Tasks[[#This Row],[_Resources]]=""),"",TRIM(MID(SUBSTITUTE(Tasks[[#This Row],[_Resources]],",",REPT(" ",99)),1,99)))</f>
        <v/>
      </c>
      <c r="DL171" s="43" t="str">
        <f aca="false">IF(Tasks[[#This Row],[_Res1Text]]="","",TRIM(MID(SUBSTITUTE(Tasks[[#This Row],[_Resources]],",",REPT(" ",99)),100,99)))</f>
        <v/>
      </c>
      <c r="DM171" s="43" t="str">
        <f aca="false">IF(Tasks[[#This Row],[_Res2Text]]="","",TRIM(MID(SUBSTITUTE(Tasks[[#This Row],[_Resources]],",",REPT(" ",99)),199,99)))</f>
        <v/>
      </c>
      <c r="DN171" s="43" t="str">
        <f aca="false">IF(Tasks[[#This Row],[_Res3Text]]="","",TRIM(MID(SUBSTITUTE(Tasks[[#This Row],[_Resources]],",",REPT(" ",99)),298,99)))</f>
        <v/>
      </c>
      <c r="DO171" s="43" t="n">
        <f aca="false">IF(Tasks[[#This Row],[_Res1Text]]="",0,IFERROR(MATCH(TRIM(LEFT(Tasks[[#This Row],[_Res1Text]],FIND("[",Tasks[[#This Row],[_Res1Text]]&amp;"[")-1)),res_Name,0),IFERROR(MATCH(TRIM(LEFT(Tasks[[#This Row],[_Res1Text]],FIND("[",Tasks[[#This Row],[_Res1Text]]&amp;"[")-1)),res_Initials,0),0)))</f>
        <v>0</v>
      </c>
      <c r="DP171" s="43" t="n">
        <f aca="false">IF(Tasks[[#This Row],[_Res2Text]]="",0,IFERROR(MATCH(TRIM(LEFT(Tasks[[#This Row],[_Res2Text]],FIND("[",Tasks[[#This Row],[_Res2Text]]&amp;"[")-1)),res_Name,0),IFERROR(MATCH(TRIM(LEFT(Tasks[[#This Row],[_Res2Text]],FIND("[",Tasks[[#This Row],[_Res2Text]]&amp;"[")-1)),res_Initials,0),0)))</f>
        <v>0</v>
      </c>
      <c r="DQ171" s="43" t="n">
        <f aca="false">IF(Tasks[[#This Row],[_Res3Text]]="",0,IFERROR(MATCH(TRIM(LEFT(Tasks[[#This Row],[_Res3Text]],FIND("[",Tasks[[#This Row],[_Res3Text]]&amp;"[")-1)),res_Name,0),IFERROR(MATCH(TRIM(LEFT(Tasks[[#This Row],[_Res3Text]],FIND("[",Tasks[[#This Row],[_Res3Text]]&amp;"[")-1)),res_Initials,0),0)))</f>
        <v>0</v>
      </c>
      <c r="DR171" s="43" t="n">
        <f aca="false">IF(Tasks[[#This Row],[_Res4Text]]="",0,IFERROR(MATCH(TRIM(LEFT(Tasks[[#This Row],[_Res4Text]],FIND("[",Tasks[[#This Row],[_Res4Text]]&amp;"[")-1)),res_Name,0),IFERROR(MATCH(TRIM(LEFT(Tasks[[#This Row],[_Res4Text]],FIND("[",Tasks[[#This Row],[_Res4Text]]&amp;"[")-1)),res_Initials,0),0)))</f>
        <v>0</v>
      </c>
      <c r="DS171" s="43" t="str">
        <f aca="false">IF(Tasks[[#This Row],[_Res1Text]]="","",IF(Tasks[[#This Row],[_Res1Row]]&gt;0,INDEX(res_Name,Tasks[[#This Row],[_Res1Row]]),TRIM(LEFT(Tasks[[#This Row],[_Res1Text]],FIND("[",Tasks[[#This Row],[_Res1Text]]&amp;"[")-1))))</f>
        <v/>
      </c>
      <c r="DT17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1" s="43" t="n">
        <f aca="false">IF(NOT(Tasks[[#This Row],[_IsLeaf]]=1),0,(Tasks[[#This Row],[_Resource1]]&lt;&gt;"")+(Tasks[[#This Row],[_Res2]]&lt;&gt;"")+(Tasks[[#This Row],[_Res3]]&lt;&gt;"")+(Tasks[[#This Row],[_Res4]]&lt;&gt;""))</f>
        <v>0</v>
      </c>
      <c r="DV171" s="43" t="str">
        <f aca="false">IF(Tasks[[#This Row],[_Res2Text]]="","",IF(Tasks[[#This Row],[_Res2Row]]&gt;0,INDEX(res_Name,Tasks[[#This Row],[_Res2Row]]),TRIM(LEFT(Tasks[[#This Row],[_Res2Text]],FIND("[",Tasks[[#This Row],[_Res2Text]]&amp;"[")-1))))</f>
        <v/>
      </c>
      <c r="DW17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1" s="43" t="n">
        <f aca="false">IF(OR(NOT(Tasks[[#This Row],[_IsLeaf]]=1),Tasks[[#This Row],[_Res2Row]]=0),0,N(Tasks[[#This Row],[_Days]])*HoursPerDay*IF(Tasks[[#This Row],[_Res2Units]]="",DefaultUnits,Tasks[[#This Row],[_Res2Units]]))</f>
        <v>0</v>
      </c>
      <c r="DY171" s="43" t="n">
        <f aca="false">IF(AND(AND(Tasks[[#This Row],[_IsLeaf]]=1,Tasks[[#This Row],[_LeafTotalWork]]&gt;0),Tasks[[#This Row],[_Res2Work]]&gt;0),Tasks[[#This Row],[_Res2Work]]/(Tasks[[#This Row],[_FinishWorkday]]-Tasks[[#This Row],[_StartWorkday]]+1),0)</f>
        <v>0</v>
      </c>
      <c r="DZ171" s="43" t="n">
        <f aca="false">Tasks[[#This Row],[_Res2WorkPerWD]]*MAX(0,Tasks[[#This Row],[_StartWorkday]]-1)</f>
        <v>0</v>
      </c>
      <c r="EA171" s="43" t="n">
        <f aca="false">Tasks[[#This Row],[_Res2Work]]*Tasks[[#This Row],[_LeafProgress]]</f>
        <v>0</v>
      </c>
      <c r="EB171" s="43" t="str">
        <f aca="false">IF(Tasks[[#This Row],[_Res3Text]]="","",IF(Tasks[[#This Row],[_Res3Row]]&gt;0,INDEX(res_Name,Tasks[[#This Row],[_Res3Row]]),TRIM(LEFT(Tasks[[#This Row],[_Res3Text]],FIND("[",Tasks[[#This Row],[_Res3Text]]&amp;"[")-1))))</f>
        <v/>
      </c>
      <c r="EC17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1" s="43" t="n">
        <f aca="false">IF(OR(NOT(Tasks[[#This Row],[_IsLeaf]]=1),Tasks[[#This Row],[_Res3Row]]=0),0,N(Tasks[[#This Row],[_Days]])*HoursPerDay*IF(Tasks[[#This Row],[_Res3Units]]="",DefaultUnits,Tasks[[#This Row],[_Res3Units]]))</f>
        <v>0</v>
      </c>
      <c r="EE171" s="43" t="n">
        <f aca="false">IF(AND(AND(Tasks[[#This Row],[_IsLeaf]]=1,Tasks[[#This Row],[_LeafTotalWork]]&gt;0),Tasks[[#This Row],[_Res3Work]]&gt;0),Tasks[[#This Row],[_Res3Work]]/(Tasks[[#This Row],[_FinishWorkday]]-Tasks[[#This Row],[_StartWorkday]]+1),0)</f>
        <v>0</v>
      </c>
      <c r="EF171" s="43" t="n">
        <f aca="false">Tasks[[#This Row],[_Res3WorkPerWD]]*MAX(0,Tasks[[#This Row],[_StartWorkday]]-1)</f>
        <v>0</v>
      </c>
      <c r="EG171" s="43" t="n">
        <f aca="false">Tasks[[#This Row],[_Res3Work]]*Tasks[[#This Row],[_LeafProgress]]</f>
        <v>0</v>
      </c>
      <c r="EH171" s="43" t="str">
        <f aca="false">IF(Tasks[[#This Row],[_Res4Text]]="","",IF(Tasks[[#This Row],[_Res4Row]]&gt;0,INDEX(res_Name,Tasks[[#This Row],[_Res4Row]]),TRIM(LEFT(Tasks[[#This Row],[_Res4Text]],FIND("[",Tasks[[#This Row],[_Res4Text]]&amp;"[")-1))))</f>
        <v/>
      </c>
      <c r="EI17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1" s="43" t="n">
        <f aca="false">IF(OR(NOT(Tasks[[#This Row],[_IsLeaf]]=1),Tasks[[#This Row],[_Res4Row]]=0),0,N(Tasks[[#This Row],[_Days]])*HoursPerDay*IF(Tasks[[#This Row],[_Res4Units]]="",DefaultUnits,Tasks[[#This Row],[_Res4Units]]))</f>
        <v>0</v>
      </c>
      <c r="EK171" s="43" t="n">
        <f aca="false">IF(AND(AND(Tasks[[#This Row],[_IsLeaf]]=1,Tasks[[#This Row],[_LeafTotalWork]]&gt;0),Tasks[[#This Row],[_Res4Work]]&gt;0),Tasks[[#This Row],[_Res4Work]]/(Tasks[[#This Row],[_FinishWorkday]]-Tasks[[#This Row],[_StartWorkday]]+1),0)</f>
        <v>0</v>
      </c>
      <c r="EL171" s="43" t="n">
        <f aca="false">Tasks[[#This Row],[_Res4WorkPerWD]]*MAX(0,Tasks[[#This Row],[_StartWorkday]]-1)</f>
        <v>0</v>
      </c>
      <c r="EM171" s="43" t="n">
        <f aca="false">Tasks[[#This Row],[_Res4Work]]*Tasks[[#This Row],[_LeafProgress]]</f>
        <v>0</v>
      </c>
      <c r="EN171" s="43" t="n">
        <f aca="false">IF(ISNUMBER(Tasks[[#This Row],[% Complete]]),Tasks[[#This Row],[% Complete]],IF(Tasks[[#This Row],[Stage]]="",0,IFERROR(INDEX(stg_Pct,MATCH(Tasks[[#This Row],[Stage]],stg_Name,0)),0)))</f>
        <v>0</v>
      </c>
      <c r="EO171" s="43" t="n">
        <f aca="false">IF(NOT(Tasks[[#This Row],[_IsLeaf]]=1),0,IF(N(Tasks[[#This Row],[Actual Finish]])&gt;0,1,MIN(1,Tasks[[#This Row],[_Pct]])))</f>
        <v>0</v>
      </c>
      <c r="EP171" s="43" t="n">
        <f aca="false">IF(OR(NOT(Tasks[[#This Row],[_IsLeaf]]=1),Tasks[[#This Row],[_Res1Row]]=0),0,N(Tasks[[#This Row],[_Days]])*HoursPerDay*IF(Tasks[[#This Row],[_Units1]]="",DefaultUnits,Tasks[[#This Row],[_Units1]]))</f>
        <v>0</v>
      </c>
      <c r="EQ171" s="43" t="n">
        <f aca="false">Tasks[[#This Row],[_LeafWork]]+Tasks[[#This Row],[_Res2Work]]+Tasks[[#This Row],[_Res3Work]]+Tasks[[#This Row],[_Res4Work]]</f>
        <v>0</v>
      </c>
      <c r="ER17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1" s="43" t="n">
        <f aca="false">IF(NOT(Tasks[[#This Row],[_IsLeaf]]=1),0,MAX(_xlfn.MAXIFS(Tasks[_Row],Tasks[_Pred1UID],Tasks[[#This Row],[UID]]),_xlfn.MAXIFS(Tasks[_Row],Tasks[_Pred2UID],Tasks[[#This Row],[UID]]),_xlfn.MAXIFS(Tasks[_Row],Tasks[_Pred3UID],Tasks[[#This Row],[UID]]),_xlfn.MAXIFS(Tasks[_Row],Tasks[_Pred4UID],Tasks[[#This Row],[UID]])))</f>
        <v>0</v>
      </c>
      <c r="FA17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1" s="91" t="str">
        <f aca="false">IF(NOT(Tasks[[#This Row],[_IsLeaf]]=1),"",IF(N(Tasks[[#This Row],[_Days]])&lt;=0,Tasks[[#This Row],[_LeafLateFinish]],WORKDAY.INTL(Tasks[[#This Row],[_LeafLateFinish]],-(Tasks[[#This Row],[_Days]]-1),WorkWeek,Holidays)))</f>
        <v/>
      </c>
      <c r="FD17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1" s="90" t="b">
        <f aca="false">AND(Tasks[[#This Row],[_IsLeaf]]=1,Tasks[[#This Row],[_LeafProgress]]&lt;1,N(Tasks[[#This Row],[_LeafTotalSlack]])&lt;=CriticalSlackDays)</f>
        <v>0</v>
      </c>
      <c r="FF171" s="43" t="n">
        <f aca="false">IF(AND(Tasks[[#This Row],[_IsLeaf]]=1,Tasks[[#This Row],[_ConstraintCode]]=1,Tasks[[#This Row],[Mode]]&lt;&gt;"Manual",N(Tasks[[#This Row],[Actual Start]])=0),MAX(0,N(Tasks[[#This Row],[Free Slack]])),0)</f>
        <v>0</v>
      </c>
      <c r="FG171" s="91" t="str">
        <f aca="false">IF(NOT(Tasks[[#This Row],[_IsLeaf]]=1),"",IF(Tasks[[#This Row],[_AlapShift]]=0,Tasks[[#This Row],[_LeafCalcStart]],WORKDAY.INTL(Tasks[[#This Row],[_LeafCalcStart]],Tasks[[#This Row],[_AlapShift]],WorkWeek,Holidays)))</f>
        <v/>
      </c>
      <c r="FH171" s="91" t="str">
        <f aca="false">IF(NOT(Tasks[[#This Row],[_IsLeaf]]=1),"",IF(Tasks[[#This Row],[_AlapShift]]=0,Tasks[[#This Row],[_LeafCalcFinish]],WORKDAY.INTL(Tasks[[#This Row],[_LeafCalcFinish]],Tasks[[#This Row],[_AlapShift]],WorkWeek,Holidays)))</f>
        <v/>
      </c>
      <c r="FI171" s="91" t="str">
        <f aca="false">IF(NOT(Tasks[[#This Row],[_IsLeaf]]=1),"",IF(Tasks[[#This Row],[_AlapShift]]=0,Tasks[[#This Row],[_LeafFcstStart]],WORKDAY.INTL(Tasks[[#This Row],[_LeafFcstStart]],Tasks[[#This Row],[_AlapShift]],WorkWeek,Holidays)))</f>
        <v/>
      </c>
      <c r="FJ171" s="91" t="str">
        <f aca="false">IF(NOT(Tasks[[#This Row],[_IsLeaf]]=1),"",IF(Tasks[[#This Row],[_AlapShift]]=0,Tasks[[#This Row],[_LeafFcstFinish]],WORKDAY.INTL(Tasks[[#This Row],[_LeafFcstFinish]],Tasks[[#This Row],[_AlapShift]],WorkWeek,Holidays)))</f>
        <v/>
      </c>
      <c r="FK171" s="91" t="str">
        <f aca="false">IF(Tasks[[#This Row],[Task Name]]="","",IF(Tasks[[#This Row],[_IsSummary]],MIN(INDEX(Tasks[_ShownCalcStart],Tasks[[#This Row],[_Row]]+1):INDEX(Tasks[_ShownCalcStart],Tasks[[#This Row],[_Row]]+Tasks[[#This Row],[_Descendants]])),Tasks[[#This Row],[_ShownCalcStart]]))</f>
        <v/>
      </c>
      <c r="FL171" s="91" t="str">
        <f aca="false">IF(Tasks[[#This Row],[Task Name]]="","",IF(Tasks[[#This Row],[_IsSummary]],MAX(INDEX(Tasks[_ShownCalcFinish],Tasks[[#This Row],[_Row]]+1):INDEX(Tasks[_ShownCalcFinish],Tasks[[#This Row],[_Row]]+Tasks[[#This Row],[_Descendants]])),Tasks[[#This Row],[_ShownCalcFinish]]))</f>
        <v/>
      </c>
      <c r="FM17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1" s="43" t="n">
        <f aca="false">IF(AND(Tasks[[#This Row],[_IsLeaf]]=1,Tasks[[#This Row],[_LeafTotalWork]]&gt;0),NETWORKDAYS.INTL(ProjectStart,Tasks[[#This Row],[_ShownFcstStart]],WorkWeek,Holidays),0)</f>
        <v>0</v>
      </c>
      <c r="FZ171" s="43" t="n">
        <f aca="false">IF(AND(Tasks[[#This Row],[_IsLeaf]]=1,Tasks[[#This Row],[_LeafTotalWork]]&gt;0),MAX(Tasks[[#This Row],[_StartWorkday]],NETWORKDAYS.INTL(ProjectStart,Tasks[[#This Row],[_ShownFcstFinish]],WorkWeek,Holidays)),0)</f>
        <v>0</v>
      </c>
      <c r="GA171" s="43" t="n">
        <f aca="false">IF(AND(Tasks[[#This Row],[_IsLeaf]]=1,Tasks[[#This Row],[_LeafTotalWork]]&gt;0),Tasks[[#This Row],[_LeafWork]]/(Tasks[[#This Row],[_FinishWorkday]]-Tasks[[#This Row],[_StartWorkday]]+1),0)</f>
        <v>0</v>
      </c>
      <c r="GB171" s="43" t="n">
        <f aca="false">Tasks[[#This Row],[_WorkPerWorkday]]*(Tasks[[#This Row],[_StartWorkday]]-1)</f>
        <v>-0</v>
      </c>
      <c r="GC171" s="43" t="n">
        <f aca="false">IF(Tasks[[#This Row],[_IsLeaf]]=1,MAX(N(Tasks[[#This Row],[_Days]]),0.1),0)</f>
        <v>0</v>
      </c>
      <c r="GD171" s="43" t="n">
        <f aca="false">Tasks[[#This Row],[_WeightDur]]*Tasks[[#This Row],[_LeafProgress]]</f>
        <v>0</v>
      </c>
      <c r="GE171" s="43" t="n">
        <f aca="false">Tasks[[#This Row],[_WeightDur]]*Tasks[[#This Row],[_PlannedPct]]</f>
        <v>0</v>
      </c>
      <c r="GF17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1" s="43" t="str">
        <f aca="false">IF(AND(Tasks[[#This Row],[_IsLeaf]]=1,N(Tasks[[#This Row],[_Days]])=0,Tasks[[#This Row],[_LeafProgress]]&lt;1),Tasks[[#This Row],[_ShownFcstFinish]]+Tasks[[#This Row],[_Row]]/100000,"")</f>
        <v/>
      </c>
      <c r="GH17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1" s="43" t="str">
        <f aca="false">IF(Tasks[[#This Row],[Task Name]]="","",LEFT(Tasks[[#This Row],[WBS]],FIND(".",Tasks[[#This Row],[WBS]]&amp;".")-1))</f>
        <v/>
      </c>
      <c r="GJ171" s="43" t="str">
        <f aca="false">IF(AND(Tasks[[#This Row],[Task Name]]&lt;&gt;"",Tasks[[#This Row],[_Level]]=1),Tasks[[#This Row],[_Row]],"")</f>
        <v/>
      </c>
      <c r="GK171" s="43" t="str">
        <f aca="false">IF(AND(Tasks[[#This Row],[_IsLeaf]]=1,N(Tasks[[#This Row],[_Days]])=0),Tasks[[#This Row],[Planned Finish]]+Tasks[[#This Row],[_Row]]/100000,"")</f>
        <v/>
      </c>
      <c r="GL171" s="43" t="str">
        <f aca="false">IF(AND(Tasks[[#This Row],[_IsLeaf]]=1,Tasks[[#This Row],[_LeafProgress]]&lt;1,OR(N(Tasks[[#This Row],[Finish Var]])&gt;0,Tasks[[#This Row],[Status]]="Late Start")),MAX(0,Tasks[[#This Row],[Finish Var]])+1-Tasks[[#This Row],[_Row]]/1000000,"")</f>
        <v/>
      </c>
      <c r="GM171" s="43" t="str">
        <f aca="false">IF(AND(Tasks[[#This Row],[_IsLeaf]]=1,N(Tasks[[#This Row],[Actual Start]])=0,Tasks[[#This Row],[_ShownFcstStart]]&gt;=StatusDate,Tasks[[#This Row],[_ShownFcstStart]]&lt;=LookaheadEnd),Tasks[[#This Row],[_ShownFcstStart]]+Tasks[[#This Row],[_Row]]/100000,"")</f>
        <v/>
      </c>
      <c r="GN171" s="43" t="str">
        <f aca="false">IF(AND(Tasks[[#This Row],[_IsLeaf]]=1,Tasks[[#This Row],[_LeafProgress]]&lt;1,Tasks[[#This Row],[_ShownFcstFinish]]&gt;=StatusDate,Tasks[[#This Row],[_ShownFcstFinish]]&lt;=LookaheadEnd),Tasks[[#This Row],[_ShownFcstFinish]]+Tasks[[#This Row],[_Row]]/100000,"")</f>
        <v/>
      </c>
      <c r="GO171" s="43" t="str">
        <f aca="false">IF(Tasks[[#This Row],[_LeafCritical]],Tasks[[#This Row],[_ShownFcstStart]]+Tasks[[#This Row],[_Row]]/100000,"")</f>
        <v/>
      </c>
      <c r="GP171" s="43" t="n">
        <f aca="false">Tasks[[#This Row],[_LeafWork]]*Tasks[[#This Row],[_LeafProgress]]</f>
        <v>0</v>
      </c>
      <c r="GQ171" s="91" t="str">
        <f aca="false">IF(AND(Tasks[[#This Row],[_IsLeaf]]=1,Tasks[[#This Row],[_LeafProgress]]&gt;=1),IF(N(Tasks[[#This Row],[Actual Finish]])&gt;0,Tasks[[#This Row],[Actual Finish]],Tasks[[#This Row],[_ShownFcstFinish]]),"")</f>
        <v/>
      </c>
      <c r="GR171" s="43" t="n">
        <f aca="false">IF(Tasks[[#This Row],[_IsLeaf]]=1,N(Tasks[[#This Row],[Story Points]]),0)</f>
        <v>0</v>
      </c>
      <c r="GS171" s="43" t="str">
        <f aca="false">""</f>
        <v/>
      </c>
      <c r="GT171" s="90" t="b">
        <f aca="false">IF(Tasks[[#This Row],[Task Name]]="",FALSE(),AND(Tasks[[#This Row],[_IsLeaf]]=1,N(Tasks[[#This Row],[_Days]])=0))</f>
        <v>0</v>
      </c>
      <c r="GU171" s="91" t="n">
        <f aca="false">IF(Tasks[[#This Row],[Task Name]]="",0,IF(AND(Tasks[[#This Row],[_IsLeaf]]=1,NOT(Tasks[[#This Row],[_IsMilestone]]),N(Tasks[[#This Row],[Progress]])&gt;0),Tasks[[#This Row],[Start]],0))</f>
        <v>0</v>
      </c>
      <c r="GV171" s="91" t="n">
        <f aca="false">IF(Tasks[[#This Row],[_DoneFrom]]=0,0,IF(Tasks[[#This Row],[Progress]]&gt;=1,Tasks[[#This Row],[Finish]],MAX(Tasks[[#This Row],[_DoneFrom]],Tasks[[#This Row],[Start]]+ROUND((Tasks[[#This Row],[Finish]]-Tasks[[#This Row],[Start]]+1)*Tasks[[#This Row],[Progress]],0)-1)))</f>
        <v>0</v>
      </c>
      <c r="GW171" s="91" t="n">
        <f aca="false">IF(Tasks[[#This Row],[Task Name]]="",0,IF(OR(NOT(Tasks[[#This Row],[_IsLeaf]]=1),Tasks[[#This Row],[_IsMilestone]],N(Tasks[[#This Row],[Progress]])&gt;=1),0,IF(Tasks[[#This Row],[_DoneTo]]&gt;0,Tasks[[#This Row],[_DoneTo]]+1,Tasks[[#This Row],[Start]])))</f>
        <v>0</v>
      </c>
      <c r="GX171" s="91" t="n">
        <f aca="false">IF(Tasks[[#This Row],[_RemFrom]]=0,0,Tasks[[#This Row],[Finish]])</f>
        <v>0</v>
      </c>
      <c r="GY171" s="90" t="b">
        <f aca="false">IF(Tasks[[#This Row],[Task Name]]="",FALSE(),OR(NOT(BaselineSet),N(Tasks[[#This Row],[Baseline Start]])&gt;0))</f>
        <v>0</v>
      </c>
      <c r="GZ17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1" s="92" t="str">
        <f aca="false">IF(Tasks[[#This Row],[_IsLeaf]]=1,Tasks[[#This Row],[_Row]],"")</f>
        <v/>
      </c>
      <c r="HD171" s="92" t="str">
        <f aca="false">IFERROR(INDEX(Tasks[UID],SMALL(Tasks[_PickKey],Tasks[[#This Row],[_Row]]))&amp;" "&amp;INDEX(Tasks[Task Name],SMALL(Tasks[_PickKey],Tasks[[#This Row],[_Row]])),"")</f>
        <v/>
      </c>
      <c r="HE171" s="43" t="str">
        <f aca="false">IF(Tasks[[#This Row],[Task Name]]="","",IF(Tasks[[#This Row],[_IsSummary]],NETWORKDAYS.INTL(Tasks[[#This Row],[Start]],Tasks[[#This Row],[Finish]],WorkWeek,Holidays),N(Tasks[[#This Row],[_Days]])))</f>
        <v/>
      </c>
      <c r="HF171" s="43" t="n">
        <f aca="false">IF(Tasks[[#This Row],[Expected]]="",0,((Tasks[[#This Row],[Pessimistic]]-Tasks[[#This Row],[Optimistic]])/6)^2)</f>
        <v>0</v>
      </c>
      <c r="HG171" s="43" t="n">
        <f aca="false">IF(Tasks[[#This Row],[Expected]]="",0,Tasks[[#This Row],[Expected]]-N(Tasks[[#This Row],[_Days]]))</f>
        <v>0</v>
      </c>
    </row>
    <row r="172" customFormat="false" ht="15" hidden="false" customHeight="false" outlineLevel="0" collapsed="false">
      <c r="A172" s="21" t="str">
        <f aca="false">IF(Tasks[[#This Row],[Task Name]]="","",COUNTA(Tasks[[#Headers],[Task Name]]:Tasks[[#This Row],[Task Name]])-1)</f>
        <v/>
      </c>
      <c r="B172" s="22" t="n">
        <v>180</v>
      </c>
      <c r="C172" s="22"/>
      <c r="D172" s="23"/>
      <c r="E172" s="22"/>
      <c r="F172" s="23"/>
      <c r="G172" s="22"/>
      <c r="H172" s="22"/>
      <c r="I172" s="23"/>
      <c r="J172" s="22"/>
      <c r="K172" s="22"/>
      <c r="L172" s="23"/>
      <c r="M172" s="22"/>
      <c r="N172" s="22"/>
      <c r="O172" s="23"/>
      <c r="P172" s="22"/>
      <c r="Q172" s="22"/>
      <c r="R172" s="23"/>
      <c r="S172" s="23"/>
      <c r="T172" s="84"/>
      <c r="U172" s="23"/>
      <c r="V172" s="84"/>
      <c r="W172" s="23"/>
      <c r="X172" s="84"/>
      <c r="Y172" s="23"/>
      <c r="Z172" s="84"/>
      <c r="AA172" s="23"/>
      <c r="AB172" s="23"/>
      <c r="AC172" s="7"/>
      <c r="AD172" s="7"/>
      <c r="AE172" s="63" t="str">
        <f aca="false">IF(Tasks[[#This Row],[Task Name]]="","",IF(Tasks[[#This Row],[_IsSummary]],MIN(INDEX(Tasks[_ShownFcstStart],Tasks[[#This Row],[_Row]]+1):INDEX(Tasks[_ShownFcstStart],Tasks[[#This Row],[_Row]]+Tasks[[#This Row],[_Descendants]])),Tasks[[#This Row],[_ShownFcstStart]]))</f>
        <v/>
      </c>
      <c r="AF172" s="63" t="str">
        <f aca="false">IF(Tasks[[#This Row],[Task Name]]="","",IF(Tasks[[#This Row],[_IsSummary]],MAX(INDEX(Tasks[_ShownFcstFinish],Tasks[[#This Row],[_Row]]+1):INDEX(Tasks[_ShownFcstFinish],Tasks[[#This Row],[_Row]]+Tasks[[#This Row],[_Descendants]])),Tasks[[#This Row],[_ShownFcstFinish]]))</f>
        <v/>
      </c>
      <c r="AG172" s="21" t="str">
        <f aca="false">""</f>
        <v/>
      </c>
      <c r="AH172" s="23"/>
      <c r="AI1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2" s="7"/>
      <c r="AK172" s="22"/>
      <c r="AL172" s="23"/>
      <c r="AM172" s="7"/>
      <c r="AN172" s="47" t="str">
        <f aca="false">IF(Tasks[[#This Row],[Task Name]]="","",IF(Tasks[[#This Row],[Finish]]&gt;=Tasks[[#This Row],[Planned Finish]],NETWORKDAYS.INTL(Tasks[[#This Row],[Planned Finish]],Tasks[[#This Row],[Finish]],WorkWeek,Holidays)-1,1-NETWORKDAYS.INTL(Tasks[[#This Row],[Finish]],Tasks[[#This Row],[Planned Finish]],WorkWeek,Holidays)))</f>
        <v/>
      </c>
      <c r="AO172" s="21" t="str">
        <f aca="false">IF(Tasks[[#This Row],[Task Name]]="","",IF(Tasks[[#This Row],[Progress]]&gt;=1,"Complete",IF(OR(N(Tasks[[#This Row],[Actual Start]])&gt;0,Tasks[[#This Row],[Progress]]&gt;0),IF(Tasks[[#This Row],[Finish Var]]&gt;0,"Behind","In Progress"),IF(Tasks[[#This Row],[Planned Start]]&lt;StatusDate,"Late Start","Not Started"))))</f>
        <v/>
      </c>
      <c r="AP172" s="21" t="str">
        <f aca="false">IF(Tasks[[#This Row],[Task Name]]="","",IF(IF(Tasks[[#This Row],[_IsSummary]],COUNTIF(INDEX(Tasks[_LeafCritical],Tasks[[#This Row],[_Row]]+1):INDEX(Tasks[_LeafCritical],Tasks[[#This Row],[_Row]]+Tasks[[#This Row],[_Descendants]]),TRUE())&gt;0,Tasks[[#This Row],[_LeafCritical]]),"Yes",""))</f>
        <v/>
      </c>
      <c r="AQ172" s="63" t="str">
        <f aca="false">IF(Tasks[[#This Row],[Task Name]]="","",IF(N(Tasks[[#This Row],[Baseline Start]])&gt;0,Tasks[[#This Row],[Baseline Start]],Tasks[[#This Row],[_CalcStart]]))</f>
        <v/>
      </c>
      <c r="AR172" s="63" t="str">
        <f aca="false">IF(Tasks[[#This Row],[Task Name]]="","",IF(N(Tasks[[#This Row],[Baseline Finish]])&gt;0,Tasks[[#This Row],[Baseline Finish]],Tasks[[#This Row],[_CalcFinish]]))</f>
        <v/>
      </c>
      <c r="AS172" s="47" t="str">
        <f aca="false">IF(Tasks[[#This Row],[Task Name]]="","",IF(Tasks[[#This Row],[Start]]&gt;=Tasks[[#This Row],[Planned Start]],NETWORKDAYS.INTL(Tasks[[#This Row],[Planned Start]],Tasks[[#This Row],[Start]],WorkWeek,Holidays)-1,1-NETWORKDAYS.INTL(Tasks[[#This Row],[Start]],Tasks[[#This Row],[Planned Start]],WorkWeek,Holidays)))</f>
        <v/>
      </c>
      <c r="AT172" s="63" t="str">
        <f aca="false">IF(Tasks[[#This Row],[Task Name]]="","",IF(Tasks[[#This Row],[_IsSummary]],MIN(INDEX(Tasks[_LeafLateStart],Tasks[[#This Row],[_Row]]+1):INDEX(Tasks[_LeafLateStart],Tasks[[#This Row],[_Row]]+Tasks[[#This Row],[_Descendants]])),Tasks[[#This Row],[_LeafLateStart]]))</f>
        <v/>
      </c>
      <c r="AU172" s="63" t="str">
        <f aca="false">IF(Tasks[[#This Row],[Task Name]]="","",IF(Tasks[[#This Row],[_IsSummary]],MAX(INDEX(Tasks[_LeafLateFinish],Tasks[[#This Row],[_Row]]+1):INDEX(Tasks[_LeafLateFinish],Tasks[[#This Row],[_Row]]+Tasks[[#This Row],[_Descendants]])),Tasks[[#This Row],[_LeafLateFinish]]))</f>
        <v/>
      </c>
      <c r="AV172" s="47" t="str">
        <f aca="false">IF(Tasks[[#This Row],[Task Name]]="","",IF(Tasks[[#This Row],[_IsSummary]],MIN(INDEX(Tasks[_LeafTotalSlack],Tasks[[#This Row],[_Row]]+1):INDEX(Tasks[_LeafTotalSlack],Tasks[[#This Row],[_Row]]+Tasks[[#This Row],[_Descendants]])),Tasks[[#This Row],[_LeafTotalSlack]]))</f>
        <v/>
      </c>
      <c r="AW1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5"/>
      <c r="BA17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1" t="str">
        <f aca="false">IF(Tasks[[#This Row],[Task Name]]="","",IF(Tasks[[#This Row],[_Level]]&lt;=OutlineShowLevel,"Yes","No"))</f>
        <v/>
      </c>
      <c r="BE172" s="86" t="str">
        <f aca="false">IF(Tasks[[#This Row],[Task Name]]="","",IF(Tasks[[#This Row],[_IsSummary]],SUM(INDEX(Tasks[_LeafTotalWork],Tasks[[#This Row],[_Row]]+1):INDEX(Tasks[_LeafTotalWork],Tasks[[#This Row],[_Row]]+Tasks[[#This Row],[_Descendants]])),Tasks[[#This Row],[_LeafTotalWork]]))</f>
        <v/>
      </c>
      <c r="BF172" s="23"/>
      <c r="BG1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2" s="21" t="str">
        <f aca="false">""</f>
        <v/>
      </c>
      <c r="BI172" s="87"/>
      <c r="BJ172" s="22"/>
      <c r="BK172" s="47" t="str">
        <f aca="false">IF(OR(Tasks[[#This Row],[Task Name]]="",Tasks[[#This Row],[Baseline Duration]]=""),"",Tasks[[#This Row],[_SpanDays]]-N(Tasks[[#This Row],[Baseline Duration]]))</f>
        <v/>
      </c>
      <c r="BL172" s="86" t="str">
        <f aca="false">IF(OR(Tasks[[#This Row],[Task Name]]="",Tasks[[#This Row],[Baseline Work]]=""),"",Tasks[[#This Row],[Work]]-N(Tasks[[#This Row],[Baseline Work]]))</f>
        <v/>
      </c>
      <c r="BM172" s="63" t="str">
        <f aca="false">IF(Tasks[[#This Row],[Task Name]]="","",IF(OR(TakeBaseline="Yes",N(Tasks[[#This Row],[Baseline Start]])=0),Tasks[[#This Row],[Start]],Tasks[[#This Row],[Baseline Start]]))</f>
        <v/>
      </c>
      <c r="BN172" s="63" t="str">
        <f aca="false">IF(Tasks[[#This Row],[Task Name]]="","",IF(OR(TakeBaseline="Yes",N(Tasks[[#This Row],[Baseline Finish]])=0),Tasks[[#This Row],[Finish]],Tasks[[#This Row],[Baseline Finish]]))</f>
        <v/>
      </c>
      <c r="BO172" s="21" t="str">
        <f aca="false">IF(Tasks[[#This Row],[Task Name]]="","",IF(OR(TakeBaseline="Yes",N(Tasks[[#This Row],[Baseline Duration]])=0),Tasks[[#This Row],[_SpanDays]],Tasks[[#This Row],[Baseline Duration]]))</f>
        <v/>
      </c>
      <c r="BP172" s="86" t="str">
        <f aca="false">IF(Tasks[[#This Row],[Task Name]]="","",IF(OR(TakeBaseline="Yes",N(Tasks[[#This Row],[Baseline Work]])=0),Tasks[[#This Row],[Work]],Tasks[[#This Row],[Baseline Work]]))</f>
        <v/>
      </c>
      <c r="BQ172" s="7"/>
      <c r="BR172" s="7"/>
      <c r="BS172" s="22"/>
      <c r="BT172" s="88"/>
      <c r="BU172" s="23"/>
      <c r="BV172" s="23"/>
      <c r="BW172" s="23"/>
      <c r="BX172" s="89" t="str">
        <f aca="false">IF(AND(Tasks[[#This Row],[_IsLeaf]]=1,ISNUMBER(Tasks[[#This Row],[Optimistic]]),ISNUMBER(Tasks[[#This Row],[Pessimistic]])),ROUND((Tasks[[#This Row],[Optimistic]]+4*N(Tasks[[#This Row],[_Days]])+Tasks[[#This Row],[Pessimistic]])/6,1),"")</f>
        <v/>
      </c>
      <c r="BY172" s="87"/>
      <c r="BZ172" s="87"/>
      <c r="CA172" s="22"/>
      <c r="CB172" s="43" t="str">
        <f aca="false">IF(Tasks[[#This Row],[Task Name]]="","",MAX(1,N(Tasks[[#This Row],[Level]])))</f>
        <v/>
      </c>
      <c r="CC172" s="43" t="n">
        <f aca="false">ROW()-ROW(Tasks[[#Headers],[ID]])</f>
        <v>167</v>
      </c>
      <c r="CD172" s="43" t="n">
        <f aca="false">IF(OR(Tasks[[#This Row],[Task Name]]="",Tasks[[#This Row],[_Level]]&lt;=1),0,IFERROR(LOOKUP(2,1/(Tasks[[#Headers],[_Level]]:Tasks[[#This Row],[_Level]]=Tasks[[#This Row],[_Level]]-1),ROW(Tasks[[#Headers],[_Level]]:Tasks[[#This Row],[_Level]])),0))</f>
        <v>0</v>
      </c>
      <c r="CE172" s="43" t="n">
        <f aca="false">IFERROR(N(INDEX(Tasks[_Level],Tasks[[#This Row],[_Row]]+1)),0)</f>
        <v>0</v>
      </c>
      <c r="CF172" s="90" t="b">
        <f aca="false">AND(Tasks[[#This Row],[Task Name]]&lt;&gt;"",Tasks[[#This Row],[_NextLevel]]&gt;Tasks[[#This Row],[_Level]])</f>
        <v>0</v>
      </c>
      <c r="CG172" s="43" t="n">
        <f aca="false">IF(Tasks[[#This Row],[_IsSummary]],COUNTIF(Tasks[WBS],Tasks[[#This Row],[WBS]]&amp;".*"),0)</f>
        <v>0</v>
      </c>
      <c r="CH172" s="43" t="n">
        <f aca="false">IF(AND(Tasks[[#This Row],[Task Name]]&lt;&gt;"",NOT(Tasks[[#This Row],[_IsSummary]])),1,0)</f>
        <v>0</v>
      </c>
      <c r="CI172" s="43" t="n">
        <f aca="false">IF(N(Tasks[[#This Row],[_Pred1UID]])=0,0,IFERROR(MATCH(Tasks[[#This Row],[_Pred1UID]],Tasks[UID],0),-1))</f>
        <v>0</v>
      </c>
      <c r="CJ172" s="43" t="n">
        <f aca="false">IF(N(Tasks[[#This Row],[_Pred2UID]])=0,0,IFERROR(MATCH(Tasks[[#This Row],[_Pred2UID]],Tasks[UID],0),-1))</f>
        <v>0</v>
      </c>
      <c r="CK172" s="43" t="n">
        <f aca="false">IF(N(Tasks[[#This Row],[_Pred3UID]])=0,0,IFERROR(MATCH(Tasks[[#This Row],[_Pred3UID]],Tasks[UID],0),-1))</f>
        <v>0</v>
      </c>
      <c r="CL172" s="43" t="n">
        <f aca="false">IF(N(Tasks[[#This Row],[_Pred4UID]])=0,0,IFERROR(MATCH(Tasks[[#This Row],[_Pred4UID]],Tasks[UID],0),-1))</f>
        <v>0</v>
      </c>
      <c r="CM17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2" s="91" t="n">
        <f aca="false">IF(OR(Tasks[[#This Row],[_ConstraintCode]]=2,Tasks[[#This Row],[_ConstraintCode]]=3,Tasks[[#This Row],[_ConstraintCode]]=4,Tasks[[#This Row],[_ConstraintCode]]=6),Tasks[[#This Row],[_ConstraintStart]],0)</f>
        <v>0</v>
      </c>
      <c r="CP172" s="91" t="n">
        <f aca="false">IF(OR(Tasks[[#This Row],[_ConstraintCode]]=2,Tasks[[#This Row],[_ConstraintCode]]=3,Tasks[[#This Row],[_ConstraintCode]]=5,Tasks[[#This Row],[_ConstraintCode]]=7),Tasks[[#This Row],[_ConstraintStart]],2958465)</f>
        <v>2958465</v>
      </c>
      <c r="CQ17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2" s="91" t="str">
        <f aca="false">IF(NOT(Tasks[[#This Row],[_IsLeaf]]=1),"",IF(N(Tasks[[#This Row],[_Days]])&lt;=0,Tasks[[#This Row],[_LeafCalcStart]],WORKDAY.INTL(Tasks[[#This Row],[_LeafCalcStart]],Tasks[[#This Row],[_Days]]-1,WorkWeek,Holidays)))</f>
        <v/>
      </c>
      <c r="CS17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2" s="43" t="str">
        <f aca="false">IF(Tasks[[#This Row],[_Predecessors]]="","",TRIM(MID(SUBSTITUTE(SUBSTITUTE(SUBSTITUTE(UPPER(Tasks[[#This Row],[_Predecessors]]),";",",")," ",""),",",REPT(" ",99)),1,99)))</f>
        <v/>
      </c>
      <c r="CV172" s="43" t="str">
        <f aca="false">IF(Tasks[[#This Row],[_Pred1Text]]="","",IFERROR(VALUE(LEFT(Tasks[[#This Row],[_Pred1Text]],MIN(FIND("F",Tasks[[#This Row],[_Pred1Text]]&amp;"F"),FIND("S",Tasks[[#This Row],[_Pred1Text]]&amp;"S"),FIND("+",Tasks[[#This Row],[_Pred1Text]]&amp;"+"),FIND("-",Tasks[[#This Row],[_Pred1Text]]&amp;"-"))-1)),""))</f>
        <v/>
      </c>
      <c r="CW17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2" s="43" t="str">
        <f aca="false">IF(Tasks[[#This Row],[_Pred1Text]]="","",TRIM(MID(SUBSTITUTE(SUBSTITUTE(SUBSTITUTE(UPPER(Tasks[[#This Row],[_Predecessors]]),";",",")," ",""),",",REPT(" ",99)),100,99)))</f>
        <v/>
      </c>
      <c r="CZ172" s="43" t="str">
        <f aca="false">IF(Tasks[[#This Row],[_Pred2Text]]="","",IFERROR(VALUE(LEFT(Tasks[[#This Row],[_Pred2Text]],MIN(FIND("F",Tasks[[#This Row],[_Pred2Text]]&amp;"F"),FIND("S",Tasks[[#This Row],[_Pred2Text]]&amp;"S"),FIND("+",Tasks[[#This Row],[_Pred2Text]]&amp;"+"),FIND("-",Tasks[[#This Row],[_Pred2Text]]&amp;"-"))-1)),""))</f>
        <v/>
      </c>
      <c r="DA17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2" s="43" t="str">
        <f aca="false">IF(Tasks[[#This Row],[_Pred2Text]]="","",TRIM(MID(SUBSTITUTE(SUBSTITUTE(SUBSTITUTE(UPPER(Tasks[[#This Row],[_Predecessors]]),";",",")," ",""),",",REPT(" ",99)),199,99)))</f>
        <v/>
      </c>
      <c r="DD172" s="43" t="str">
        <f aca="false">IF(Tasks[[#This Row],[_Pred3Text]]="","",IFERROR(VALUE(LEFT(Tasks[[#This Row],[_Pred3Text]],MIN(FIND("F",Tasks[[#This Row],[_Pred3Text]]&amp;"F"),FIND("S",Tasks[[#This Row],[_Pred3Text]]&amp;"S"),FIND("+",Tasks[[#This Row],[_Pred3Text]]&amp;"+"),FIND("-",Tasks[[#This Row],[_Pred3Text]]&amp;"-"))-1)),""))</f>
        <v/>
      </c>
      <c r="DE17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2" s="43" t="str">
        <f aca="false">IF(Tasks[[#This Row],[_Pred3Text]]="","",TRIM(MID(SUBSTITUTE(SUBSTITUTE(SUBSTITUTE(UPPER(Tasks[[#This Row],[_Predecessors]]),";",",")," ",""),",",REPT(" ",99)),298,99)))</f>
        <v/>
      </c>
      <c r="DH172" s="43" t="str">
        <f aca="false">IF(Tasks[[#This Row],[_Pred4Text]]="","",IFERROR(VALUE(LEFT(Tasks[[#This Row],[_Pred4Text]],MIN(FIND("F",Tasks[[#This Row],[_Pred4Text]]&amp;"F"),FIND("S",Tasks[[#This Row],[_Pred4Text]]&amp;"S"),FIND("+",Tasks[[#This Row],[_Pred4Text]]&amp;"+"),FIND("-",Tasks[[#This Row],[_Pred4Text]]&amp;"-"))-1)),""))</f>
        <v/>
      </c>
      <c r="DI17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2" s="43" t="str">
        <f aca="false">IF(OR(Tasks[[#This Row],[Task Name]]="",Tasks[[#This Row],[_Resources]]=""),"",TRIM(MID(SUBSTITUTE(Tasks[[#This Row],[_Resources]],",",REPT(" ",99)),1,99)))</f>
        <v/>
      </c>
      <c r="DL172" s="43" t="str">
        <f aca="false">IF(Tasks[[#This Row],[_Res1Text]]="","",TRIM(MID(SUBSTITUTE(Tasks[[#This Row],[_Resources]],",",REPT(" ",99)),100,99)))</f>
        <v/>
      </c>
      <c r="DM172" s="43" t="str">
        <f aca="false">IF(Tasks[[#This Row],[_Res2Text]]="","",TRIM(MID(SUBSTITUTE(Tasks[[#This Row],[_Resources]],",",REPT(" ",99)),199,99)))</f>
        <v/>
      </c>
      <c r="DN172" s="43" t="str">
        <f aca="false">IF(Tasks[[#This Row],[_Res3Text]]="","",TRIM(MID(SUBSTITUTE(Tasks[[#This Row],[_Resources]],",",REPT(" ",99)),298,99)))</f>
        <v/>
      </c>
      <c r="DO172" s="43" t="n">
        <f aca="false">IF(Tasks[[#This Row],[_Res1Text]]="",0,IFERROR(MATCH(TRIM(LEFT(Tasks[[#This Row],[_Res1Text]],FIND("[",Tasks[[#This Row],[_Res1Text]]&amp;"[")-1)),res_Name,0),IFERROR(MATCH(TRIM(LEFT(Tasks[[#This Row],[_Res1Text]],FIND("[",Tasks[[#This Row],[_Res1Text]]&amp;"[")-1)),res_Initials,0),0)))</f>
        <v>0</v>
      </c>
      <c r="DP172" s="43" t="n">
        <f aca="false">IF(Tasks[[#This Row],[_Res2Text]]="",0,IFERROR(MATCH(TRIM(LEFT(Tasks[[#This Row],[_Res2Text]],FIND("[",Tasks[[#This Row],[_Res2Text]]&amp;"[")-1)),res_Name,0),IFERROR(MATCH(TRIM(LEFT(Tasks[[#This Row],[_Res2Text]],FIND("[",Tasks[[#This Row],[_Res2Text]]&amp;"[")-1)),res_Initials,0),0)))</f>
        <v>0</v>
      </c>
      <c r="DQ172" s="43" t="n">
        <f aca="false">IF(Tasks[[#This Row],[_Res3Text]]="",0,IFERROR(MATCH(TRIM(LEFT(Tasks[[#This Row],[_Res3Text]],FIND("[",Tasks[[#This Row],[_Res3Text]]&amp;"[")-1)),res_Name,0),IFERROR(MATCH(TRIM(LEFT(Tasks[[#This Row],[_Res3Text]],FIND("[",Tasks[[#This Row],[_Res3Text]]&amp;"[")-1)),res_Initials,0),0)))</f>
        <v>0</v>
      </c>
      <c r="DR172" s="43" t="n">
        <f aca="false">IF(Tasks[[#This Row],[_Res4Text]]="",0,IFERROR(MATCH(TRIM(LEFT(Tasks[[#This Row],[_Res4Text]],FIND("[",Tasks[[#This Row],[_Res4Text]]&amp;"[")-1)),res_Name,0),IFERROR(MATCH(TRIM(LEFT(Tasks[[#This Row],[_Res4Text]],FIND("[",Tasks[[#This Row],[_Res4Text]]&amp;"[")-1)),res_Initials,0),0)))</f>
        <v>0</v>
      </c>
      <c r="DS172" s="43" t="str">
        <f aca="false">IF(Tasks[[#This Row],[_Res1Text]]="","",IF(Tasks[[#This Row],[_Res1Row]]&gt;0,INDEX(res_Name,Tasks[[#This Row],[_Res1Row]]),TRIM(LEFT(Tasks[[#This Row],[_Res1Text]],FIND("[",Tasks[[#This Row],[_Res1Text]]&amp;"[")-1))))</f>
        <v/>
      </c>
      <c r="DT17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2" s="43" t="n">
        <f aca="false">IF(NOT(Tasks[[#This Row],[_IsLeaf]]=1),0,(Tasks[[#This Row],[_Resource1]]&lt;&gt;"")+(Tasks[[#This Row],[_Res2]]&lt;&gt;"")+(Tasks[[#This Row],[_Res3]]&lt;&gt;"")+(Tasks[[#This Row],[_Res4]]&lt;&gt;""))</f>
        <v>0</v>
      </c>
      <c r="DV172" s="43" t="str">
        <f aca="false">IF(Tasks[[#This Row],[_Res2Text]]="","",IF(Tasks[[#This Row],[_Res2Row]]&gt;0,INDEX(res_Name,Tasks[[#This Row],[_Res2Row]]),TRIM(LEFT(Tasks[[#This Row],[_Res2Text]],FIND("[",Tasks[[#This Row],[_Res2Text]]&amp;"[")-1))))</f>
        <v/>
      </c>
      <c r="DW17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2" s="43" t="n">
        <f aca="false">IF(OR(NOT(Tasks[[#This Row],[_IsLeaf]]=1),Tasks[[#This Row],[_Res2Row]]=0),0,N(Tasks[[#This Row],[_Days]])*HoursPerDay*IF(Tasks[[#This Row],[_Res2Units]]="",DefaultUnits,Tasks[[#This Row],[_Res2Units]]))</f>
        <v>0</v>
      </c>
      <c r="DY172" s="43" t="n">
        <f aca="false">IF(AND(AND(Tasks[[#This Row],[_IsLeaf]]=1,Tasks[[#This Row],[_LeafTotalWork]]&gt;0),Tasks[[#This Row],[_Res2Work]]&gt;0),Tasks[[#This Row],[_Res2Work]]/(Tasks[[#This Row],[_FinishWorkday]]-Tasks[[#This Row],[_StartWorkday]]+1),0)</f>
        <v>0</v>
      </c>
      <c r="DZ172" s="43" t="n">
        <f aca="false">Tasks[[#This Row],[_Res2WorkPerWD]]*MAX(0,Tasks[[#This Row],[_StartWorkday]]-1)</f>
        <v>0</v>
      </c>
      <c r="EA172" s="43" t="n">
        <f aca="false">Tasks[[#This Row],[_Res2Work]]*Tasks[[#This Row],[_LeafProgress]]</f>
        <v>0</v>
      </c>
      <c r="EB172" s="43" t="str">
        <f aca="false">IF(Tasks[[#This Row],[_Res3Text]]="","",IF(Tasks[[#This Row],[_Res3Row]]&gt;0,INDEX(res_Name,Tasks[[#This Row],[_Res3Row]]),TRIM(LEFT(Tasks[[#This Row],[_Res3Text]],FIND("[",Tasks[[#This Row],[_Res3Text]]&amp;"[")-1))))</f>
        <v/>
      </c>
      <c r="EC17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2" s="43" t="n">
        <f aca="false">IF(OR(NOT(Tasks[[#This Row],[_IsLeaf]]=1),Tasks[[#This Row],[_Res3Row]]=0),0,N(Tasks[[#This Row],[_Days]])*HoursPerDay*IF(Tasks[[#This Row],[_Res3Units]]="",DefaultUnits,Tasks[[#This Row],[_Res3Units]]))</f>
        <v>0</v>
      </c>
      <c r="EE172" s="43" t="n">
        <f aca="false">IF(AND(AND(Tasks[[#This Row],[_IsLeaf]]=1,Tasks[[#This Row],[_LeafTotalWork]]&gt;0),Tasks[[#This Row],[_Res3Work]]&gt;0),Tasks[[#This Row],[_Res3Work]]/(Tasks[[#This Row],[_FinishWorkday]]-Tasks[[#This Row],[_StartWorkday]]+1),0)</f>
        <v>0</v>
      </c>
      <c r="EF172" s="43" t="n">
        <f aca="false">Tasks[[#This Row],[_Res3WorkPerWD]]*MAX(0,Tasks[[#This Row],[_StartWorkday]]-1)</f>
        <v>0</v>
      </c>
      <c r="EG172" s="43" t="n">
        <f aca="false">Tasks[[#This Row],[_Res3Work]]*Tasks[[#This Row],[_LeafProgress]]</f>
        <v>0</v>
      </c>
      <c r="EH172" s="43" t="str">
        <f aca="false">IF(Tasks[[#This Row],[_Res4Text]]="","",IF(Tasks[[#This Row],[_Res4Row]]&gt;0,INDEX(res_Name,Tasks[[#This Row],[_Res4Row]]),TRIM(LEFT(Tasks[[#This Row],[_Res4Text]],FIND("[",Tasks[[#This Row],[_Res4Text]]&amp;"[")-1))))</f>
        <v/>
      </c>
      <c r="EI17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2" s="43" t="n">
        <f aca="false">IF(OR(NOT(Tasks[[#This Row],[_IsLeaf]]=1),Tasks[[#This Row],[_Res4Row]]=0),0,N(Tasks[[#This Row],[_Days]])*HoursPerDay*IF(Tasks[[#This Row],[_Res4Units]]="",DefaultUnits,Tasks[[#This Row],[_Res4Units]]))</f>
        <v>0</v>
      </c>
      <c r="EK172" s="43" t="n">
        <f aca="false">IF(AND(AND(Tasks[[#This Row],[_IsLeaf]]=1,Tasks[[#This Row],[_LeafTotalWork]]&gt;0),Tasks[[#This Row],[_Res4Work]]&gt;0),Tasks[[#This Row],[_Res4Work]]/(Tasks[[#This Row],[_FinishWorkday]]-Tasks[[#This Row],[_StartWorkday]]+1),0)</f>
        <v>0</v>
      </c>
      <c r="EL172" s="43" t="n">
        <f aca="false">Tasks[[#This Row],[_Res4WorkPerWD]]*MAX(0,Tasks[[#This Row],[_StartWorkday]]-1)</f>
        <v>0</v>
      </c>
      <c r="EM172" s="43" t="n">
        <f aca="false">Tasks[[#This Row],[_Res4Work]]*Tasks[[#This Row],[_LeafProgress]]</f>
        <v>0</v>
      </c>
      <c r="EN172" s="43" t="n">
        <f aca="false">IF(ISNUMBER(Tasks[[#This Row],[% Complete]]),Tasks[[#This Row],[% Complete]],IF(Tasks[[#This Row],[Stage]]="",0,IFERROR(INDEX(stg_Pct,MATCH(Tasks[[#This Row],[Stage]],stg_Name,0)),0)))</f>
        <v>0</v>
      </c>
      <c r="EO172" s="43" t="n">
        <f aca="false">IF(NOT(Tasks[[#This Row],[_IsLeaf]]=1),0,IF(N(Tasks[[#This Row],[Actual Finish]])&gt;0,1,MIN(1,Tasks[[#This Row],[_Pct]])))</f>
        <v>0</v>
      </c>
      <c r="EP172" s="43" t="n">
        <f aca="false">IF(OR(NOT(Tasks[[#This Row],[_IsLeaf]]=1),Tasks[[#This Row],[_Res1Row]]=0),0,N(Tasks[[#This Row],[_Days]])*HoursPerDay*IF(Tasks[[#This Row],[_Units1]]="",DefaultUnits,Tasks[[#This Row],[_Units1]]))</f>
        <v>0</v>
      </c>
      <c r="EQ172" s="43" t="n">
        <f aca="false">Tasks[[#This Row],[_LeafWork]]+Tasks[[#This Row],[_Res2Work]]+Tasks[[#This Row],[_Res3Work]]+Tasks[[#This Row],[_Res4Work]]</f>
        <v>0</v>
      </c>
      <c r="ER17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2" s="43" t="n">
        <f aca="false">IF(NOT(Tasks[[#This Row],[_IsLeaf]]=1),0,MAX(_xlfn.MAXIFS(Tasks[_Row],Tasks[_Pred1UID],Tasks[[#This Row],[UID]]),_xlfn.MAXIFS(Tasks[_Row],Tasks[_Pred2UID],Tasks[[#This Row],[UID]]),_xlfn.MAXIFS(Tasks[_Row],Tasks[_Pred3UID],Tasks[[#This Row],[UID]]),_xlfn.MAXIFS(Tasks[_Row],Tasks[_Pred4UID],Tasks[[#This Row],[UID]])))</f>
        <v>0</v>
      </c>
      <c r="FA17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2" s="91" t="str">
        <f aca="false">IF(NOT(Tasks[[#This Row],[_IsLeaf]]=1),"",IF(N(Tasks[[#This Row],[_Days]])&lt;=0,Tasks[[#This Row],[_LeafLateFinish]],WORKDAY.INTL(Tasks[[#This Row],[_LeafLateFinish]],-(Tasks[[#This Row],[_Days]]-1),WorkWeek,Holidays)))</f>
        <v/>
      </c>
      <c r="FD17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2" s="90" t="b">
        <f aca="false">AND(Tasks[[#This Row],[_IsLeaf]]=1,Tasks[[#This Row],[_LeafProgress]]&lt;1,N(Tasks[[#This Row],[_LeafTotalSlack]])&lt;=CriticalSlackDays)</f>
        <v>0</v>
      </c>
      <c r="FF172" s="43" t="n">
        <f aca="false">IF(AND(Tasks[[#This Row],[_IsLeaf]]=1,Tasks[[#This Row],[_ConstraintCode]]=1,Tasks[[#This Row],[Mode]]&lt;&gt;"Manual",N(Tasks[[#This Row],[Actual Start]])=0),MAX(0,N(Tasks[[#This Row],[Free Slack]])),0)</f>
        <v>0</v>
      </c>
      <c r="FG172" s="91" t="str">
        <f aca="false">IF(NOT(Tasks[[#This Row],[_IsLeaf]]=1),"",IF(Tasks[[#This Row],[_AlapShift]]=0,Tasks[[#This Row],[_LeafCalcStart]],WORKDAY.INTL(Tasks[[#This Row],[_LeafCalcStart]],Tasks[[#This Row],[_AlapShift]],WorkWeek,Holidays)))</f>
        <v/>
      </c>
      <c r="FH172" s="91" t="str">
        <f aca="false">IF(NOT(Tasks[[#This Row],[_IsLeaf]]=1),"",IF(Tasks[[#This Row],[_AlapShift]]=0,Tasks[[#This Row],[_LeafCalcFinish]],WORKDAY.INTL(Tasks[[#This Row],[_LeafCalcFinish]],Tasks[[#This Row],[_AlapShift]],WorkWeek,Holidays)))</f>
        <v/>
      </c>
      <c r="FI172" s="91" t="str">
        <f aca="false">IF(NOT(Tasks[[#This Row],[_IsLeaf]]=1),"",IF(Tasks[[#This Row],[_AlapShift]]=0,Tasks[[#This Row],[_LeafFcstStart]],WORKDAY.INTL(Tasks[[#This Row],[_LeafFcstStart]],Tasks[[#This Row],[_AlapShift]],WorkWeek,Holidays)))</f>
        <v/>
      </c>
      <c r="FJ172" s="91" t="str">
        <f aca="false">IF(NOT(Tasks[[#This Row],[_IsLeaf]]=1),"",IF(Tasks[[#This Row],[_AlapShift]]=0,Tasks[[#This Row],[_LeafFcstFinish]],WORKDAY.INTL(Tasks[[#This Row],[_LeafFcstFinish]],Tasks[[#This Row],[_AlapShift]],WorkWeek,Holidays)))</f>
        <v/>
      </c>
      <c r="FK172" s="91" t="str">
        <f aca="false">IF(Tasks[[#This Row],[Task Name]]="","",IF(Tasks[[#This Row],[_IsSummary]],MIN(INDEX(Tasks[_ShownCalcStart],Tasks[[#This Row],[_Row]]+1):INDEX(Tasks[_ShownCalcStart],Tasks[[#This Row],[_Row]]+Tasks[[#This Row],[_Descendants]])),Tasks[[#This Row],[_ShownCalcStart]]))</f>
        <v/>
      </c>
      <c r="FL172" s="91" t="str">
        <f aca="false">IF(Tasks[[#This Row],[Task Name]]="","",IF(Tasks[[#This Row],[_IsSummary]],MAX(INDEX(Tasks[_ShownCalcFinish],Tasks[[#This Row],[_Row]]+1):INDEX(Tasks[_ShownCalcFinish],Tasks[[#This Row],[_Row]]+Tasks[[#This Row],[_Descendants]])),Tasks[[#This Row],[_ShownCalcFinish]]))</f>
        <v/>
      </c>
      <c r="FM17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2" s="43" t="n">
        <f aca="false">IF(AND(Tasks[[#This Row],[_IsLeaf]]=1,Tasks[[#This Row],[_LeafTotalWork]]&gt;0),NETWORKDAYS.INTL(ProjectStart,Tasks[[#This Row],[_ShownFcstStart]],WorkWeek,Holidays),0)</f>
        <v>0</v>
      </c>
      <c r="FZ172" s="43" t="n">
        <f aca="false">IF(AND(Tasks[[#This Row],[_IsLeaf]]=1,Tasks[[#This Row],[_LeafTotalWork]]&gt;0),MAX(Tasks[[#This Row],[_StartWorkday]],NETWORKDAYS.INTL(ProjectStart,Tasks[[#This Row],[_ShownFcstFinish]],WorkWeek,Holidays)),0)</f>
        <v>0</v>
      </c>
      <c r="GA172" s="43" t="n">
        <f aca="false">IF(AND(Tasks[[#This Row],[_IsLeaf]]=1,Tasks[[#This Row],[_LeafTotalWork]]&gt;0),Tasks[[#This Row],[_LeafWork]]/(Tasks[[#This Row],[_FinishWorkday]]-Tasks[[#This Row],[_StartWorkday]]+1),0)</f>
        <v>0</v>
      </c>
      <c r="GB172" s="43" t="n">
        <f aca="false">Tasks[[#This Row],[_WorkPerWorkday]]*(Tasks[[#This Row],[_StartWorkday]]-1)</f>
        <v>-0</v>
      </c>
      <c r="GC172" s="43" t="n">
        <f aca="false">IF(Tasks[[#This Row],[_IsLeaf]]=1,MAX(N(Tasks[[#This Row],[_Days]]),0.1),0)</f>
        <v>0</v>
      </c>
      <c r="GD172" s="43" t="n">
        <f aca="false">Tasks[[#This Row],[_WeightDur]]*Tasks[[#This Row],[_LeafProgress]]</f>
        <v>0</v>
      </c>
      <c r="GE172" s="43" t="n">
        <f aca="false">Tasks[[#This Row],[_WeightDur]]*Tasks[[#This Row],[_PlannedPct]]</f>
        <v>0</v>
      </c>
      <c r="GF17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2" s="43" t="str">
        <f aca="false">IF(AND(Tasks[[#This Row],[_IsLeaf]]=1,N(Tasks[[#This Row],[_Days]])=0,Tasks[[#This Row],[_LeafProgress]]&lt;1),Tasks[[#This Row],[_ShownFcstFinish]]+Tasks[[#This Row],[_Row]]/100000,"")</f>
        <v/>
      </c>
      <c r="GH17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2" s="43" t="str">
        <f aca="false">IF(Tasks[[#This Row],[Task Name]]="","",LEFT(Tasks[[#This Row],[WBS]],FIND(".",Tasks[[#This Row],[WBS]]&amp;".")-1))</f>
        <v/>
      </c>
      <c r="GJ172" s="43" t="str">
        <f aca="false">IF(AND(Tasks[[#This Row],[Task Name]]&lt;&gt;"",Tasks[[#This Row],[_Level]]=1),Tasks[[#This Row],[_Row]],"")</f>
        <v/>
      </c>
      <c r="GK172" s="43" t="str">
        <f aca="false">IF(AND(Tasks[[#This Row],[_IsLeaf]]=1,N(Tasks[[#This Row],[_Days]])=0),Tasks[[#This Row],[Planned Finish]]+Tasks[[#This Row],[_Row]]/100000,"")</f>
        <v/>
      </c>
      <c r="GL172" s="43" t="str">
        <f aca="false">IF(AND(Tasks[[#This Row],[_IsLeaf]]=1,Tasks[[#This Row],[_LeafProgress]]&lt;1,OR(N(Tasks[[#This Row],[Finish Var]])&gt;0,Tasks[[#This Row],[Status]]="Late Start")),MAX(0,Tasks[[#This Row],[Finish Var]])+1-Tasks[[#This Row],[_Row]]/1000000,"")</f>
        <v/>
      </c>
      <c r="GM172" s="43" t="str">
        <f aca="false">IF(AND(Tasks[[#This Row],[_IsLeaf]]=1,N(Tasks[[#This Row],[Actual Start]])=0,Tasks[[#This Row],[_ShownFcstStart]]&gt;=StatusDate,Tasks[[#This Row],[_ShownFcstStart]]&lt;=LookaheadEnd),Tasks[[#This Row],[_ShownFcstStart]]+Tasks[[#This Row],[_Row]]/100000,"")</f>
        <v/>
      </c>
      <c r="GN172" s="43" t="str">
        <f aca="false">IF(AND(Tasks[[#This Row],[_IsLeaf]]=1,Tasks[[#This Row],[_LeafProgress]]&lt;1,Tasks[[#This Row],[_ShownFcstFinish]]&gt;=StatusDate,Tasks[[#This Row],[_ShownFcstFinish]]&lt;=LookaheadEnd),Tasks[[#This Row],[_ShownFcstFinish]]+Tasks[[#This Row],[_Row]]/100000,"")</f>
        <v/>
      </c>
      <c r="GO172" s="43" t="str">
        <f aca="false">IF(Tasks[[#This Row],[_LeafCritical]],Tasks[[#This Row],[_ShownFcstStart]]+Tasks[[#This Row],[_Row]]/100000,"")</f>
        <v/>
      </c>
      <c r="GP172" s="43" t="n">
        <f aca="false">Tasks[[#This Row],[_LeafWork]]*Tasks[[#This Row],[_LeafProgress]]</f>
        <v>0</v>
      </c>
      <c r="GQ172" s="91" t="str">
        <f aca="false">IF(AND(Tasks[[#This Row],[_IsLeaf]]=1,Tasks[[#This Row],[_LeafProgress]]&gt;=1),IF(N(Tasks[[#This Row],[Actual Finish]])&gt;0,Tasks[[#This Row],[Actual Finish]],Tasks[[#This Row],[_ShownFcstFinish]]),"")</f>
        <v/>
      </c>
      <c r="GR172" s="43" t="n">
        <f aca="false">IF(Tasks[[#This Row],[_IsLeaf]]=1,N(Tasks[[#This Row],[Story Points]]),0)</f>
        <v>0</v>
      </c>
      <c r="GS172" s="43" t="str">
        <f aca="false">""</f>
        <v/>
      </c>
      <c r="GT172" s="90" t="b">
        <f aca="false">IF(Tasks[[#This Row],[Task Name]]="",FALSE(),AND(Tasks[[#This Row],[_IsLeaf]]=1,N(Tasks[[#This Row],[_Days]])=0))</f>
        <v>0</v>
      </c>
      <c r="GU172" s="91" t="n">
        <f aca="false">IF(Tasks[[#This Row],[Task Name]]="",0,IF(AND(Tasks[[#This Row],[_IsLeaf]]=1,NOT(Tasks[[#This Row],[_IsMilestone]]),N(Tasks[[#This Row],[Progress]])&gt;0),Tasks[[#This Row],[Start]],0))</f>
        <v>0</v>
      </c>
      <c r="GV172" s="91" t="n">
        <f aca="false">IF(Tasks[[#This Row],[_DoneFrom]]=0,0,IF(Tasks[[#This Row],[Progress]]&gt;=1,Tasks[[#This Row],[Finish]],MAX(Tasks[[#This Row],[_DoneFrom]],Tasks[[#This Row],[Start]]+ROUND((Tasks[[#This Row],[Finish]]-Tasks[[#This Row],[Start]]+1)*Tasks[[#This Row],[Progress]],0)-1)))</f>
        <v>0</v>
      </c>
      <c r="GW172" s="91" t="n">
        <f aca="false">IF(Tasks[[#This Row],[Task Name]]="",0,IF(OR(NOT(Tasks[[#This Row],[_IsLeaf]]=1),Tasks[[#This Row],[_IsMilestone]],N(Tasks[[#This Row],[Progress]])&gt;=1),0,IF(Tasks[[#This Row],[_DoneTo]]&gt;0,Tasks[[#This Row],[_DoneTo]]+1,Tasks[[#This Row],[Start]])))</f>
        <v>0</v>
      </c>
      <c r="GX172" s="91" t="n">
        <f aca="false">IF(Tasks[[#This Row],[_RemFrom]]=0,0,Tasks[[#This Row],[Finish]])</f>
        <v>0</v>
      </c>
      <c r="GY172" s="90" t="b">
        <f aca="false">IF(Tasks[[#This Row],[Task Name]]="",FALSE(),OR(NOT(BaselineSet),N(Tasks[[#This Row],[Baseline Start]])&gt;0))</f>
        <v>0</v>
      </c>
      <c r="GZ17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2" s="92" t="str">
        <f aca="false">IF(Tasks[[#This Row],[_IsLeaf]]=1,Tasks[[#This Row],[_Row]],"")</f>
        <v/>
      </c>
      <c r="HD172" s="92" t="str">
        <f aca="false">IFERROR(INDEX(Tasks[UID],SMALL(Tasks[_PickKey],Tasks[[#This Row],[_Row]]))&amp;" "&amp;INDEX(Tasks[Task Name],SMALL(Tasks[_PickKey],Tasks[[#This Row],[_Row]])),"")</f>
        <v/>
      </c>
      <c r="HE172" s="43" t="str">
        <f aca="false">IF(Tasks[[#This Row],[Task Name]]="","",IF(Tasks[[#This Row],[_IsSummary]],NETWORKDAYS.INTL(Tasks[[#This Row],[Start]],Tasks[[#This Row],[Finish]],WorkWeek,Holidays),N(Tasks[[#This Row],[_Days]])))</f>
        <v/>
      </c>
      <c r="HF172" s="43" t="n">
        <f aca="false">IF(Tasks[[#This Row],[Expected]]="",0,((Tasks[[#This Row],[Pessimistic]]-Tasks[[#This Row],[Optimistic]])/6)^2)</f>
        <v>0</v>
      </c>
      <c r="HG172" s="43" t="n">
        <f aca="false">IF(Tasks[[#This Row],[Expected]]="",0,Tasks[[#This Row],[Expected]]-N(Tasks[[#This Row],[_Days]]))</f>
        <v>0</v>
      </c>
    </row>
    <row r="173" customFormat="false" ht="15" hidden="false" customHeight="false" outlineLevel="0" collapsed="false">
      <c r="A173" s="21" t="str">
        <f aca="false">IF(Tasks[[#This Row],[Task Name]]="","",COUNTA(Tasks[[#Headers],[Task Name]]:Tasks[[#This Row],[Task Name]])-1)</f>
        <v/>
      </c>
      <c r="B173" s="22" t="n">
        <v>181</v>
      </c>
      <c r="C173" s="22"/>
      <c r="D173" s="23"/>
      <c r="E173" s="22"/>
      <c r="F173" s="23"/>
      <c r="G173" s="22"/>
      <c r="H173" s="22"/>
      <c r="I173" s="23"/>
      <c r="J173" s="22"/>
      <c r="K173" s="22"/>
      <c r="L173" s="23"/>
      <c r="M173" s="22"/>
      <c r="N173" s="22"/>
      <c r="O173" s="23"/>
      <c r="P173" s="22"/>
      <c r="Q173" s="22"/>
      <c r="R173" s="23"/>
      <c r="S173" s="23"/>
      <c r="T173" s="84"/>
      <c r="U173" s="23"/>
      <c r="V173" s="84"/>
      <c r="W173" s="23"/>
      <c r="X173" s="84"/>
      <c r="Y173" s="23"/>
      <c r="Z173" s="84"/>
      <c r="AA173" s="23"/>
      <c r="AB173" s="23"/>
      <c r="AC173" s="7"/>
      <c r="AD173" s="7"/>
      <c r="AE173" s="63" t="str">
        <f aca="false">IF(Tasks[[#This Row],[Task Name]]="","",IF(Tasks[[#This Row],[_IsSummary]],MIN(INDEX(Tasks[_ShownFcstStart],Tasks[[#This Row],[_Row]]+1):INDEX(Tasks[_ShownFcstStart],Tasks[[#This Row],[_Row]]+Tasks[[#This Row],[_Descendants]])),Tasks[[#This Row],[_ShownFcstStart]]))</f>
        <v/>
      </c>
      <c r="AF173" s="63" t="str">
        <f aca="false">IF(Tasks[[#This Row],[Task Name]]="","",IF(Tasks[[#This Row],[_IsSummary]],MAX(INDEX(Tasks[_ShownFcstFinish],Tasks[[#This Row],[_Row]]+1):INDEX(Tasks[_ShownFcstFinish],Tasks[[#This Row],[_Row]]+Tasks[[#This Row],[_Descendants]])),Tasks[[#This Row],[_ShownFcstFinish]]))</f>
        <v/>
      </c>
      <c r="AG173" s="21" t="str">
        <f aca="false">""</f>
        <v/>
      </c>
      <c r="AH173" s="23"/>
      <c r="AI1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3" s="7"/>
      <c r="AK173" s="22"/>
      <c r="AL173" s="23"/>
      <c r="AM173" s="7"/>
      <c r="AN173" s="47" t="str">
        <f aca="false">IF(Tasks[[#This Row],[Task Name]]="","",IF(Tasks[[#This Row],[Finish]]&gt;=Tasks[[#This Row],[Planned Finish]],NETWORKDAYS.INTL(Tasks[[#This Row],[Planned Finish]],Tasks[[#This Row],[Finish]],WorkWeek,Holidays)-1,1-NETWORKDAYS.INTL(Tasks[[#This Row],[Finish]],Tasks[[#This Row],[Planned Finish]],WorkWeek,Holidays)))</f>
        <v/>
      </c>
      <c r="AO173" s="21" t="str">
        <f aca="false">IF(Tasks[[#This Row],[Task Name]]="","",IF(Tasks[[#This Row],[Progress]]&gt;=1,"Complete",IF(OR(N(Tasks[[#This Row],[Actual Start]])&gt;0,Tasks[[#This Row],[Progress]]&gt;0),IF(Tasks[[#This Row],[Finish Var]]&gt;0,"Behind","In Progress"),IF(Tasks[[#This Row],[Planned Start]]&lt;StatusDate,"Late Start","Not Started"))))</f>
        <v/>
      </c>
      <c r="AP173" s="21" t="str">
        <f aca="false">IF(Tasks[[#This Row],[Task Name]]="","",IF(IF(Tasks[[#This Row],[_IsSummary]],COUNTIF(INDEX(Tasks[_LeafCritical],Tasks[[#This Row],[_Row]]+1):INDEX(Tasks[_LeafCritical],Tasks[[#This Row],[_Row]]+Tasks[[#This Row],[_Descendants]]),TRUE())&gt;0,Tasks[[#This Row],[_LeafCritical]]),"Yes",""))</f>
        <v/>
      </c>
      <c r="AQ173" s="63" t="str">
        <f aca="false">IF(Tasks[[#This Row],[Task Name]]="","",IF(N(Tasks[[#This Row],[Baseline Start]])&gt;0,Tasks[[#This Row],[Baseline Start]],Tasks[[#This Row],[_CalcStart]]))</f>
        <v/>
      </c>
      <c r="AR173" s="63" t="str">
        <f aca="false">IF(Tasks[[#This Row],[Task Name]]="","",IF(N(Tasks[[#This Row],[Baseline Finish]])&gt;0,Tasks[[#This Row],[Baseline Finish]],Tasks[[#This Row],[_CalcFinish]]))</f>
        <v/>
      </c>
      <c r="AS173" s="47" t="str">
        <f aca="false">IF(Tasks[[#This Row],[Task Name]]="","",IF(Tasks[[#This Row],[Start]]&gt;=Tasks[[#This Row],[Planned Start]],NETWORKDAYS.INTL(Tasks[[#This Row],[Planned Start]],Tasks[[#This Row],[Start]],WorkWeek,Holidays)-1,1-NETWORKDAYS.INTL(Tasks[[#This Row],[Start]],Tasks[[#This Row],[Planned Start]],WorkWeek,Holidays)))</f>
        <v/>
      </c>
      <c r="AT173" s="63" t="str">
        <f aca="false">IF(Tasks[[#This Row],[Task Name]]="","",IF(Tasks[[#This Row],[_IsSummary]],MIN(INDEX(Tasks[_LeafLateStart],Tasks[[#This Row],[_Row]]+1):INDEX(Tasks[_LeafLateStart],Tasks[[#This Row],[_Row]]+Tasks[[#This Row],[_Descendants]])),Tasks[[#This Row],[_LeafLateStart]]))</f>
        <v/>
      </c>
      <c r="AU173" s="63" t="str">
        <f aca="false">IF(Tasks[[#This Row],[Task Name]]="","",IF(Tasks[[#This Row],[_IsSummary]],MAX(INDEX(Tasks[_LeafLateFinish],Tasks[[#This Row],[_Row]]+1):INDEX(Tasks[_LeafLateFinish],Tasks[[#This Row],[_Row]]+Tasks[[#This Row],[_Descendants]])),Tasks[[#This Row],[_LeafLateFinish]]))</f>
        <v/>
      </c>
      <c r="AV173" s="47" t="str">
        <f aca="false">IF(Tasks[[#This Row],[Task Name]]="","",IF(Tasks[[#This Row],[_IsSummary]],MIN(INDEX(Tasks[_LeafTotalSlack],Tasks[[#This Row],[_Row]]+1):INDEX(Tasks[_LeafTotalSlack],Tasks[[#This Row],[_Row]]+Tasks[[#This Row],[_Descendants]])),Tasks[[#This Row],[_LeafTotalSlack]]))</f>
        <v/>
      </c>
      <c r="AW1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5"/>
      <c r="BA17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1" t="str">
        <f aca="false">IF(Tasks[[#This Row],[Task Name]]="","",IF(Tasks[[#This Row],[_Level]]&lt;=OutlineShowLevel,"Yes","No"))</f>
        <v/>
      </c>
      <c r="BE173" s="86" t="str">
        <f aca="false">IF(Tasks[[#This Row],[Task Name]]="","",IF(Tasks[[#This Row],[_IsSummary]],SUM(INDEX(Tasks[_LeafTotalWork],Tasks[[#This Row],[_Row]]+1):INDEX(Tasks[_LeafTotalWork],Tasks[[#This Row],[_Row]]+Tasks[[#This Row],[_Descendants]])),Tasks[[#This Row],[_LeafTotalWork]]))</f>
        <v/>
      </c>
      <c r="BF173" s="23"/>
      <c r="BG1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3" s="21" t="str">
        <f aca="false">""</f>
        <v/>
      </c>
      <c r="BI173" s="87"/>
      <c r="BJ173" s="22"/>
      <c r="BK173" s="47" t="str">
        <f aca="false">IF(OR(Tasks[[#This Row],[Task Name]]="",Tasks[[#This Row],[Baseline Duration]]=""),"",Tasks[[#This Row],[_SpanDays]]-N(Tasks[[#This Row],[Baseline Duration]]))</f>
        <v/>
      </c>
      <c r="BL173" s="86" t="str">
        <f aca="false">IF(OR(Tasks[[#This Row],[Task Name]]="",Tasks[[#This Row],[Baseline Work]]=""),"",Tasks[[#This Row],[Work]]-N(Tasks[[#This Row],[Baseline Work]]))</f>
        <v/>
      </c>
      <c r="BM173" s="63" t="str">
        <f aca="false">IF(Tasks[[#This Row],[Task Name]]="","",IF(OR(TakeBaseline="Yes",N(Tasks[[#This Row],[Baseline Start]])=0),Tasks[[#This Row],[Start]],Tasks[[#This Row],[Baseline Start]]))</f>
        <v/>
      </c>
      <c r="BN173" s="63" t="str">
        <f aca="false">IF(Tasks[[#This Row],[Task Name]]="","",IF(OR(TakeBaseline="Yes",N(Tasks[[#This Row],[Baseline Finish]])=0),Tasks[[#This Row],[Finish]],Tasks[[#This Row],[Baseline Finish]]))</f>
        <v/>
      </c>
      <c r="BO173" s="21" t="str">
        <f aca="false">IF(Tasks[[#This Row],[Task Name]]="","",IF(OR(TakeBaseline="Yes",N(Tasks[[#This Row],[Baseline Duration]])=0),Tasks[[#This Row],[_SpanDays]],Tasks[[#This Row],[Baseline Duration]]))</f>
        <v/>
      </c>
      <c r="BP173" s="86" t="str">
        <f aca="false">IF(Tasks[[#This Row],[Task Name]]="","",IF(OR(TakeBaseline="Yes",N(Tasks[[#This Row],[Baseline Work]])=0),Tasks[[#This Row],[Work]],Tasks[[#This Row],[Baseline Work]]))</f>
        <v/>
      </c>
      <c r="BQ173" s="7"/>
      <c r="BR173" s="7"/>
      <c r="BS173" s="22"/>
      <c r="BT173" s="88"/>
      <c r="BU173" s="23"/>
      <c r="BV173" s="23"/>
      <c r="BW173" s="23"/>
      <c r="BX173" s="89" t="str">
        <f aca="false">IF(AND(Tasks[[#This Row],[_IsLeaf]]=1,ISNUMBER(Tasks[[#This Row],[Optimistic]]),ISNUMBER(Tasks[[#This Row],[Pessimistic]])),ROUND((Tasks[[#This Row],[Optimistic]]+4*N(Tasks[[#This Row],[_Days]])+Tasks[[#This Row],[Pessimistic]])/6,1),"")</f>
        <v/>
      </c>
      <c r="BY173" s="87"/>
      <c r="BZ173" s="87"/>
      <c r="CA173" s="22"/>
      <c r="CB173" s="43" t="str">
        <f aca="false">IF(Tasks[[#This Row],[Task Name]]="","",MAX(1,N(Tasks[[#This Row],[Level]])))</f>
        <v/>
      </c>
      <c r="CC173" s="43" t="n">
        <f aca="false">ROW()-ROW(Tasks[[#Headers],[ID]])</f>
        <v>168</v>
      </c>
      <c r="CD173" s="43" t="n">
        <f aca="false">IF(OR(Tasks[[#This Row],[Task Name]]="",Tasks[[#This Row],[_Level]]&lt;=1),0,IFERROR(LOOKUP(2,1/(Tasks[[#Headers],[_Level]]:Tasks[[#This Row],[_Level]]=Tasks[[#This Row],[_Level]]-1),ROW(Tasks[[#Headers],[_Level]]:Tasks[[#This Row],[_Level]])),0))</f>
        <v>0</v>
      </c>
      <c r="CE173" s="43" t="n">
        <f aca="false">IFERROR(N(INDEX(Tasks[_Level],Tasks[[#This Row],[_Row]]+1)),0)</f>
        <v>0</v>
      </c>
      <c r="CF173" s="90" t="b">
        <f aca="false">AND(Tasks[[#This Row],[Task Name]]&lt;&gt;"",Tasks[[#This Row],[_NextLevel]]&gt;Tasks[[#This Row],[_Level]])</f>
        <v>0</v>
      </c>
      <c r="CG173" s="43" t="n">
        <f aca="false">IF(Tasks[[#This Row],[_IsSummary]],COUNTIF(Tasks[WBS],Tasks[[#This Row],[WBS]]&amp;".*"),0)</f>
        <v>0</v>
      </c>
      <c r="CH173" s="43" t="n">
        <f aca="false">IF(AND(Tasks[[#This Row],[Task Name]]&lt;&gt;"",NOT(Tasks[[#This Row],[_IsSummary]])),1,0)</f>
        <v>0</v>
      </c>
      <c r="CI173" s="43" t="n">
        <f aca="false">IF(N(Tasks[[#This Row],[_Pred1UID]])=0,0,IFERROR(MATCH(Tasks[[#This Row],[_Pred1UID]],Tasks[UID],0),-1))</f>
        <v>0</v>
      </c>
      <c r="CJ173" s="43" t="n">
        <f aca="false">IF(N(Tasks[[#This Row],[_Pred2UID]])=0,0,IFERROR(MATCH(Tasks[[#This Row],[_Pred2UID]],Tasks[UID],0),-1))</f>
        <v>0</v>
      </c>
      <c r="CK173" s="43" t="n">
        <f aca="false">IF(N(Tasks[[#This Row],[_Pred3UID]])=0,0,IFERROR(MATCH(Tasks[[#This Row],[_Pred3UID]],Tasks[UID],0),-1))</f>
        <v>0</v>
      </c>
      <c r="CL173" s="43" t="n">
        <f aca="false">IF(N(Tasks[[#This Row],[_Pred4UID]])=0,0,IFERROR(MATCH(Tasks[[#This Row],[_Pred4UID]],Tasks[UID],0),-1))</f>
        <v>0</v>
      </c>
      <c r="CM17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3" s="91" t="n">
        <f aca="false">IF(OR(Tasks[[#This Row],[_ConstraintCode]]=2,Tasks[[#This Row],[_ConstraintCode]]=3,Tasks[[#This Row],[_ConstraintCode]]=4,Tasks[[#This Row],[_ConstraintCode]]=6),Tasks[[#This Row],[_ConstraintStart]],0)</f>
        <v>0</v>
      </c>
      <c r="CP173" s="91" t="n">
        <f aca="false">IF(OR(Tasks[[#This Row],[_ConstraintCode]]=2,Tasks[[#This Row],[_ConstraintCode]]=3,Tasks[[#This Row],[_ConstraintCode]]=5,Tasks[[#This Row],[_ConstraintCode]]=7),Tasks[[#This Row],[_ConstraintStart]],2958465)</f>
        <v>2958465</v>
      </c>
      <c r="CQ17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3" s="91" t="str">
        <f aca="false">IF(NOT(Tasks[[#This Row],[_IsLeaf]]=1),"",IF(N(Tasks[[#This Row],[_Days]])&lt;=0,Tasks[[#This Row],[_LeafCalcStart]],WORKDAY.INTL(Tasks[[#This Row],[_LeafCalcStart]],Tasks[[#This Row],[_Days]]-1,WorkWeek,Holidays)))</f>
        <v/>
      </c>
      <c r="CS17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3" s="43" t="str">
        <f aca="false">IF(Tasks[[#This Row],[_Predecessors]]="","",TRIM(MID(SUBSTITUTE(SUBSTITUTE(SUBSTITUTE(UPPER(Tasks[[#This Row],[_Predecessors]]),";",",")," ",""),",",REPT(" ",99)),1,99)))</f>
        <v/>
      </c>
      <c r="CV173" s="43" t="str">
        <f aca="false">IF(Tasks[[#This Row],[_Pred1Text]]="","",IFERROR(VALUE(LEFT(Tasks[[#This Row],[_Pred1Text]],MIN(FIND("F",Tasks[[#This Row],[_Pred1Text]]&amp;"F"),FIND("S",Tasks[[#This Row],[_Pred1Text]]&amp;"S"),FIND("+",Tasks[[#This Row],[_Pred1Text]]&amp;"+"),FIND("-",Tasks[[#This Row],[_Pred1Text]]&amp;"-"))-1)),""))</f>
        <v/>
      </c>
      <c r="CW17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3" s="43" t="str">
        <f aca="false">IF(Tasks[[#This Row],[_Pred1Text]]="","",TRIM(MID(SUBSTITUTE(SUBSTITUTE(SUBSTITUTE(UPPER(Tasks[[#This Row],[_Predecessors]]),";",",")," ",""),",",REPT(" ",99)),100,99)))</f>
        <v/>
      </c>
      <c r="CZ173" s="43" t="str">
        <f aca="false">IF(Tasks[[#This Row],[_Pred2Text]]="","",IFERROR(VALUE(LEFT(Tasks[[#This Row],[_Pred2Text]],MIN(FIND("F",Tasks[[#This Row],[_Pred2Text]]&amp;"F"),FIND("S",Tasks[[#This Row],[_Pred2Text]]&amp;"S"),FIND("+",Tasks[[#This Row],[_Pred2Text]]&amp;"+"),FIND("-",Tasks[[#This Row],[_Pred2Text]]&amp;"-"))-1)),""))</f>
        <v/>
      </c>
      <c r="DA17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3" s="43" t="str">
        <f aca="false">IF(Tasks[[#This Row],[_Pred2Text]]="","",TRIM(MID(SUBSTITUTE(SUBSTITUTE(SUBSTITUTE(UPPER(Tasks[[#This Row],[_Predecessors]]),";",",")," ",""),",",REPT(" ",99)),199,99)))</f>
        <v/>
      </c>
      <c r="DD173" s="43" t="str">
        <f aca="false">IF(Tasks[[#This Row],[_Pred3Text]]="","",IFERROR(VALUE(LEFT(Tasks[[#This Row],[_Pred3Text]],MIN(FIND("F",Tasks[[#This Row],[_Pred3Text]]&amp;"F"),FIND("S",Tasks[[#This Row],[_Pred3Text]]&amp;"S"),FIND("+",Tasks[[#This Row],[_Pred3Text]]&amp;"+"),FIND("-",Tasks[[#This Row],[_Pred3Text]]&amp;"-"))-1)),""))</f>
        <v/>
      </c>
      <c r="DE17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3" s="43" t="str">
        <f aca="false">IF(Tasks[[#This Row],[_Pred3Text]]="","",TRIM(MID(SUBSTITUTE(SUBSTITUTE(SUBSTITUTE(UPPER(Tasks[[#This Row],[_Predecessors]]),";",",")," ",""),",",REPT(" ",99)),298,99)))</f>
        <v/>
      </c>
      <c r="DH173" s="43" t="str">
        <f aca="false">IF(Tasks[[#This Row],[_Pred4Text]]="","",IFERROR(VALUE(LEFT(Tasks[[#This Row],[_Pred4Text]],MIN(FIND("F",Tasks[[#This Row],[_Pred4Text]]&amp;"F"),FIND("S",Tasks[[#This Row],[_Pred4Text]]&amp;"S"),FIND("+",Tasks[[#This Row],[_Pred4Text]]&amp;"+"),FIND("-",Tasks[[#This Row],[_Pred4Text]]&amp;"-"))-1)),""))</f>
        <v/>
      </c>
      <c r="DI17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3" s="43" t="str">
        <f aca="false">IF(OR(Tasks[[#This Row],[Task Name]]="",Tasks[[#This Row],[_Resources]]=""),"",TRIM(MID(SUBSTITUTE(Tasks[[#This Row],[_Resources]],",",REPT(" ",99)),1,99)))</f>
        <v/>
      </c>
      <c r="DL173" s="43" t="str">
        <f aca="false">IF(Tasks[[#This Row],[_Res1Text]]="","",TRIM(MID(SUBSTITUTE(Tasks[[#This Row],[_Resources]],",",REPT(" ",99)),100,99)))</f>
        <v/>
      </c>
      <c r="DM173" s="43" t="str">
        <f aca="false">IF(Tasks[[#This Row],[_Res2Text]]="","",TRIM(MID(SUBSTITUTE(Tasks[[#This Row],[_Resources]],",",REPT(" ",99)),199,99)))</f>
        <v/>
      </c>
      <c r="DN173" s="43" t="str">
        <f aca="false">IF(Tasks[[#This Row],[_Res3Text]]="","",TRIM(MID(SUBSTITUTE(Tasks[[#This Row],[_Resources]],",",REPT(" ",99)),298,99)))</f>
        <v/>
      </c>
      <c r="DO173" s="43" t="n">
        <f aca="false">IF(Tasks[[#This Row],[_Res1Text]]="",0,IFERROR(MATCH(TRIM(LEFT(Tasks[[#This Row],[_Res1Text]],FIND("[",Tasks[[#This Row],[_Res1Text]]&amp;"[")-1)),res_Name,0),IFERROR(MATCH(TRIM(LEFT(Tasks[[#This Row],[_Res1Text]],FIND("[",Tasks[[#This Row],[_Res1Text]]&amp;"[")-1)),res_Initials,0),0)))</f>
        <v>0</v>
      </c>
      <c r="DP173" s="43" t="n">
        <f aca="false">IF(Tasks[[#This Row],[_Res2Text]]="",0,IFERROR(MATCH(TRIM(LEFT(Tasks[[#This Row],[_Res2Text]],FIND("[",Tasks[[#This Row],[_Res2Text]]&amp;"[")-1)),res_Name,0),IFERROR(MATCH(TRIM(LEFT(Tasks[[#This Row],[_Res2Text]],FIND("[",Tasks[[#This Row],[_Res2Text]]&amp;"[")-1)),res_Initials,0),0)))</f>
        <v>0</v>
      </c>
      <c r="DQ173" s="43" t="n">
        <f aca="false">IF(Tasks[[#This Row],[_Res3Text]]="",0,IFERROR(MATCH(TRIM(LEFT(Tasks[[#This Row],[_Res3Text]],FIND("[",Tasks[[#This Row],[_Res3Text]]&amp;"[")-1)),res_Name,0),IFERROR(MATCH(TRIM(LEFT(Tasks[[#This Row],[_Res3Text]],FIND("[",Tasks[[#This Row],[_Res3Text]]&amp;"[")-1)),res_Initials,0),0)))</f>
        <v>0</v>
      </c>
      <c r="DR173" s="43" t="n">
        <f aca="false">IF(Tasks[[#This Row],[_Res4Text]]="",0,IFERROR(MATCH(TRIM(LEFT(Tasks[[#This Row],[_Res4Text]],FIND("[",Tasks[[#This Row],[_Res4Text]]&amp;"[")-1)),res_Name,0),IFERROR(MATCH(TRIM(LEFT(Tasks[[#This Row],[_Res4Text]],FIND("[",Tasks[[#This Row],[_Res4Text]]&amp;"[")-1)),res_Initials,0),0)))</f>
        <v>0</v>
      </c>
      <c r="DS173" s="43" t="str">
        <f aca="false">IF(Tasks[[#This Row],[_Res1Text]]="","",IF(Tasks[[#This Row],[_Res1Row]]&gt;0,INDEX(res_Name,Tasks[[#This Row],[_Res1Row]]),TRIM(LEFT(Tasks[[#This Row],[_Res1Text]],FIND("[",Tasks[[#This Row],[_Res1Text]]&amp;"[")-1))))</f>
        <v/>
      </c>
      <c r="DT17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3" s="43" t="n">
        <f aca="false">IF(NOT(Tasks[[#This Row],[_IsLeaf]]=1),0,(Tasks[[#This Row],[_Resource1]]&lt;&gt;"")+(Tasks[[#This Row],[_Res2]]&lt;&gt;"")+(Tasks[[#This Row],[_Res3]]&lt;&gt;"")+(Tasks[[#This Row],[_Res4]]&lt;&gt;""))</f>
        <v>0</v>
      </c>
      <c r="DV173" s="43" t="str">
        <f aca="false">IF(Tasks[[#This Row],[_Res2Text]]="","",IF(Tasks[[#This Row],[_Res2Row]]&gt;0,INDEX(res_Name,Tasks[[#This Row],[_Res2Row]]),TRIM(LEFT(Tasks[[#This Row],[_Res2Text]],FIND("[",Tasks[[#This Row],[_Res2Text]]&amp;"[")-1))))</f>
        <v/>
      </c>
      <c r="DW17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3" s="43" t="n">
        <f aca="false">IF(OR(NOT(Tasks[[#This Row],[_IsLeaf]]=1),Tasks[[#This Row],[_Res2Row]]=0),0,N(Tasks[[#This Row],[_Days]])*HoursPerDay*IF(Tasks[[#This Row],[_Res2Units]]="",DefaultUnits,Tasks[[#This Row],[_Res2Units]]))</f>
        <v>0</v>
      </c>
      <c r="DY173" s="43" t="n">
        <f aca="false">IF(AND(AND(Tasks[[#This Row],[_IsLeaf]]=1,Tasks[[#This Row],[_LeafTotalWork]]&gt;0),Tasks[[#This Row],[_Res2Work]]&gt;0),Tasks[[#This Row],[_Res2Work]]/(Tasks[[#This Row],[_FinishWorkday]]-Tasks[[#This Row],[_StartWorkday]]+1),0)</f>
        <v>0</v>
      </c>
      <c r="DZ173" s="43" t="n">
        <f aca="false">Tasks[[#This Row],[_Res2WorkPerWD]]*MAX(0,Tasks[[#This Row],[_StartWorkday]]-1)</f>
        <v>0</v>
      </c>
      <c r="EA173" s="43" t="n">
        <f aca="false">Tasks[[#This Row],[_Res2Work]]*Tasks[[#This Row],[_LeafProgress]]</f>
        <v>0</v>
      </c>
      <c r="EB173" s="43" t="str">
        <f aca="false">IF(Tasks[[#This Row],[_Res3Text]]="","",IF(Tasks[[#This Row],[_Res3Row]]&gt;0,INDEX(res_Name,Tasks[[#This Row],[_Res3Row]]),TRIM(LEFT(Tasks[[#This Row],[_Res3Text]],FIND("[",Tasks[[#This Row],[_Res3Text]]&amp;"[")-1))))</f>
        <v/>
      </c>
      <c r="EC17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3" s="43" t="n">
        <f aca="false">IF(OR(NOT(Tasks[[#This Row],[_IsLeaf]]=1),Tasks[[#This Row],[_Res3Row]]=0),0,N(Tasks[[#This Row],[_Days]])*HoursPerDay*IF(Tasks[[#This Row],[_Res3Units]]="",DefaultUnits,Tasks[[#This Row],[_Res3Units]]))</f>
        <v>0</v>
      </c>
      <c r="EE173" s="43" t="n">
        <f aca="false">IF(AND(AND(Tasks[[#This Row],[_IsLeaf]]=1,Tasks[[#This Row],[_LeafTotalWork]]&gt;0),Tasks[[#This Row],[_Res3Work]]&gt;0),Tasks[[#This Row],[_Res3Work]]/(Tasks[[#This Row],[_FinishWorkday]]-Tasks[[#This Row],[_StartWorkday]]+1),0)</f>
        <v>0</v>
      </c>
      <c r="EF173" s="43" t="n">
        <f aca="false">Tasks[[#This Row],[_Res3WorkPerWD]]*MAX(0,Tasks[[#This Row],[_StartWorkday]]-1)</f>
        <v>0</v>
      </c>
      <c r="EG173" s="43" t="n">
        <f aca="false">Tasks[[#This Row],[_Res3Work]]*Tasks[[#This Row],[_LeafProgress]]</f>
        <v>0</v>
      </c>
      <c r="EH173" s="43" t="str">
        <f aca="false">IF(Tasks[[#This Row],[_Res4Text]]="","",IF(Tasks[[#This Row],[_Res4Row]]&gt;0,INDEX(res_Name,Tasks[[#This Row],[_Res4Row]]),TRIM(LEFT(Tasks[[#This Row],[_Res4Text]],FIND("[",Tasks[[#This Row],[_Res4Text]]&amp;"[")-1))))</f>
        <v/>
      </c>
      <c r="EI17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3" s="43" t="n">
        <f aca="false">IF(OR(NOT(Tasks[[#This Row],[_IsLeaf]]=1),Tasks[[#This Row],[_Res4Row]]=0),0,N(Tasks[[#This Row],[_Days]])*HoursPerDay*IF(Tasks[[#This Row],[_Res4Units]]="",DefaultUnits,Tasks[[#This Row],[_Res4Units]]))</f>
        <v>0</v>
      </c>
      <c r="EK173" s="43" t="n">
        <f aca="false">IF(AND(AND(Tasks[[#This Row],[_IsLeaf]]=1,Tasks[[#This Row],[_LeafTotalWork]]&gt;0),Tasks[[#This Row],[_Res4Work]]&gt;0),Tasks[[#This Row],[_Res4Work]]/(Tasks[[#This Row],[_FinishWorkday]]-Tasks[[#This Row],[_StartWorkday]]+1),0)</f>
        <v>0</v>
      </c>
      <c r="EL173" s="43" t="n">
        <f aca="false">Tasks[[#This Row],[_Res4WorkPerWD]]*MAX(0,Tasks[[#This Row],[_StartWorkday]]-1)</f>
        <v>0</v>
      </c>
      <c r="EM173" s="43" t="n">
        <f aca="false">Tasks[[#This Row],[_Res4Work]]*Tasks[[#This Row],[_LeafProgress]]</f>
        <v>0</v>
      </c>
      <c r="EN173" s="43" t="n">
        <f aca="false">IF(ISNUMBER(Tasks[[#This Row],[% Complete]]),Tasks[[#This Row],[% Complete]],IF(Tasks[[#This Row],[Stage]]="",0,IFERROR(INDEX(stg_Pct,MATCH(Tasks[[#This Row],[Stage]],stg_Name,0)),0)))</f>
        <v>0</v>
      </c>
      <c r="EO173" s="43" t="n">
        <f aca="false">IF(NOT(Tasks[[#This Row],[_IsLeaf]]=1),0,IF(N(Tasks[[#This Row],[Actual Finish]])&gt;0,1,MIN(1,Tasks[[#This Row],[_Pct]])))</f>
        <v>0</v>
      </c>
      <c r="EP173" s="43" t="n">
        <f aca="false">IF(OR(NOT(Tasks[[#This Row],[_IsLeaf]]=1),Tasks[[#This Row],[_Res1Row]]=0),0,N(Tasks[[#This Row],[_Days]])*HoursPerDay*IF(Tasks[[#This Row],[_Units1]]="",DefaultUnits,Tasks[[#This Row],[_Units1]]))</f>
        <v>0</v>
      </c>
      <c r="EQ173" s="43" t="n">
        <f aca="false">Tasks[[#This Row],[_LeafWork]]+Tasks[[#This Row],[_Res2Work]]+Tasks[[#This Row],[_Res3Work]]+Tasks[[#This Row],[_Res4Work]]</f>
        <v>0</v>
      </c>
      <c r="ER17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3" s="43" t="n">
        <f aca="false">IF(NOT(Tasks[[#This Row],[_IsLeaf]]=1),0,MAX(_xlfn.MAXIFS(Tasks[_Row],Tasks[_Pred1UID],Tasks[[#This Row],[UID]]),_xlfn.MAXIFS(Tasks[_Row],Tasks[_Pred2UID],Tasks[[#This Row],[UID]]),_xlfn.MAXIFS(Tasks[_Row],Tasks[_Pred3UID],Tasks[[#This Row],[UID]]),_xlfn.MAXIFS(Tasks[_Row],Tasks[_Pred4UID],Tasks[[#This Row],[UID]])))</f>
        <v>0</v>
      </c>
      <c r="FA17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3" s="91" t="str">
        <f aca="false">IF(NOT(Tasks[[#This Row],[_IsLeaf]]=1),"",IF(N(Tasks[[#This Row],[_Days]])&lt;=0,Tasks[[#This Row],[_LeafLateFinish]],WORKDAY.INTL(Tasks[[#This Row],[_LeafLateFinish]],-(Tasks[[#This Row],[_Days]]-1),WorkWeek,Holidays)))</f>
        <v/>
      </c>
      <c r="FD17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3" s="90" t="b">
        <f aca="false">AND(Tasks[[#This Row],[_IsLeaf]]=1,Tasks[[#This Row],[_LeafProgress]]&lt;1,N(Tasks[[#This Row],[_LeafTotalSlack]])&lt;=CriticalSlackDays)</f>
        <v>0</v>
      </c>
      <c r="FF173" s="43" t="n">
        <f aca="false">IF(AND(Tasks[[#This Row],[_IsLeaf]]=1,Tasks[[#This Row],[_ConstraintCode]]=1,Tasks[[#This Row],[Mode]]&lt;&gt;"Manual",N(Tasks[[#This Row],[Actual Start]])=0),MAX(0,N(Tasks[[#This Row],[Free Slack]])),0)</f>
        <v>0</v>
      </c>
      <c r="FG173" s="91" t="str">
        <f aca="false">IF(NOT(Tasks[[#This Row],[_IsLeaf]]=1),"",IF(Tasks[[#This Row],[_AlapShift]]=0,Tasks[[#This Row],[_LeafCalcStart]],WORKDAY.INTL(Tasks[[#This Row],[_LeafCalcStart]],Tasks[[#This Row],[_AlapShift]],WorkWeek,Holidays)))</f>
        <v/>
      </c>
      <c r="FH173" s="91" t="str">
        <f aca="false">IF(NOT(Tasks[[#This Row],[_IsLeaf]]=1),"",IF(Tasks[[#This Row],[_AlapShift]]=0,Tasks[[#This Row],[_LeafCalcFinish]],WORKDAY.INTL(Tasks[[#This Row],[_LeafCalcFinish]],Tasks[[#This Row],[_AlapShift]],WorkWeek,Holidays)))</f>
        <v/>
      </c>
      <c r="FI173" s="91" t="str">
        <f aca="false">IF(NOT(Tasks[[#This Row],[_IsLeaf]]=1),"",IF(Tasks[[#This Row],[_AlapShift]]=0,Tasks[[#This Row],[_LeafFcstStart]],WORKDAY.INTL(Tasks[[#This Row],[_LeafFcstStart]],Tasks[[#This Row],[_AlapShift]],WorkWeek,Holidays)))</f>
        <v/>
      </c>
      <c r="FJ173" s="91" t="str">
        <f aca="false">IF(NOT(Tasks[[#This Row],[_IsLeaf]]=1),"",IF(Tasks[[#This Row],[_AlapShift]]=0,Tasks[[#This Row],[_LeafFcstFinish]],WORKDAY.INTL(Tasks[[#This Row],[_LeafFcstFinish]],Tasks[[#This Row],[_AlapShift]],WorkWeek,Holidays)))</f>
        <v/>
      </c>
      <c r="FK173" s="91" t="str">
        <f aca="false">IF(Tasks[[#This Row],[Task Name]]="","",IF(Tasks[[#This Row],[_IsSummary]],MIN(INDEX(Tasks[_ShownCalcStart],Tasks[[#This Row],[_Row]]+1):INDEX(Tasks[_ShownCalcStart],Tasks[[#This Row],[_Row]]+Tasks[[#This Row],[_Descendants]])),Tasks[[#This Row],[_ShownCalcStart]]))</f>
        <v/>
      </c>
      <c r="FL173" s="91" t="str">
        <f aca="false">IF(Tasks[[#This Row],[Task Name]]="","",IF(Tasks[[#This Row],[_IsSummary]],MAX(INDEX(Tasks[_ShownCalcFinish],Tasks[[#This Row],[_Row]]+1):INDEX(Tasks[_ShownCalcFinish],Tasks[[#This Row],[_Row]]+Tasks[[#This Row],[_Descendants]])),Tasks[[#This Row],[_ShownCalcFinish]]))</f>
        <v/>
      </c>
      <c r="FM17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3" s="43" t="n">
        <f aca="false">IF(AND(Tasks[[#This Row],[_IsLeaf]]=1,Tasks[[#This Row],[_LeafTotalWork]]&gt;0),NETWORKDAYS.INTL(ProjectStart,Tasks[[#This Row],[_ShownFcstStart]],WorkWeek,Holidays),0)</f>
        <v>0</v>
      </c>
      <c r="FZ173" s="43" t="n">
        <f aca="false">IF(AND(Tasks[[#This Row],[_IsLeaf]]=1,Tasks[[#This Row],[_LeafTotalWork]]&gt;0),MAX(Tasks[[#This Row],[_StartWorkday]],NETWORKDAYS.INTL(ProjectStart,Tasks[[#This Row],[_ShownFcstFinish]],WorkWeek,Holidays)),0)</f>
        <v>0</v>
      </c>
      <c r="GA173" s="43" t="n">
        <f aca="false">IF(AND(Tasks[[#This Row],[_IsLeaf]]=1,Tasks[[#This Row],[_LeafTotalWork]]&gt;0),Tasks[[#This Row],[_LeafWork]]/(Tasks[[#This Row],[_FinishWorkday]]-Tasks[[#This Row],[_StartWorkday]]+1),0)</f>
        <v>0</v>
      </c>
      <c r="GB173" s="43" t="n">
        <f aca="false">Tasks[[#This Row],[_WorkPerWorkday]]*(Tasks[[#This Row],[_StartWorkday]]-1)</f>
        <v>-0</v>
      </c>
      <c r="GC173" s="43" t="n">
        <f aca="false">IF(Tasks[[#This Row],[_IsLeaf]]=1,MAX(N(Tasks[[#This Row],[_Days]]),0.1),0)</f>
        <v>0</v>
      </c>
      <c r="GD173" s="43" t="n">
        <f aca="false">Tasks[[#This Row],[_WeightDur]]*Tasks[[#This Row],[_LeafProgress]]</f>
        <v>0</v>
      </c>
      <c r="GE173" s="43" t="n">
        <f aca="false">Tasks[[#This Row],[_WeightDur]]*Tasks[[#This Row],[_PlannedPct]]</f>
        <v>0</v>
      </c>
      <c r="GF17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3" s="43" t="str">
        <f aca="false">IF(AND(Tasks[[#This Row],[_IsLeaf]]=1,N(Tasks[[#This Row],[_Days]])=0,Tasks[[#This Row],[_LeafProgress]]&lt;1),Tasks[[#This Row],[_ShownFcstFinish]]+Tasks[[#This Row],[_Row]]/100000,"")</f>
        <v/>
      </c>
      <c r="GH17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3" s="43" t="str">
        <f aca="false">IF(Tasks[[#This Row],[Task Name]]="","",LEFT(Tasks[[#This Row],[WBS]],FIND(".",Tasks[[#This Row],[WBS]]&amp;".")-1))</f>
        <v/>
      </c>
      <c r="GJ173" s="43" t="str">
        <f aca="false">IF(AND(Tasks[[#This Row],[Task Name]]&lt;&gt;"",Tasks[[#This Row],[_Level]]=1),Tasks[[#This Row],[_Row]],"")</f>
        <v/>
      </c>
      <c r="GK173" s="43" t="str">
        <f aca="false">IF(AND(Tasks[[#This Row],[_IsLeaf]]=1,N(Tasks[[#This Row],[_Days]])=0),Tasks[[#This Row],[Planned Finish]]+Tasks[[#This Row],[_Row]]/100000,"")</f>
        <v/>
      </c>
      <c r="GL173" s="43" t="str">
        <f aca="false">IF(AND(Tasks[[#This Row],[_IsLeaf]]=1,Tasks[[#This Row],[_LeafProgress]]&lt;1,OR(N(Tasks[[#This Row],[Finish Var]])&gt;0,Tasks[[#This Row],[Status]]="Late Start")),MAX(0,Tasks[[#This Row],[Finish Var]])+1-Tasks[[#This Row],[_Row]]/1000000,"")</f>
        <v/>
      </c>
      <c r="GM173" s="43" t="str">
        <f aca="false">IF(AND(Tasks[[#This Row],[_IsLeaf]]=1,N(Tasks[[#This Row],[Actual Start]])=0,Tasks[[#This Row],[_ShownFcstStart]]&gt;=StatusDate,Tasks[[#This Row],[_ShownFcstStart]]&lt;=LookaheadEnd),Tasks[[#This Row],[_ShownFcstStart]]+Tasks[[#This Row],[_Row]]/100000,"")</f>
        <v/>
      </c>
      <c r="GN173" s="43" t="str">
        <f aca="false">IF(AND(Tasks[[#This Row],[_IsLeaf]]=1,Tasks[[#This Row],[_LeafProgress]]&lt;1,Tasks[[#This Row],[_ShownFcstFinish]]&gt;=StatusDate,Tasks[[#This Row],[_ShownFcstFinish]]&lt;=LookaheadEnd),Tasks[[#This Row],[_ShownFcstFinish]]+Tasks[[#This Row],[_Row]]/100000,"")</f>
        <v/>
      </c>
      <c r="GO173" s="43" t="str">
        <f aca="false">IF(Tasks[[#This Row],[_LeafCritical]],Tasks[[#This Row],[_ShownFcstStart]]+Tasks[[#This Row],[_Row]]/100000,"")</f>
        <v/>
      </c>
      <c r="GP173" s="43" t="n">
        <f aca="false">Tasks[[#This Row],[_LeafWork]]*Tasks[[#This Row],[_LeafProgress]]</f>
        <v>0</v>
      </c>
      <c r="GQ173" s="91" t="str">
        <f aca="false">IF(AND(Tasks[[#This Row],[_IsLeaf]]=1,Tasks[[#This Row],[_LeafProgress]]&gt;=1),IF(N(Tasks[[#This Row],[Actual Finish]])&gt;0,Tasks[[#This Row],[Actual Finish]],Tasks[[#This Row],[_ShownFcstFinish]]),"")</f>
        <v/>
      </c>
      <c r="GR173" s="43" t="n">
        <f aca="false">IF(Tasks[[#This Row],[_IsLeaf]]=1,N(Tasks[[#This Row],[Story Points]]),0)</f>
        <v>0</v>
      </c>
      <c r="GS173" s="43" t="str">
        <f aca="false">""</f>
        <v/>
      </c>
      <c r="GT173" s="90" t="b">
        <f aca="false">IF(Tasks[[#This Row],[Task Name]]="",FALSE(),AND(Tasks[[#This Row],[_IsLeaf]]=1,N(Tasks[[#This Row],[_Days]])=0))</f>
        <v>0</v>
      </c>
      <c r="GU173" s="91" t="n">
        <f aca="false">IF(Tasks[[#This Row],[Task Name]]="",0,IF(AND(Tasks[[#This Row],[_IsLeaf]]=1,NOT(Tasks[[#This Row],[_IsMilestone]]),N(Tasks[[#This Row],[Progress]])&gt;0),Tasks[[#This Row],[Start]],0))</f>
        <v>0</v>
      </c>
      <c r="GV173" s="91" t="n">
        <f aca="false">IF(Tasks[[#This Row],[_DoneFrom]]=0,0,IF(Tasks[[#This Row],[Progress]]&gt;=1,Tasks[[#This Row],[Finish]],MAX(Tasks[[#This Row],[_DoneFrom]],Tasks[[#This Row],[Start]]+ROUND((Tasks[[#This Row],[Finish]]-Tasks[[#This Row],[Start]]+1)*Tasks[[#This Row],[Progress]],0)-1)))</f>
        <v>0</v>
      </c>
      <c r="GW173" s="91" t="n">
        <f aca="false">IF(Tasks[[#This Row],[Task Name]]="",0,IF(OR(NOT(Tasks[[#This Row],[_IsLeaf]]=1),Tasks[[#This Row],[_IsMilestone]],N(Tasks[[#This Row],[Progress]])&gt;=1),0,IF(Tasks[[#This Row],[_DoneTo]]&gt;0,Tasks[[#This Row],[_DoneTo]]+1,Tasks[[#This Row],[Start]])))</f>
        <v>0</v>
      </c>
      <c r="GX173" s="91" t="n">
        <f aca="false">IF(Tasks[[#This Row],[_RemFrom]]=0,0,Tasks[[#This Row],[Finish]])</f>
        <v>0</v>
      </c>
      <c r="GY173" s="90" t="b">
        <f aca="false">IF(Tasks[[#This Row],[Task Name]]="",FALSE(),OR(NOT(BaselineSet),N(Tasks[[#This Row],[Baseline Start]])&gt;0))</f>
        <v>0</v>
      </c>
      <c r="GZ17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3" s="92" t="str">
        <f aca="false">IF(Tasks[[#This Row],[_IsLeaf]]=1,Tasks[[#This Row],[_Row]],"")</f>
        <v/>
      </c>
      <c r="HD173" s="92" t="str">
        <f aca="false">IFERROR(INDEX(Tasks[UID],SMALL(Tasks[_PickKey],Tasks[[#This Row],[_Row]]))&amp;" "&amp;INDEX(Tasks[Task Name],SMALL(Tasks[_PickKey],Tasks[[#This Row],[_Row]])),"")</f>
        <v/>
      </c>
      <c r="HE173" s="43" t="str">
        <f aca="false">IF(Tasks[[#This Row],[Task Name]]="","",IF(Tasks[[#This Row],[_IsSummary]],NETWORKDAYS.INTL(Tasks[[#This Row],[Start]],Tasks[[#This Row],[Finish]],WorkWeek,Holidays),N(Tasks[[#This Row],[_Days]])))</f>
        <v/>
      </c>
      <c r="HF173" s="43" t="n">
        <f aca="false">IF(Tasks[[#This Row],[Expected]]="",0,((Tasks[[#This Row],[Pessimistic]]-Tasks[[#This Row],[Optimistic]])/6)^2)</f>
        <v>0</v>
      </c>
      <c r="HG173" s="43" t="n">
        <f aca="false">IF(Tasks[[#This Row],[Expected]]="",0,Tasks[[#This Row],[Expected]]-N(Tasks[[#This Row],[_Days]]))</f>
        <v>0</v>
      </c>
    </row>
    <row r="174" customFormat="false" ht="15" hidden="false" customHeight="false" outlineLevel="0" collapsed="false">
      <c r="A174" s="21" t="str">
        <f aca="false">IF(Tasks[[#This Row],[Task Name]]="","",COUNTA(Tasks[[#Headers],[Task Name]]:Tasks[[#This Row],[Task Name]])-1)</f>
        <v/>
      </c>
      <c r="B174" s="22" t="n">
        <v>182</v>
      </c>
      <c r="C174" s="22"/>
      <c r="D174" s="23"/>
      <c r="E174" s="22"/>
      <c r="F174" s="23"/>
      <c r="G174" s="22"/>
      <c r="H174" s="22"/>
      <c r="I174" s="23"/>
      <c r="J174" s="22"/>
      <c r="K174" s="22"/>
      <c r="L174" s="23"/>
      <c r="M174" s="22"/>
      <c r="N174" s="22"/>
      <c r="O174" s="23"/>
      <c r="P174" s="22"/>
      <c r="Q174" s="22"/>
      <c r="R174" s="23"/>
      <c r="S174" s="23"/>
      <c r="T174" s="84"/>
      <c r="U174" s="23"/>
      <c r="V174" s="84"/>
      <c r="W174" s="23"/>
      <c r="X174" s="84"/>
      <c r="Y174" s="23"/>
      <c r="Z174" s="84"/>
      <c r="AA174" s="23"/>
      <c r="AB174" s="23"/>
      <c r="AC174" s="7"/>
      <c r="AD174" s="7"/>
      <c r="AE174" s="63" t="str">
        <f aca="false">IF(Tasks[[#This Row],[Task Name]]="","",IF(Tasks[[#This Row],[_IsSummary]],MIN(INDEX(Tasks[_ShownFcstStart],Tasks[[#This Row],[_Row]]+1):INDEX(Tasks[_ShownFcstStart],Tasks[[#This Row],[_Row]]+Tasks[[#This Row],[_Descendants]])),Tasks[[#This Row],[_ShownFcstStart]]))</f>
        <v/>
      </c>
      <c r="AF174" s="63" t="str">
        <f aca="false">IF(Tasks[[#This Row],[Task Name]]="","",IF(Tasks[[#This Row],[_IsSummary]],MAX(INDEX(Tasks[_ShownFcstFinish],Tasks[[#This Row],[_Row]]+1):INDEX(Tasks[_ShownFcstFinish],Tasks[[#This Row],[_Row]]+Tasks[[#This Row],[_Descendants]])),Tasks[[#This Row],[_ShownFcstFinish]]))</f>
        <v/>
      </c>
      <c r="AG174" s="21" t="str">
        <f aca="false">""</f>
        <v/>
      </c>
      <c r="AH174" s="23"/>
      <c r="AI1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4" s="7"/>
      <c r="AK174" s="22"/>
      <c r="AL174" s="23"/>
      <c r="AM174" s="7"/>
      <c r="AN174" s="47" t="str">
        <f aca="false">IF(Tasks[[#This Row],[Task Name]]="","",IF(Tasks[[#This Row],[Finish]]&gt;=Tasks[[#This Row],[Planned Finish]],NETWORKDAYS.INTL(Tasks[[#This Row],[Planned Finish]],Tasks[[#This Row],[Finish]],WorkWeek,Holidays)-1,1-NETWORKDAYS.INTL(Tasks[[#This Row],[Finish]],Tasks[[#This Row],[Planned Finish]],WorkWeek,Holidays)))</f>
        <v/>
      </c>
      <c r="AO174" s="21" t="str">
        <f aca="false">IF(Tasks[[#This Row],[Task Name]]="","",IF(Tasks[[#This Row],[Progress]]&gt;=1,"Complete",IF(OR(N(Tasks[[#This Row],[Actual Start]])&gt;0,Tasks[[#This Row],[Progress]]&gt;0),IF(Tasks[[#This Row],[Finish Var]]&gt;0,"Behind","In Progress"),IF(Tasks[[#This Row],[Planned Start]]&lt;StatusDate,"Late Start","Not Started"))))</f>
        <v/>
      </c>
      <c r="AP174" s="21" t="str">
        <f aca="false">IF(Tasks[[#This Row],[Task Name]]="","",IF(IF(Tasks[[#This Row],[_IsSummary]],COUNTIF(INDEX(Tasks[_LeafCritical],Tasks[[#This Row],[_Row]]+1):INDEX(Tasks[_LeafCritical],Tasks[[#This Row],[_Row]]+Tasks[[#This Row],[_Descendants]]),TRUE())&gt;0,Tasks[[#This Row],[_LeafCritical]]),"Yes",""))</f>
        <v/>
      </c>
      <c r="AQ174" s="63" t="str">
        <f aca="false">IF(Tasks[[#This Row],[Task Name]]="","",IF(N(Tasks[[#This Row],[Baseline Start]])&gt;0,Tasks[[#This Row],[Baseline Start]],Tasks[[#This Row],[_CalcStart]]))</f>
        <v/>
      </c>
      <c r="AR174" s="63" t="str">
        <f aca="false">IF(Tasks[[#This Row],[Task Name]]="","",IF(N(Tasks[[#This Row],[Baseline Finish]])&gt;0,Tasks[[#This Row],[Baseline Finish]],Tasks[[#This Row],[_CalcFinish]]))</f>
        <v/>
      </c>
      <c r="AS174" s="47" t="str">
        <f aca="false">IF(Tasks[[#This Row],[Task Name]]="","",IF(Tasks[[#This Row],[Start]]&gt;=Tasks[[#This Row],[Planned Start]],NETWORKDAYS.INTL(Tasks[[#This Row],[Planned Start]],Tasks[[#This Row],[Start]],WorkWeek,Holidays)-1,1-NETWORKDAYS.INTL(Tasks[[#This Row],[Start]],Tasks[[#This Row],[Planned Start]],WorkWeek,Holidays)))</f>
        <v/>
      </c>
      <c r="AT174" s="63" t="str">
        <f aca="false">IF(Tasks[[#This Row],[Task Name]]="","",IF(Tasks[[#This Row],[_IsSummary]],MIN(INDEX(Tasks[_LeafLateStart],Tasks[[#This Row],[_Row]]+1):INDEX(Tasks[_LeafLateStart],Tasks[[#This Row],[_Row]]+Tasks[[#This Row],[_Descendants]])),Tasks[[#This Row],[_LeafLateStart]]))</f>
        <v/>
      </c>
      <c r="AU174" s="63" t="str">
        <f aca="false">IF(Tasks[[#This Row],[Task Name]]="","",IF(Tasks[[#This Row],[_IsSummary]],MAX(INDEX(Tasks[_LeafLateFinish],Tasks[[#This Row],[_Row]]+1):INDEX(Tasks[_LeafLateFinish],Tasks[[#This Row],[_Row]]+Tasks[[#This Row],[_Descendants]])),Tasks[[#This Row],[_LeafLateFinish]]))</f>
        <v/>
      </c>
      <c r="AV174" s="47" t="str">
        <f aca="false">IF(Tasks[[#This Row],[Task Name]]="","",IF(Tasks[[#This Row],[_IsSummary]],MIN(INDEX(Tasks[_LeafTotalSlack],Tasks[[#This Row],[_Row]]+1):INDEX(Tasks[_LeafTotalSlack],Tasks[[#This Row],[_Row]]+Tasks[[#This Row],[_Descendants]])),Tasks[[#This Row],[_LeafTotalSlack]]))</f>
        <v/>
      </c>
      <c r="AW1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5"/>
      <c r="BA17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1" t="str">
        <f aca="false">IF(Tasks[[#This Row],[Task Name]]="","",IF(Tasks[[#This Row],[_Level]]&lt;=OutlineShowLevel,"Yes","No"))</f>
        <v/>
      </c>
      <c r="BE174" s="86" t="str">
        <f aca="false">IF(Tasks[[#This Row],[Task Name]]="","",IF(Tasks[[#This Row],[_IsSummary]],SUM(INDEX(Tasks[_LeafTotalWork],Tasks[[#This Row],[_Row]]+1):INDEX(Tasks[_LeafTotalWork],Tasks[[#This Row],[_Row]]+Tasks[[#This Row],[_Descendants]])),Tasks[[#This Row],[_LeafTotalWork]]))</f>
        <v/>
      </c>
      <c r="BF174" s="23"/>
      <c r="BG1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4" s="21" t="str">
        <f aca="false">""</f>
        <v/>
      </c>
      <c r="BI174" s="87"/>
      <c r="BJ174" s="22"/>
      <c r="BK174" s="47" t="str">
        <f aca="false">IF(OR(Tasks[[#This Row],[Task Name]]="",Tasks[[#This Row],[Baseline Duration]]=""),"",Tasks[[#This Row],[_SpanDays]]-N(Tasks[[#This Row],[Baseline Duration]]))</f>
        <v/>
      </c>
      <c r="BL174" s="86" t="str">
        <f aca="false">IF(OR(Tasks[[#This Row],[Task Name]]="",Tasks[[#This Row],[Baseline Work]]=""),"",Tasks[[#This Row],[Work]]-N(Tasks[[#This Row],[Baseline Work]]))</f>
        <v/>
      </c>
      <c r="BM174" s="63" t="str">
        <f aca="false">IF(Tasks[[#This Row],[Task Name]]="","",IF(OR(TakeBaseline="Yes",N(Tasks[[#This Row],[Baseline Start]])=0),Tasks[[#This Row],[Start]],Tasks[[#This Row],[Baseline Start]]))</f>
        <v/>
      </c>
      <c r="BN174" s="63" t="str">
        <f aca="false">IF(Tasks[[#This Row],[Task Name]]="","",IF(OR(TakeBaseline="Yes",N(Tasks[[#This Row],[Baseline Finish]])=0),Tasks[[#This Row],[Finish]],Tasks[[#This Row],[Baseline Finish]]))</f>
        <v/>
      </c>
      <c r="BO174" s="21" t="str">
        <f aca="false">IF(Tasks[[#This Row],[Task Name]]="","",IF(OR(TakeBaseline="Yes",N(Tasks[[#This Row],[Baseline Duration]])=0),Tasks[[#This Row],[_SpanDays]],Tasks[[#This Row],[Baseline Duration]]))</f>
        <v/>
      </c>
      <c r="BP174" s="86" t="str">
        <f aca="false">IF(Tasks[[#This Row],[Task Name]]="","",IF(OR(TakeBaseline="Yes",N(Tasks[[#This Row],[Baseline Work]])=0),Tasks[[#This Row],[Work]],Tasks[[#This Row],[Baseline Work]]))</f>
        <v/>
      </c>
      <c r="BQ174" s="7"/>
      <c r="BR174" s="7"/>
      <c r="BS174" s="22"/>
      <c r="BT174" s="88"/>
      <c r="BU174" s="23"/>
      <c r="BV174" s="23"/>
      <c r="BW174" s="23"/>
      <c r="BX174" s="89" t="str">
        <f aca="false">IF(AND(Tasks[[#This Row],[_IsLeaf]]=1,ISNUMBER(Tasks[[#This Row],[Optimistic]]),ISNUMBER(Tasks[[#This Row],[Pessimistic]])),ROUND((Tasks[[#This Row],[Optimistic]]+4*N(Tasks[[#This Row],[_Days]])+Tasks[[#This Row],[Pessimistic]])/6,1),"")</f>
        <v/>
      </c>
      <c r="BY174" s="87"/>
      <c r="BZ174" s="87"/>
      <c r="CA174" s="22"/>
      <c r="CB174" s="43" t="str">
        <f aca="false">IF(Tasks[[#This Row],[Task Name]]="","",MAX(1,N(Tasks[[#This Row],[Level]])))</f>
        <v/>
      </c>
      <c r="CC174" s="43" t="n">
        <f aca="false">ROW()-ROW(Tasks[[#Headers],[ID]])</f>
        <v>169</v>
      </c>
      <c r="CD174" s="43" t="n">
        <f aca="false">IF(OR(Tasks[[#This Row],[Task Name]]="",Tasks[[#This Row],[_Level]]&lt;=1),0,IFERROR(LOOKUP(2,1/(Tasks[[#Headers],[_Level]]:Tasks[[#This Row],[_Level]]=Tasks[[#This Row],[_Level]]-1),ROW(Tasks[[#Headers],[_Level]]:Tasks[[#This Row],[_Level]])),0))</f>
        <v>0</v>
      </c>
      <c r="CE174" s="43" t="n">
        <f aca="false">IFERROR(N(INDEX(Tasks[_Level],Tasks[[#This Row],[_Row]]+1)),0)</f>
        <v>0</v>
      </c>
      <c r="CF174" s="90" t="b">
        <f aca="false">AND(Tasks[[#This Row],[Task Name]]&lt;&gt;"",Tasks[[#This Row],[_NextLevel]]&gt;Tasks[[#This Row],[_Level]])</f>
        <v>0</v>
      </c>
      <c r="CG174" s="43" t="n">
        <f aca="false">IF(Tasks[[#This Row],[_IsSummary]],COUNTIF(Tasks[WBS],Tasks[[#This Row],[WBS]]&amp;".*"),0)</f>
        <v>0</v>
      </c>
      <c r="CH174" s="43" t="n">
        <f aca="false">IF(AND(Tasks[[#This Row],[Task Name]]&lt;&gt;"",NOT(Tasks[[#This Row],[_IsSummary]])),1,0)</f>
        <v>0</v>
      </c>
      <c r="CI174" s="43" t="n">
        <f aca="false">IF(N(Tasks[[#This Row],[_Pred1UID]])=0,0,IFERROR(MATCH(Tasks[[#This Row],[_Pred1UID]],Tasks[UID],0),-1))</f>
        <v>0</v>
      </c>
      <c r="CJ174" s="43" t="n">
        <f aca="false">IF(N(Tasks[[#This Row],[_Pred2UID]])=0,0,IFERROR(MATCH(Tasks[[#This Row],[_Pred2UID]],Tasks[UID],0),-1))</f>
        <v>0</v>
      </c>
      <c r="CK174" s="43" t="n">
        <f aca="false">IF(N(Tasks[[#This Row],[_Pred3UID]])=0,0,IFERROR(MATCH(Tasks[[#This Row],[_Pred3UID]],Tasks[UID],0),-1))</f>
        <v>0</v>
      </c>
      <c r="CL174" s="43" t="n">
        <f aca="false">IF(N(Tasks[[#This Row],[_Pred4UID]])=0,0,IFERROR(MATCH(Tasks[[#This Row],[_Pred4UID]],Tasks[UID],0),-1))</f>
        <v>0</v>
      </c>
      <c r="CM17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4" s="91" t="n">
        <f aca="false">IF(OR(Tasks[[#This Row],[_ConstraintCode]]=2,Tasks[[#This Row],[_ConstraintCode]]=3,Tasks[[#This Row],[_ConstraintCode]]=4,Tasks[[#This Row],[_ConstraintCode]]=6),Tasks[[#This Row],[_ConstraintStart]],0)</f>
        <v>0</v>
      </c>
      <c r="CP174" s="91" t="n">
        <f aca="false">IF(OR(Tasks[[#This Row],[_ConstraintCode]]=2,Tasks[[#This Row],[_ConstraintCode]]=3,Tasks[[#This Row],[_ConstraintCode]]=5,Tasks[[#This Row],[_ConstraintCode]]=7),Tasks[[#This Row],[_ConstraintStart]],2958465)</f>
        <v>2958465</v>
      </c>
      <c r="CQ17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4" s="91" t="str">
        <f aca="false">IF(NOT(Tasks[[#This Row],[_IsLeaf]]=1),"",IF(N(Tasks[[#This Row],[_Days]])&lt;=0,Tasks[[#This Row],[_LeafCalcStart]],WORKDAY.INTL(Tasks[[#This Row],[_LeafCalcStart]],Tasks[[#This Row],[_Days]]-1,WorkWeek,Holidays)))</f>
        <v/>
      </c>
      <c r="CS17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4" s="43" t="str">
        <f aca="false">IF(Tasks[[#This Row],[_Predecessors]]="","",TRIM(MID(SUBSTITUTE(SUBSTITUTE(SUBSTITUTE(UPPER(Tasks[[#This Row],[_Predecessors]]),";",",")," ",""),",",REPT(" ",99)),1,99)))</f>
        <v/>
      </c>
      <c r="CV174" s="43" t="str">
        <f aca="false">IF(Tasks[[#This Row],[_Pred1Text]]="","",IFERROR(VALUE(LEFT(Tasks[[#This Row],[_Pred1Text]],MIN(FIND("F",Tasks[[#This Row],[_Pred1Text]]&amp;"F"),FIND("S",Tasks[[#This Row],[_Pred1Text]]&amp;"S"),FIND("+",Tasks[[#This Row],[_Pred1Text]]&amp;"+"),FIND("-",Tasks[[#This Row],[_Pred1Text]]&amp;"-"))-1)),""))</f>
        <v/>
      </c>
      <c r="CW17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4" s="43" t="str">
        <f aca="false">IF(Tasks[[#This Row],[_Pred1Text]]="","",TRIM(MID(SUBSTITUTE(SUBSTITUTE(SUBSTITUTE(UPPER(Tasks[[#This Row],[_Predecessors]]),";",",")," ",""),",",REPT(" ",99)),100,99)))</f>
        <v/>
      </c>
      <c r="CZ174" s="43" t="str">
        <f aca="false">IF(Tasks[[#This Row],[_Pred2Text]]="","",IFERROR(VALUE(LEFT(Tasks[[#This Row],[_Pred2Text]],MIN(FIND("F",Tasks[[#This Row],[_Pred2Text]]&amp;"F"),FIND("S",Tasks[[#This Row],[_Pred2Text]]&amp;"S"),FIND("+",Tasks[[#This Row],[_Pred2Text]]&amp;"+"),FIND("-",Tasks[[#This Row],[_Pred2Text]]&amp;"-"))-1)),""))</f>
        <v/>
      </c>
      <c r="DA17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4" s="43" t="str">
        <f aca="false">IF(Tasks[[#This Row],[_Pred2Text]]="","",TRIM(MID(SUBSTITUTE(SUBSTITUTE(SUBSTITUTE(UPPER(Tasks[[#This Row],[_Predecessors]]),";",",")," ",""),",",REPT(" ",99)),199,99)))</f>
        <v/>
      </c>
      <c r="DD174" s="43" t="str">
        <f aca="false">IF(Tasks[[#This Row],[_Pred3Text]]="","",IFERROR(VALUE(LEFT(Tasks[[#This Row],[_Pred3Text]],MIN(FIND("F",Tasks[[#This Row],[_Pred3Text]]&amp;"F"),FIND("S",Tasks[[#This Row],[_Pred3Text]]&amp;"S"),FIND("+",Tasks[[#This Row],[_Pred3Text]]&amp;"+"),FIND("-",Tasks[[#This Row],[_Pred3Text]]&amp;"-"))-1)),""))</f>
        <v/>
      </c>
      <c r="DE17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4" s="43" t="str">
        <f aca="false">IF(Tasks[[#This Row],[_Pred3Text]]="","",TRIM(MID(SUBSTITUTE(SUBSTITUTE(SUBSTITUTE(UPPER(Tasks[[#This Row],[_Predecessors]]),";",",")," ",""),",",REPT(" ",99)),298,99)))</f>
        <v/>
      </c>
      <c r="DH174" s="43" t="str">
        <f aca="false">IF(Tasks[[#This Row],[_Pred4Text]]="","",IFERROR(VALUE(LEFT(Tasks[[#This Row],[_Pred4Text]],MIN(FIND("F",Tasks[[#This Row],[_Pred4Text]]&amp;"F"),FIND("S",Tasks[[#This Row],[_Pred4Text]]&amp;"S"),FIND("+",Tasks[[#This Row],[_Pred4Text]]&amp;"+"),FIND("-",Tasks[[#This Row],[_Pred4Text]]&amp;"-"))-1)),""))</f>
        <v/>
      </c>
      <c r="DI17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4" s="43" t="str">
        <f aca="false">IF(OR(Tasks[[#This Row],[Task Name]]="",Tasks[[#This Row],[_Resources]]=""),"",TRIM(MID(SUBSTITUTE(Tasks[[#This Row],[_Resources]],",",REPT(" ",99)),1,99)))</f>
        <v/>
      </c>
      <c r="DL174" s="43" t="str">
        <f aca="false">IF(Tasks[[#This Row],[_Res1Text]]="","",TRIM(MID(SUBSTITUTE(Tasks[[#This Row],[_Resources]],",",REPT(" ",99)),100,99)))</f>
        <v/>
      </c>
      <c r="DM174" s="43" t="str">
        <f aca="false">IF(Tasks[[#This Row],[_Res2Text]]="","",TRIM(MID(SUBSTITUTE(Tasks[[#This Row],[_Resources]],",",REPT(" ",99)),199,99)))</f>
        <v/>
      </c>
      <c r="DN174" s="43" t="str">
        <f aca="false">IF(Tasks[[#This Row],[_Res3Text]]="","",TRIM(MID(SUBSTITUTE(Tasks[[#This Row],[_Resources]],",",REPT(" ",99)),298,99)))</f>
        <v/>
      </c>
      <c r="DO174" s="43" t="n">
        <f aca="false">IF(Tasks[[#This Row],[_Res1Text]]="",0,IFERROR(MATCH(TRIM(LEFT(Tasks[[#This Row],[_Res1Text]],FIND("[",Tasks[[#This Row],[_Res1Text]]&amp;"[")-1)),res_Name,0),IFERROR(MATCH(TRIM(LEFT(Tasks[[#This Row],[_Res1Text]],FIND("[",Tasks[[#This Row],[_Res1Text]]&amp;"[")-1)),res_Initials,0),0)))</f>
        <v>0</v>
      </c>
      <c r="DP174" s="43" t="n">
        <f aca="false">IF(Tasks[[#This Row],[_Res2Text]]="",0,IFERROR(MATCH(TRIM(LEFT(Tasks[[#This Row],[_Res2Text]],FIND("[",Tasks[[#This Row],[_Res2Text]]&amp;"[")-1)),res_Name,0),IFERROR(MATCH(TRIM(LEFT(Tasks[[#This Row],[_Res2Text]],FIND("[",Tasks[[#This Row],[_Res2Text]]&amp;"[")-1)),res_Initials,0),0)))</f>
        <v>0</v>
      </c>
      <c r="DQ174" s="43" t="n">
        <f aca="false">IF(Tasks[[#This Row],[_Res3Text]]="",0,IFERROR(MATCH(TRIM(LEFT(Tasks[[#This Row],[_Res3Text]],FIND("[",Tasks[[#This Row],[_Res3Text]]&amp;"[")-1)),res_Name,0),IFERROR(MATCH(TRIM(LEFT(Tasks[[#This Row],[_Res3Text]],FIND("[",Tasks[[#This Row],[_Res3Text]]&amp;"[")-1)),res_Initials,0),0)))</f>
        <v>0</v>
      </c>
      <c r="DR174" s="43" t="n">
        <f aca="false">IF(Tasks[[#This Row],[_Res4Text]]="",0,IFERROR(MATCH(TRIM(LEFT(Tasks[[#This Row],[_Res4Text]],FIND("[",Tasks[[#This Row],[_Res4Text]]&amp;"[")-1)),res_Name,0),IFERROR(MATCH(TRIM(LEFT(Tasks[[#This Row],[_Res4Text]],FIND("[",Tasks[[#This Row],[_Res4Text]]&amp;"[")-1)),res_Initials,0),0)))</f>
        <v>0</v>
      </c>
      <c r="DS174" s="43" t="str">
        <f aca="false">IF(Tasks[[#This Row],[_Res1Text]]="","",IF(Tasks[[#This Row],[_Res1Row]]&gt;0,INDEX(res_Name,Tasks[[#This Row],[_Res1Row]]),TRIM(LEFT(Tasks[[#This Row],[_Res1Text]],FIND("[",Tasks[[#This Row],[_Res1Text]]&amp;"[")-1))))</f>
        <v/>
      </c>
      <c r="DT17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4" s="43" t="n">
        <f aca="false">IF(NOT(Tasks[[#This Row],[_IsLeaf]]=1),0,(Tasks[[#This Row],[_Resource1]]&lt;&gt;"")+(Tasks[[#This Row],[_Res2]]&lt;&gt;"")+(Tasks[[#This Row],[_Res3]]&lt;&gt;"")+(Tasks[[#This Row],[_Res4]]&lt;&gt;""))</f>
        <v>0</v>
      </c>
      <c r="DV174" s="43" t="str">
        <f aca="false">IF(Tasks[[#This Row],[_Res2Text]]="","",IF(Tasks[[#This Row],[_Res2Row]]&gt;0,INDEX(res_Name,Tasks[[#This Row],[_Res2Row]]),TRIM(LEFT(Tasks[[#This Row],[_Res2Text]],FIND("[",Tasks[[#This Row],[_Res2Text]]&amp;"[")-1))))</f>
        <v/>
      </c>
      <c r="DW17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4" s="43" t="n">
        <f aca="false">IF(OR(NOT(Tasks[[#This Row],[_IsLeaf]]=1),Tasks[[#This Row],[_Res2Row]]=0),0,N(Tasks[[#This Row],[_Days]])*HoursPerDay*IF(Tasks[[#This Row],[_Res2Units]]="",DefaultUnits,Tasks[[#This Row],[_Res2Units]]))</f>
        <v>0</v>
      </c>
      <c r="DY174" s="43" t="n">
        <f aca="false">IF(AND(AND(Tasks[[#This Row],[_IsLeaf]]=1,Tasks[[#This Row],[_LeafTotalWork]]&gt;0),Tasks[[#This Row],[_Res2Work]]&gt;0),Tasks[[#This Row],[_Res2Work]]/(Tasks[[#This Row],[_FinishWorkday]]-Tasks[[#This Row],[_StartWorkday]]+1),0)</f>
        <v>0</v>
      </c>
      <c r="DZ174" s="43" t="n">
        <f aca="false">Tasks[[#This Row],[_Res2WorkPerWD]]*MAX(0,Tasks[[#This Row],[_StartWorkday]]-1)</f>
        <v>0</v>
      </c>
      <c r="EA174" s="43" t="n">
        <f aca="false">Tasks[[#This Row],[_Res2Work]]*Tasks[[#This Row],[_LeafProgress]]</f>
        <v>0</v>
      </c>
      <c r="EB174" s="43" t="str">
        <f aca="false">IF(Tasks[[#This Row],[_Res3Text]]="","",IF(Tasks[[#This Row],[_Res3Row]]&gt;0,INDEX(res_Name,Tasks[[#This Row],[_Res3Row]]),TRIM(LEFT(Tasks[[#This Row],[_Res3Text]],FIND("[",Tasks[[#This Row],[_Res3Text]]&amp;"[")-1))))</f>
        <v/>
      </c>
      <c r="EC17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4" s="43" t="n">
        <f aca="false">IF(OR(NOT(Tasks[[#This Row],[_IsLeaf]]=1),Tasks[[#This Row],[_Res3Row]]=0),0,N(Tasks[[#This Row],[_Days]])*HoursPerDay*IF(Tasks[[#This Row],[_Res3Units]]="",DefaultUnits,Tasks[[#This Row],[_Res3Units]]))</f>
        <v>0</v>
      </c>
      <c r="EE174" s="43" t="n">
        <f aca="false">IF(AND(AND(Tasks[[#This Row],[_IsLeaf]]=1,Tasks[[#This Row],[_LeafTotalWork]]&gt;0),Tasks[[#This Row],[_Res3Work]]&gt;0),Tasks[[#This Row],[_Res3Work]]/(Tasks[[#This Row],[_FinishWorkday]]-Tasks[[#This Row],[_StartWorkday]]+1),0)</f>
        <v>0</v>
      </c>
      <c r="EF174" s="43" t="n">
        <f aca="false">Tasks[[#This Row],[_Res3WorkPerWD]]*MAX(0,Tasks[[#This Row],[_StartWorkday]]-1)</f>
        <v>0</v>
      </c>
      <c r="EG174" s="43" t="n">
        <f aca="false">Tasks[[#This Row],[_Res3Work]]*Tasks[[#This Row],[_LeafProgress]]</f>
        <v>0</v>
      </c>
      <c r="EH174" s="43" t="str">
        <f aca="false">IF(Tasks[[#This Row],[_Res4Text]]="","",IF(Tasks[[#This Row],[_Res4Row]]&gt;0,INDEX(res_Name,Tasks[[#This Row],[_Res4Row]]),TRIM(LEFT(Tasks[[#This Row],[_Res4Text]],FIND("[",Tasks[[#This Row],[_Res4Text]]&amp;"[")-1))))</f>
        <v/>
      </c>
      <c r="EI17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4" s="43" t="n">
        <f aca="false">IF(OR(NOT(Tasks[[#This Row],[_IsLeaf]]=1),Tasks[[#This Row],[_Res4Row]]=0),0,N(Tasks[[#This Row],[_Days]])*HoursPerDay*IF(Tasks[[#This Row],[_Res4Units]]="",DefaultUnits,Tasks[[#This Row],[_Res4Units]]))</f>
        <v>0</v>
      </c>
      <c r="EK174" s="43" t="n">
        <f aca="false">IF(AND(AND(Tasks[[#This Row],[_IsLeaf]]=1,Tasks[[#This Row],[_LeafTotalWork]]&gt;0),Tasks[[#This Row],[_Res4Work]]&gt;0),Tasks[[#This Row],[_Res4Work]]/(Tasks[[#This Row],[_FinishWorkday]]-Tasks[[#This Row],[_StartWorkday]]+1),0)</f>
        <v>0</v>
      </c>
      <c r="EL174" s="43" t="n">
        <f aca="false">Tasks[[#This Row],[_Res4WorkPerWD]]*MAX(0,Tasks[[#This Row],[_StartWorkday]]-1)</f>
        <v>0</v>
      </c>
      <c r="EM174" s="43" t="n">
        <f aca="false">Tasks[[#This Row],[_Res4Work]]*Tasks[[#This Row],[_LeafProgress]]</f>
        <v>0</v>
      </c>
      <c r="EN174" s="43" t="n">
        <f aca="false">IF(ISNUMBER(Tasks[[#This Row],[% Complete]]),Tasks[[#This Row],[% Complete]],IF(Tasks[[#This Row],[Stage]]="",0,IFERROR(INDEX(stg_Pct,MATCH(Tasks[[#This Row],[Stage]],stg_Name,0)),0)))</f>
        <v>0</v>
      </c>
      <c r="EO174" s="43" t="n">
        <f aca="false">IF(NOT(Tasks[[#This Row],[_IsLeaf]]=1),0,IF(N(Tasks[[#This Row],[Actual Finish]])&gt;0,1,MIN(1,Tasks[[#This Row],[_Pct]])))</f>
        <v>0</v>
      </c>
      <c r="EP174" s="43" t="n">
        <f aca="false">IF(OR(NOT(Tasks[[#This Row],[_IsLeaf]]=1),Tasks[[#This Row],[_Res1Row]]=0),0,N(Tasks[[#This Row],[_Days]])*HoursPerDay*IF(Tasks[[#This Row],[_Units1]]="",DefaultUnits,Tasks[[#This Row],[_Units1]]))</f>
        <v>0</v>
      </c>
      <c r="EQ174" s="43" t="n">
        <f aca="false">Tasks[[#This Row],[_LeafWork]]+Tasks[[#This Row],[_Res2Work]]+Tasks[[#This Row],[_Res3Work]]+Tasks[[#This Row],[_Res4Work]]</f>
        <v>0</v>
      </c>
      <c r="ER17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4" s="43" t="n">
        <f aca="false">IF(NOT(Tasks[[#This Row],[_IsLeaf]]=1),0,MAX(_xlfn.MAXIFS(Tasks[_Row],Tasks[_Pred1UID],Tasks[[#This Row],[UID]]),_xlfn.MAXIFS(Tasks[_Row],Tasks[_Pred2UID],Tasks[[#This Row],[UID]]),_xlfn.MAXIFS(Tasks[_Row],Tasks[_Pred3UID],Tasks[[#This Row],[UID]]),_xlfn.MAXIFS(Tasks[_Row],Tasks[_Pred4UID],Tasks[[#This Row],[UID]])))</f>
        <v>0</v>
      </c>
      <c r="FA17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4" s="91" t="str">
        <f aca="false">IF(NOT(Tasks[[#This Row],[_IsLeaf]]=1),"",IF(N(Tasks[[#This Row],[_Days]])&lt;=0,Tasks[[#This Row],[_LeafLateFinish]],WORKDAY.INTL(Tasks[[#This Row],[_LeafLateFinish]],-(Tasks[[#This Row],[_Days]]-1),WorkWeek,Holidays)))</f>
        <v/>
      </c>
      <c r="FD17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4" s="90" t="b">
        <f aca="false">AND(Tasks[[#This Row],[_IsLeaf]]=1,Tasks[[#This Row],[_LeafProgress]]&lt;1,N(Tasks[[#This Row],[_LeafTotalSlack]])&lt;=CriticalSlackDays)</f>
        <v>0</v>
      </c>
      <c r="FF174" s="43" t="n">
        <f aca="false">IF(AND(Tasks[[#This Row],[_IsLeaf]]=1,Tasks[[#This Row],[_ConstraintCode]]=1,Tasks[[#This Row],[Mode]]&lt;&gt;"Manual",N(Tasks[[#This Row],[Actual Start]])=0),MAX(0,N(Tasks[[#This Row],[Free Slack]])),0)</f>
        <v>0</v>
      </c>
      <c r="FG174" s="91" t="str">
        <f aca="false">IF(NOT(Tasks[[#This Row],[_IsLeaf]]=1),"",IF(Tasks[[#This Row],[_AlapShift]]=0,Tasks[[#This Row],[_LeafCalcStart]],WORKDAY.INTL(Tasks[[#This Row],[_LeafCalcStart]],Tasks[[#This Row],[_AlapShift]],WorkWeek,Holidays)))</f>
        <v/>
      </c>
      <c r="FH174" s="91" t="str">
        <f aca="false">IF(NOT(Tasks[[#This Row],[_IsLeaf]]=1),"",IF(Tasks[[#This Row],[_AlapShift]]=0,Tasks[[#This Row],[_LeafCalcFinish]],WORKDAY.INTL(Tasks[[#This Row],[_LeafCalcFinish]],Tasks[[#This Row],[_AlapShift]],WorkWeek,Holidays)))</f>
        <v/>
      </c>
      <c r="FI174" s="91" t="str">
        <f aca="false">IF(NOT(Tasks[[#This Row],[_IsLeaf]]=1),"",IF(Tasks[[#This Row],[_AlapShift]]=0,Tasks[[#This Row],[_LeafFcstStart]],WORKDAY.INTL(Tasks[[#This Row],[_LeafFcstStart]],Tasks[[#This Row],[_AlapShift]],WorkWeek,Holidays)))</f>
        <v/>
      </c>
      <c r="FJ174" s="91" t="str">
        <f aca="false">IF(NOT(Tasks[[#This Row],[_IsLeaf]]=1),"",IF(Tasks[[#This Row],[_AlapShift]]=0,Tasks[[#This Row],[_LeafFcstFinish]],WORKDAY.INTL(Tasks[[#This Row],[_LeafFcstFinish]],Tasks[[#This Row],[_AlapShift]],WorkWeek,Holidays)))</f>
        <v/>
      </c>
      <c r="FK174" s="91" t="str">
        <f aca="false">IF(Tasks[[#This Row],[Task Name]]="","",IF(Tasks[[#This Row],[_IsSummary]],MIN(INDEX(Tasks[_ShownCalcStart],Tasks[[#This Row],[_Row]]+1):INDEX(Tasks[_ShownCalcStart],Tasks[[#This Row],[_Row]]+Tasks[[#This Row],[_Descendants]])),Tasks[[#This Row],[_ShownCalcStart]]))</f>
        <v/>
      </c>
      <c r="FL174" s="91" t="str">
        <f aca="false">IF(Tasks[[#This Row],[Task Name]]="","",IF(Tasks[[#This Row],[_IsSummary]],MAX(INDEX(Tasks[_ShownCalcFinish],Tasks[[#This Row],[_Row]]+1):INDEX(Tasks[_ShownCalcFinish],Tasks[[#This Row],[_Row]]+Tasks[[#This Row],[_Descendants]])),Tasks[[#This Row],[_ShownCalcFinish]]))</f>
        <v/>
      </c>
      <c r="FM17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4" s="43" t="n">
        <f aca="false">IF(AND(Tasks[[#This Row],[_IsLeaf]]=1,Tasks[[#This Row],[_LeafTotalWork]]&gt;0),NETWORKDAYS.INTL(ProjectStart,Tasks[[#This Row],[_ShownFcstStart]],WorkWeek,Holidays),0)</f>
        <v>0</v>
      </c>
      <c r="FZ174" s="43" t="n">
        <f aca="false">IF(AND(Tasks[[#This Row],[_IsLeaf]]=1,Tasks[[#This Row],[_LeafTotalWork]]&gt;0),MAX(Tasks[[#This Row],[_StartWorkday]],NETWORKDAYS.INTL(ProjectStart,Tasks[[#This Row],[_ShownFcstFinish]],WorkWeek,Holidays)),0)</f>
        <v>0</v>
      </c>
      <c r="GA174" s="43" t="n">
        <f aca="false">IF(AND(Tasks[[#This Row],[_IsLeaf]]=1,Tasks[[#This Row],[_LeafTotalWork]]&gt;0),Tasks[[#This Row],[_LeafWork]]/(Tasks[[#This Row],[_FinishWorkday]]-Tasks[[#This Row],[_StartWorkday]]+1),0)</f>
        <v>0</v>
      </c>
      <c r="GB174" s="43" t="n">
        <f aca="false">Tasks[[#This Row],[_WorkPerWorkday]]*(Tasks[[#This Row],[_StartWorkday]]-1)</f>
        <v>-0</v>
      </c>
      <c r="GC174" s="43" t="n">
        <f aca="false">IF(Tasks[[#This Row],[_IsLeaf]]=1,MAX(N(Tasks[[#This Row],[_Days]]),0.1),0)</f>
        <v>0</v>
      </c>
      <c r="GD174" s="43" t="n">
        <f aca="false">Tasks[[#This Row],[_WeightDur]]*Tasks[[#This Row],[_LeafProgress]]</f>
        <v>0</v>
      </c>
      <c r="GE174" s="43" t="n">
        <f aca="false">Tasks[[#This Row],[_WeightDur]]*Tasks[[#This Row],[_PlannedPct]]</f>
        <v>0</v>
      </c>
      <c r="GF17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4" s="43" t="str">
        <f aca="false">IF(AND(Tasks[[#This Row],[_IsLeaf]]=1,N(Tasks[[#This Row],[_Days]])=0,Tasks[[#This Row],[_LeafProgress]]&lt;1),Tasks[[#This Row],[_ShownFcstFinish]]+Tasks[[#This Row],[_Row]]/100000,"")</f>
        <v/>
      </c>
      <c r="GH17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4" s="43" t="str">
        <f aca="false">IF(Tasks[[#This Row],[Task Name]]="","",LEFT(Tasks[[#This Row],[WBS]],FIND(".",Tasks[[#This Row],[WBS]]&amp;".")-1))</f>
        <v/>
      </c>
      <c r="GJ174" s="43" t="str">
        <f aca="false">IF(AND(Tasks[[#This Row],[Task Name]]&lt;&gt;"",Tasks[[#This Row],[_Level]]=1),Tasks[[#This Row],[_Row]],"")</f>
        <v/>
      </c>
      <c r="GK174" s="43" t="str">
        <f aca="false">IF(AND(Tasks[[#This Row],[_IsLeaf]]=1,N(Tasks[[#This Row],[_Days]])=0),Tasks[[#This Row],[Planned Finish]]+Tasks[[#This Row],[_Row]]/100000,"")</f>
        <v/>
      </c>
      <c r="GL174" s="43" t="str">
        <f aca="false">IF(AND(Tasks[[#This Row],[_IsLeaf]]=1,Tasks[[#This Row],[_LeafProgress]]&lt;1,OR(N(Tasks[[#This Row],[Finish Var]])&gt;0,Tasks[[#This Row],[Status]]="Late Start")),MAX(0,Tasks[[#This Row],[Finish Var]])+1-Tasks[[#This Row],[_Row]]/1000000,"")</f>
        <v/>
      </c>
      <c r="GM174" s="43" t="str">
        <f aca="false">IF(AND(Tasks[[#This Row],[_IsLeaf]]=1,N(Tasks[[#This Row],[Actual Start]])=0,Tasks[[#This Row],[_ShownFcstStart]]&gt;=StatusDate,Tasks[[#This Row],[_ShownFcstStart]]&lt;=LookaheadEnd),Tasks[[#This Row],[_ShownFcstStart]]+Tasks[[#This Row],[_Row]]/100000,"")</f>
        <v/>
      </c>
      <c r="GN174" s="43" t="str">
        <f aca="false">IF(AND(Tasks[[#This Row],[_IsLeaf]]=1,Tasks[[#This Row],[_LeafProgress]]&lt;1,Tasks[[#This Row],[_ShownFcstFinish]]&gt;=StatusDate,Tasks[[#This Row],[_ShownFcstFinish]]&lt;=LookaheadEnd),Tasks[[#This Row],[_ShownFcstFinish]]+Tasks[[#This Row],[_Row]]/100000,"")</f>
        <v/>
      </c>
      <c r="GO174" s="43" t="str">
        <f aca="false">IF(Tasks[[#This Row],[_LeafCritical]],Tasks[[#This Row],[_ShownFcstStart]]+Tasks[[#This Row],[_Row]]/100000,"")</f>
        <v/>
      </c>
      <c r="GP174" s="43" t="n">
        <f aca="false">Tasks[[#This Row],[_LeafWork]]*Tasks[[#This Row],[_LeafProgress]]</f>
        <v>0</v>
      </c>
      <c r="GQ174" s="91" t="str">
        <f aca="false">IF(AND(Tasks[[#This Row],[_IsLeaf]]=1,Tasks[[#This Row],[_LeafProgress]]&gt;=1),IF(N(Tasks[[#This Row],[Actual Finish]])&gt;0,Tasks[[#This Row],[Actual Finish]],Tasks[[#This Row],[_ShownFcstFinish]]),"")</f>
        <v/>
      </c>
      <c r="GR174" s="43" t="n">
        <f aca="false">IF(Tasks[[#This Row],[_IsLeaf]]=1,N(Tasks[[#This Row],[Story Points]]),0)</f>
        <v>0</v>
      </c>
      <c r="GS174" s="43" t="str">
        <f aca="false">""</f>
        <v/>
      </c>
      <c r="GT174" s="90" t="b">
        <f aca="false">IF(Tasks[[#This Row],[Task Name]]="",FALSE(),AND(Tasks[[#This Row],[_IsLeaf]]=1,N(Tasks[[#This Row],[_Days]])=0))</f>
        <v>0</v>
      </c>
      <c r="GU174" s="91" t="n">
        <f aca="false">IF(Tasks[[#This Row],[Task Name]]="",0,IF(AND(Tasks[[#This Row],[_IsLeaf]]=1,NOT(Tasks[[#This Row],[_IsMilestone]]),N(Tasks[[#This Row],[Progress]])&gt;0),Tasks[[#This Row],[Start]],0))</f>
        <v>0</v>
      </c>
      <c r="GV174" s="91" t="n">
        <f aca="false">IF(Tasks[[#This Row],[_DoneFrom]]=0,0,IF(Tasks[[#This Row],[Progress]]&gt;=1,Tasks[[#This Row],[Finish]],MAX(Tasks[[#This Row],[_DoneFrom]],Tasks[[#This Row],[Start]]+ROUND((Tasks[[#This Row],[Finish]]-Tasks[[#This Row],[Start]]+1)*Tasks[[#This Row],[Progress]],0)-1)))</f>
        <v>0</v>
      </c>
      <c r="GW174" s="91" t="n">
        <f aca="false">IF(Tasks[[#This Row],[Task Name]]="",0,IF(OR(NOT(Tasks[[#This Row],[_IsLeaf]]=1),Tasks[[#This Row],[_IsMilestone]],N(Tasks[[#This Row],[Progress]])&gt;=1),0,IF(Tasks[[#This Row],[_DoneTo]]&gt;0,Tasks[[#This Row],[_DoneTo]]+1,Tasks[[#This Row],[Start]])))</f>
        <v>0</v>
      </c>
      <c r="GX174" s="91" t="n">
        <f aca="false">IF(Tasks[[#This Row],[_RemFrom]]=0,0,Tasks[[#This Row],[Finish]])</f>
        <v>0</v>
      </c>
      <c r="GY174" s="90" t="b">
        <f aca="false">IF(Tasks[[#This Row],[Task Name]]="",FALSE(),OR(NOT(BaselineSet),N(Tasks[[#This Row],[Baseline Start]])&gt;0))</f>
        <v>0</v>
      </c>
      <c r="GZ17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4" s="92" t="str">
        <f aca="false">IF(Tasks[[#This Row],[_IsLeaf]]=1,Tasks[[#This Row],[_Row]],"")</f>
        <v/>
      </c>
      <c r="HD174" s="92" t="str">
        <f aca="false">IFERROR(INDEX(Tasks[UID],SMALL(Tasks[_PickKey],Tasks[[#This Row],[_Row]]))&amp;" "&amp;INDEX(Tasks[Task Name],SMALL(Tasks[_PickKey],Tasks[[#This Row],[_Row]])),"")</f>
        <v/>
      </c>
      <c r="HE174" s="43" t="str">
        <f aca="false">IF(Tasks[[#This Row],[Task Name]]="","",IF(Tasks[[#This Row],[_IsSummary]],NETWORKDAYS.INTL(Tasks[[#This Row],[Start]],Tasks[[#This Row],[Finish]],WorkWeek,Holidays),N(Tasks[[#This Row],[_Days]])))</f>
        <v/>
      </c>
      <c r="HF174" s="43" t="n">
        <f aca="false">IF(Tasks[[#This Row],[Expected]]="",0,((Tasks[[#This Row],[Pessimistic]]-Tasks[[#This Row],[Optimistic]])/6)^2)</f>
        <v>0</v>
      </c>
      <c r="HG174" s="43" t="n">
        <f aca="false">IF(Tasks[[#This Row],[Expected]]="",0,Tasks[[#This Row],[Expected]]-N(Tasks[[#This Row],[_Days]]))</f>
        <v>0</v>
      </c>
    </row>
    <row r="175" customFormat="false" ht="15" hidden="false" customHeight="false" outlineLevel="0" collapsed="false">
      <c r="A175" s="21" t="str">
        <f aca="false">IF(Tasks[[#This Row],[Task Name]]="","",COUNTA(Tasks[[#Headers],[Task Name]]:Tasks[[#This Row],[Task Name]])-1)</f>
        <v/>
      </c>
      <c r="B175" s="22" t="n">
        <v>183</v>
      </c>
      <c r="C175" s="22"/>
      <c r="D175" s="23"/>
      <c r="E175" s="22"/>
      <c r="F175" s="23"/>
      <c r="G175" s="22"/>
      <c r="H175" s="22"/>
      <c r="I175" s="23"/>
      <c r="J175" s="22"/>
      <c r="K175" s="22"/>
      <c r="L175" s="23"/>
      <c r="M175" s="22"/>
      <c r="N175" s="22"/>
      <c r="O175" s="23"/>
      <c r="P175" s="22"/>
      <c r="Q175" s="22"/>
      <c r="R175" s="23"/>
      <c r="S175" s="23"/>
      <c r="T175" s="84"/>
      <c r="U175" s="23"/>
      <c r="V175" s="84"/>
      <c r="W175" s="23"/>
      <c r="X175" s="84"/>
      <c r="Y175" s="23"/>
      <c r="Z175" s="84"/>
      <c r="AA175" s="23"/>
      <c r="AB175" s="23"/>
      <c r="AC175" s="7"/>
      <c r="AD175" s="7"/>
      <c r="AE175" s="63" t="str">
        <f aca="false">IF(Tasks[[#This Row],[Task Name]]="","",IF(Tasks[[#This Row],[_IsSummary]],MIN(INDEX(Tasks[_ShownFcstStart],Tasks[[#This Row],[_Row]]+1):INDEX(Tasks[_ShownFcstStart],Tasks[[#This Row],[_Row]]+Tasks[[#This Row],[_Descendants]])),Tasks[[#This Row],[_ShownFcstStart]]))</f>
        <v/>
      </c>
      <c r="AF175" s="63" t="str">
        <f aca="false">IF(Tasks[[#This Row],[Task Name]]="","",IF(Tasks[[#This Row],[_IsSummary]],MAX(INDEX(Tasks[_ShownFcstFinish],Tasks[[#This Row],[_Row]]+1):INDEX(Tasks[_ShownFcstFinish],Tasks[[#This Row],[_Row]]+Tasks[[#This Row],[_Descendants]])),Tasks[[#This Row],[_ShownFcstFinish]]))</f>
        <v/>
      </c>
      <c r="AG175" s="21" t="str">
        <f aca="false">""</f>
        <v/>
      </c>
      <c r="AH175" s="23"/>
      <c r="AI1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5" s="7"/>
      <c r="AK175" s="22"/>
      <c r="AL175" s="23"/>
      <c r="AM175" s="7"/>
      <c r="AN175" s="47" t="str">
        <f aca="false">IF(Tasks[[#This Row],[Task Name]]="","",IF(Tasks[[#This Row],[Finish]]&gt;=Tasks[[#This Row],[Planned Finish]],NETWORKDAYS.INTL(Tasks[[#This Row],[Planned Finish]],Tasks[[#This Row],[Finish]],WorkWeek,Holidays)-1,1-NETWORKDAYS.INTL(Tasks[[#This Row],[Finish]],Tasks[[#This Row],[Planned Finish]],WorkWeek,Holidays)))</f>
        <v/>
      </c>
      <c r="AO175" s="21" t="str">
        <f aca="false">IF(Tasks[[#This Row],[Task Name]]="","",IF(Tasks[[#This Row],[Progress]]&gt;=1,"Complete",IF(OR(N(Tasks[[#This Row],[Actual Start]])&gt;0,Tasks[[#This Row],[Progress]]&gt;0),IF(Tasks[[#This Row],[Finish Var]]&gt;0,"Behind","In Progress"),IF(Tasks[[#This Row],[Planned Start]]&lt;StatusDate,"Late Start","Not Started"))))</f>
        <v/>
      </c>
      <c r="AP175" s="21" t="str">
        <f aca="false">IF(Tasks[[#This Row],[Task Name]]="","",IF(IF(Tasks[[#This Row],[_IsSummary]],COUNTIF(INDEX(Tasks[_LeafCritical],Tasks[[#This Row],[_Row]]+1):INDEX(Tasks[_LeafCritical],Tasks[[#This Row],[_Row]]+Tasks[[#This Row],[_Descendants]]),TRUE())&gt;0,Tasks[[#This Row],[_LeafCritical]]),"Yes",""))</f>
        <v/>
      </c>
      <c r="AQ175" s="63" t="str">
        <f aca="false">IF(Tasks[[#This Row],[Task Name]]="","",IF(N(Tasks[[#This Row],[Baseline Start]])&gt;0,Tasks[[#This Row],[Baseline Start]],Tasks[[#This Row],[_CalcStart]]))</f>
        <v/>
      </c>
      <c r="AR175" s="63" t="str">
        <f aca="false">IF(Tasks[[#This Row],[Task Name]]="","",IF(N(Tasks[[#This Row],[Baseline Finish]])&gt;0,Tasks[[#This Row],[Baseline Finish]],Tasks[[#This Row],[_CalcFinish]]))</f>
        <v/>
      </c>
      <c r="AS175" s="47" t="str">
        <f aca="false">IF(Tasks[[#This Row],[Task Name]]="","",IF(Tasks[[#This Row],[Start]]&gt;=Tasks[[#This Row],[Planned Start]],NETWORKDAYS.INTL(Tasks[[#This Row],[Planned Start]],Tasks[[#This Row],[Start]],WorkWeek,Holidays)-1,1-NETWORKDAYS.INTL(Tasks[[#This Row],[Start]],Tasks[[#This Row],[Planned Start]],WorkWeek,Holidays)))</f>
        <v/>
      </c>
      <c r="AT175" s="63" t="str">
        <f aca="false">IF(Tasks[[#This Row],[Task Name]]="","",IF(Tasks[[#This Row],[_IsSummary]],MIN(INDEX(Tasks[_LeafLateStart],Tasks[[#This Row],[_Row]]+1):INDEX(Tasks[_LeafLateStart],Tasks[[#This Row],[_Row]]+Tasks[[#This Row],[_Descendants]])),Tasks[[#This Row],[_LeafLateStart]]))</f>
        <v/>
      </c>
      <c r="AU175" s="63" t="str">
        <f aca="false">IF(Tasks[[#This Row],[Task Name]]="","",IF(Tasks[[#This Row],[_IsSummary]],MAX(INDEX(Tasks[_LeafLateFinish],Tasks[[#This Row],[_Row]]+1):INDEX(Tasks[_LeafLateFinish],Tasks[[#This Row],[_Row]]+Tasks[[#This Row],[_Descendants]])),Tasks[[#This Row],[_LeafLateFinish]]))</f>
        <v/>
      </c>
      <c r="AV175" s="47" t="str">
        <f aca="false">IF(Tasks[[#This Row],[Task Name]]="","",IF(Tasks[[#This Row],[_IsSummary]],MIN(INDEX(Tasks[_LeafTotalSlack],Tasks[[#This Row],[_Row]]+1):INDEX(Tasks[_LeafTotalSlack],Tasks[[#This Row],[_Row]]+Tasks[[#This Row],[_Descendants]])),Tasks[[#This Row],[_LeafTotalSlack]]))</f>
        <v/>
      </c>
      <c r="AW1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5"/>
      <c r="BA17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1" t="str">
        <f aca="false">IF(Tasks[[#This Row],[Task Name]]="","",IF(Tasks[[#This Row],[_Level]]&lt;=OutlineShowLevel,"Yes","No"))</f>
        <v/>
      </c>
      <c r="BE175" s="86" t="str">
        <f aca="false">IF(Tasks[[#This Row],[Task Name]]="","",IF(Tasks[[#This Row],[_IsSummary]],SUM(INDEX(Tasks[_LeafTotalWork],Tasks[[#This Row],[_Row]]+1):INDEX(Tasks[_LeafTotalWork],Tasks[[#This Row],[_Row]]+Tasks[[#This Row],[_Descendants]])),Tasks[[#This Row],[_LeafTotalWork]]))</f>
        <v/>
      </c>
      <c r="BF175" s="23"/>
      <c r="BG1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5" s="21" t="str">
        <f aca="false">""</f>
        <v/>
      </c>
      <c r="BI175" s="87"/>
      <c r="BJ175" s="22"/>
      <c r="BK175" s="47" t="str">
        <f aca="false">IF(OR(Tasks[[#This Row],[Task Name]]="",Tasks[[#This Row],[Baseline Duration]]=""),"",Tasks[[#This Row],[_SpanDays]]-N(Tasks[[#This Row],[Baseline Duration]]))</f>
        <v/>
      </c>
      <c r="BL175" s="86" t="str">
        <f aca="false">IF(OR(Tasks[[#This Row],[Task Name]]="",Tasks[[#This Row],[Baseline Work]]=""),"",Tasks[[#This Row],[Work]]-N(Tasks[[#This Row],[Baseline Work]]))</f>
        <v/>
      </c>
      <c r="BM175" s="63" t="str">
        <f aca="false">IF(Tasks[[#This Row],[Task Name]]="","",IF(OR(TakeBaseline="Yes",N(Tasks[[#This Row],[Baseline Start]])=0),Tasks[[#This Row],[Start]],Tasks[[#This Row],[Baseline Start]]))</f>
        <v/>
      </c>
      <c r="BN175" s="63" t="str">
        <f aca="false">IF(Tasks[[#This Row],[Task Name]]="","",IF(OR(TakeBaseline="Yes",N(Tasks[[#This Row],[Baseline Finish]])=0),Tasks[[#This Row],[Finish]],Tasks[[#This Row],[Baseline Finish]]))</f>
        <v/>
      </c>
      <c r="BO175" s="21" t="str">
        <f aca="false">IF(Tasks[[#This Row],[Task Name]]="","",IF(OR(TakeBaseline="Yes",N(Tasks[[#This Row],[Baseline Duration]])=0),Tasks[[#This Row],[_SpanDays]],Tasks[[#This Row],[Baseline Duration]]))</f>
        <v/>
      </c>
      <c r="BP175" s="86" t="str">
        <f aca="false">IF(Tasks[[#This Row],[Task Name]]="","",IF(OR(TakeBaseline="Yes",N(Tasks[[#This Row],[Baseline Work]])=0),Tasks[[#This Row],[Work]],Tasks[[#This Row],[Baseline Work]]))</f>
        <v/>
      </c>
      <c r="BQ175" s="7"/>
      <c r="BR175" s="7"/>
      <c r="BS175" s="22"/>
      <c r="BT175" s="88"/>
      <c r="BU175" s="23"/>
      <c r="BV175" s="23"/>
      <c r="BW175" s="23"/>
      <c r="BX175" s="89" t="str">
        <f aca="false">IF(AND(Tasks[[#This Row],[_IsLeaf]]=1,ISNUMBER(Tasks[[#This Row],[Optimistic]]),ISNUMBER(Tasks[[#This Row],[Pessimistic]])),ROUND((Tasks[[#This Row],[Optimistic]]+4*N(Tasks[[#This Row],[_Days]])+Tasks[[#This Row],[Pessimistic]])/6,1),"")</f>
        <v/>
      </c>
      <c r="BY175" s="87"/>
      <c r="BZ175" s="87"/>
      <c r="CA175" s="22"/>
      <c r="CB175" s="43" t="str">
        <f aca="false">IF(Tasks[[#This Row],[Task Name]]="","",MAX(1,N(Tasks[[#This Row],[Level]])))</f>
        <v/>
      </c>
      <c r="CC175" s="43" t="n">
        <f aca="false">ROW()-ROW(Tasks[[#Headers],[ID]])</f>
        <v>170</v>
      </c>
      <c r="CD175" s="43" t="n">
        <f aca="false">IF(OR(Tasks[[#This Row],[Task Name]]="",Tasks[[#This Row],[_Level]]&lt;=1),0,IFERROR(LOOKUP(2,1/(Tasks[[#Headers],[_Level]]:Tasks[[#This Row],[_Level]]=Tasks[[#This Row],[_Level]]-1),ROW(Tasks[[#Headers],[_Level]]:Tasks[[#This Row],[_Level]])),0))</f>
        <v>0</v>
      </c>
      <c r="CE175" s="43" t="n">
        <f aca="false">IFERROR(N(INDEX(Tasks[_Level],Tasks[[#This Row],[_Row]]+1)),0)</f>
        <v>0</v>
      </c>
      <c r="CF175" s="90" t="b">
        <f aca="false">AND(Tasks[[#This Row],[Task Name]]&lt;&gt;"",Tasks[[#This Row],[_NextLevel]]&gt;Tasks[[#This Row],[_Level]])</f>
        <v>0</v>
      </c>
      <c r="CG175" s="43" t="n">
        <f aca="false">IF(Tasks[[#This Row],[_IsSummary]],COUNTIF(Tasks[WBS],Tasks[[#This Row],[WBS]]&amp;".*"),0)</f>
        <v>0</v>
      </c>
      <c r="CH175" s="43" t="n">
        <f aca="false">IF(AND(Tasks[[#This Row],[Task Name]]&lt;&gt;"",NOT(Tasks[[#This Row],[_IsSummary]])),1,0)</f>
        <v>0</v>
      </c>
      <c r="CI175" s="43" t="n">
        <f aca="false">IF(N(Tasks[[#This Row],[_Pred1UID]])=0,0,IFERROR(MATCH(Tasks[[#This Row],[_Pred1UID]],Tasks[UID],0),-1))</f>
        <v>0</v>
      </c>
      <c r="CJ175" s="43" t="n">
        <f aca="false">IF(N(Tasks[[#This Row],[_Pred2UID]])=0,0,IFERROR(MATCH(Tasks[[#This Row],[_Pred2UID]],Tasks[UID],0),-1))</f>
        <v>0</v>
      </c>
      <c r="CK175" s="43" t="n">
        <f aca="false">IF(N(Tasks[[#This Row],[_Pred3UID]])=0,0,IFERROR(MATCH(Tasks[[#This Row],[_Pred3UID]],Tasks[UID],0),-1))</f>
        <v>0</v>
      </c>
      <c r="CL175" s="43" t="n">
        <f aca="false">IF(N(Tasks[[#This Row],[_Pred4UID]])=0,0,IFERROR(MATCH(Tasks[[#This Row],[_Pred4UID]],Tasks[UID],0),-1))</f>
        <v>0</v>
      </c>
      <c r="CM17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5" s="91" t="n">
        <f aca="false">IF(OR(Tasks[[#This Row],[_ConstraintCode]]=2,Tasks[[#This Row],[_ConstraintCode]]=3,Tasks[[#This Row],[_ConstraintCode]]=4,Tasks[[#This Row],[_ConstraintCode]]=6),Tasks[[#This Row],[_ConstraintStart]],0)</f>
        <v>0</v>
      </c>
      <c r="CP175" s="91" t="n">
        <f aca="false">IF(OR(Tasks[[#This Row],[_ConstraintCode]]=2,Tasks[[#This Row],[_ConstraintCode]]=3,Tasks[[#This Row],[_ConstraintCode]]=5,Tasks[[#This Row],[_ConstraintCode]]=7),Tasks[[#This Row],[_ConstraintStart]],2958465)</f>
        <v>2958465</v>
      </c>
      <c r="CQ17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5" s="91" t="str">
        <f aca="false">IF(NOT(Tasks[[#This Row],[_IsLeaf]]=1),"",IF(N(Tasks[[#This Row],[_Days]])&lt;=0,Tasks[[#This Row],[_LeafCalcStart]],WORKDAY.INTL(Tasks[[#This Row],[_LeafCalcStart]],Tasks[[#This Row],[_Days]]-1,WorkWeek,Holidays)))</f>
        <v/>
      </c>
      <c r="CS17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5" s="43" t="str">
        <f aca="false">IF(Tasks[[#This Row],[_Predecessors]]="","",TRIM(MID(SUBSTITUTE(SUBSTITUTE(SUBSTITUTE(UPPER(Tasks[[#This Row],[_Predecessors]]),";",",")," ",""),",",REPT(" ",99)),1,99)))</f>
        <v/>
      </c>
      <c r="CV175" s="43" t="str">
        <f aca="false">IF(Tasks[[#This Row],[_Pred1Text]]="","",IFERROR(VALUE(LEFT(Tasks[[#This Row],[_Pred1Text]],MIN(FIND("F",Tasks[[#This Row],[_Pred1Text]]&amp;"F"),FIND("S",Tasks[[#This Row],[_Pred1Text]]&amp;"S"),FIND("+",Tasks[[#This Row],[_Pred1Text]]&amp;"+"),FIND("-",Tasks[[#This Row],[_Pred1Text]]&amp;"-"))-1)),""))</f>
        <v/>
      </c>
      <c r="CW17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5" s="43" t="str">
        <f aca="false">IF(Tasks[[#This Row],[_Pred1Text]]="","",TRIM(MID(SUBSTITUTE(SUBSTITUTE(SUBSTITUTE(UPPER(Tasks[[#This Row],[_Predecessors]]),";",",")," ",""),",",REPT(" ",99)),100,99)))</f>
        <v/>
      </c>
      <c r="CZ175" s="43" t="str">
        <f aca="false">IF(Tasks[[#This Row],[_Pred2Text]]="","",IFERROR(VALUE(LEFT(Tasks[[#This Row],[_Pred2Text]],MIN(FIND("F",Tasks[[#This Row],[_Pred2Text]]&amp;"F"),FIND("S",Tasks[[#This Row],[_Pred2Text]]&amp;"S"),FIND("+",Tasks[[#This Row],[_Pred2Text]]&amp;"+"),FIND("-",Tasks[[#This Row],[_Pred2Text]]&amp;"-"))-1)),""))</f>
        <v/>
      </c>
      <c r="DA17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5" s="43" t="str">
        <f aca="false">IF(Tasks[[#This Row],[_Pred2Text]]="","",TRIM(MID(SUBSTITUTE(SUBSTITUTE(SUBSTITUTE(UPPER(Tasks[[#This Row],[_Predecessors]]),";",",")," ",""),",",REPT(" ",99)),199,99)))</f>
        <v/>
      </c>
      <c r="DD175" s="43" t="str">
        <f aca="false">IF(Tasks[[#This Row],[_Pred3Text]]="","",IFERROR(VALUE(LEFT(Tasks[[#This Row],[_Pred3Text]],MIN(FIND("F",Tasks[[#This Row],[_Pred3Text]]&amp;"F"),FIND("S",Tasks[[#This Row],[_Pred3Text]]&amp;"S"),FIND("+",Tasks[[#This Row],[_Pred3Text]]&amp;"+"),FIND("-",Tasks[[#This Row],[_Pred3Text]]&amp;"-"))-1)),""))</f>
        <v/>
      </c>
      <c r="DE17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5" s="43" t="str">
        <f aca="false">IF(Tasks[[#This Row],[_Pred3Text]]="","",TRIM(MID(SUBSTITUTE(SUBSTITUTE(SUBSTITUTE(UPPER(Tasks[[#This Row],[_Predecessors]]),";",",")," ",""),",",REPT(" ",99)),298,99)))</f>
        <v/>
      </c>
      <c r="DH175" s="43" t="str">
        <f aca="false">IF(Tasks[[#This Row],[_Pred4Text]]="","",IFERROR(VALUE(LEFT(Tasks[[#This Row],[_Pred4Text]],MIN(FIND("F",Tasks[[#This Row],[_Pred4Text]]&amp;"F"),FIND("S",Tasks[[#This Row],[_Pred4Text]]&amp;"S"),FIND("+",Tasks[[#This Row],[_Pred4Text]]&amp;"+"),FIND("-",Tasks[[#This Row],[_Pred4Text]]&amp;"-"))-1)),""))</f>
        <v/>
      </c>
      <c r="DI17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5" s="43" t="str">
        <f aca="false">IF(OR(Tasks[[#This Row],[Task Name]]="",Tasks[[#This Row],[_Resources]]=""),"",TRIM(MID(SUBSTITUTE(Tasks[[#This Row],[_Resources]],",",REPT(" ",99)),1,99)))</f>
        <v/>
      </c>
      <c r="DL175" s="43" t="str">
        <f aca="false">IF(Tasks[[#This Row],[_Res1Text]]="","",TRIM(MID(SUBSTITUTE(Tasks[[#This Row],[_Resources]],",",REPT(" ",99)),100,99)))</f>
        <v/>
      </c>
      <c r="DM175" s="43" t="str">
        <f aca="false">IF(Tasks[[#This Row],[_Res2Text]]="","",TRIM(MID(SUBSTITUTE(Tasks[[#This Row],[_Resources]],",",REPT(" ",99)),199,99)))</f>
        <v/>
      </c>
      <c r="DN175" s="43" t="str">
        <f aca="false">IF(Tasks[[#This Row],[_Res3Text]]="","",TRIM(MID(SUBSTITUTE(Tasks[[#This Row],[_Resources]],",",REPT(" ",99)),298,99)))</f>
        <v/>
      </c>
      <c r="DO175" s="43" t="n">
        <f aca="false">IF(Tasks[[#This Row],[_Res1Text]]="",0,IFERROR(MATCH(TRIM(LEFT(Tasks[[#This Row],[_Res1Text]],FIND("[",Tasks[[#This Row],[_Res1Text]]&amp;"[")-1)),res_Name,0),IFERROR(MATCH(TRIM(LEFT(Tasks[[#This Row],[_Res1Text]],FIND("[",Tasks[[#This Row],[_Res1Text]]&amp;"[")-1)),res_Initials,0),0)))</f>
        <v>0</v>
      </c>
      <c r="DP175" s="43" t="n">
        <f aca="false">IF(Tasks[[#This Row],[_Res2Text]]="",0,IFERROR(MATCH(TRIM(LEFT(Tasks[[#This Row],[_Res2Text]],FIND("[",Tasks[[#This Row],[_Res2Text]]&amp;"[")-1)),res_Name,0),IFERROR(MATCH(TRIM(LEFT(Tasks[[#This Row],[_Res2Text]],FIND("[",Tasks[[#This Row],[_Res2Text]]&amp;"[")-1)),res_Initials,0),0)))</f>
        <v>0</v>
      </c>
      <c r="DQ175" s="43" t="n">
        <f aca="false">IF(Tasks[[#This Row],[_Res3Text]]="",0,IFERROR(MATCH(TRIM(LEFT(Tasks[[#This Row],[_Res3Text]],FIND("[",Tasks[[#This Row],[_Res3Text]]&amp;"[")-1)),res_Name,0),IFERROR(MATCH(TRIM(LEFT(Tasks[[#This Row],[_Res3Text]],FIND("[",Tasks[[#This Row],[_Res3Text]]&amp;"[")-1)),res_Initials,0),0)))</f>
        <v>0</v>
      </c>
      <c r="DR175" s="43" t="n">
        <f aca="false">IF(Tasks[[#This Row],[_Res4Text]]="",0,IFERROR(MATCH(TRIM(LEFT(Tasks[[#This Row],[_Res4Text]],FIND("[",Tasks[[#This Row],[_Res4Text]]&amp;"[")-1)),res_Name,0),IFERROR(MATCH(TRIM(LEFT(Tasks[[#This Row],[_Res4Text]],FIND("[",Tasks[[#This Row],[_Res4Text]]&amp;"[")-1)),res_Initials,0),0)))</f>
        <v>0</v>
      </c>
      <c r="DS175" s="43" t="str">
        <f aca="false">IF(Tasks[[#This Row],[_Res1Text]]="","",IF(Tasks[[#This Row],[_Res1Row]]&gt;0,INDEX(res_Name,Tasks[[#This Row],[_Res1Row]]),TRIM(LEFT(Tasks[[#This Row],[_Res1Text]],FIND("[",Tasks[[#This Row],[_Res1Text]]&amp;"[")-1))))</f>
        <v/>
      </c>
      <c r="DT17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5" s="43" t="n">
        <f aca="false">IF(NOT(Tasks[[#This Row],[_IsLeaf]]=1),0,(Tasks[[#This Row],[_Resource1]]&lt;&gt;"")+(Tasks[[#This Row],[_Res2]]&lt;&gt;"")+(Tasks[[#This Row],[_Res3]]&lt;&gt;"")+(Tasks[[#This Row],[_Res4]]&lt;&gt;""))</f>
        <v>0</v>
      </c>
      <c r="DV175" s="43" t="str">
        <f aca="false">IF(Tasks[[#This Row],[_Res2Text]]="","",IF(Tasks[[#This Row],[_Res2Row]]&gt;0,INDEX(res_Name,Tasks[[#This Row],[_Res2Row]]),TRIM(LEFT(Tasks[[#This Row],[_Res2Text]],FIND("[",Tasks[[#This Row],[_Res2Text]]&amp;"[")-1))))</f>
        <v/>
      </c>
      <c r="DW17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5" s="43" t="n">
        <f aca="false">IF(OR(NOT(Tasks[[#This Row],[_IsLeaf]]=1),Tasks[[#This Row],[_Res2Row]]=0),0,N(Tasks[[#This Row],[_Days]])*HoursPerDay*IF(Tasks[[#This Row],[_Res2Units]]="",DefaultUnits,Tasks[[#This Row],[_Res2Units]]))</f>
        <v>0</v>
      </c>
      <c r="DY175" s="43" t="n">
        <f aca="false">IF(AND(AND(Tasks[[#This Row],[_IsLeaf]]=1,Tasks[[#This Row],[_LeafTotalWork]]&gt;0),Tasks[[#This Row],[_Res2Work]]&gt;0),Tasks[[#This Row],[_Res2Work]]/(Tasks[[#This Row],[_FinishWorkday]]-Tasks[[#This Row],[_StartWorkday]]+1),0)</f>
        <v>0</v>
      </c>
      <c r="DZ175" s="43" t="n">
        <f aca="false">Tasks[[#This Row],[_Res2WorkPerWD]]*MAX(0,Tasks[[#This Row],[_StartWorkday]]-1)</f>
        <v>0</v>
      </c>
      <c r="EA175" s="43" t="n">
        <f aca="false">Tasks[[#This Row],[_Res2Work]]*Tasks[[#This Row],[_LeafProgress]]</f>
        <v>0</v>
      </c>
      <c r="EB175" s="43" t="str">
        <f aca="false">IF(Tasks[[#This Row],[_Res3Text]]="","",IF(Tasks[[#This Row],[_Res3Row]]&gt;0,INDEX(res_Name,Tasks[[#This Row],[_Res3Row]]),TRIM(LEFT(Tasks[[#This Row],[_Res3Text]],FIND("[",Tasks[[#This Row],[_Res3Text]]&amp;"[")-1))))</f>
        <v/>
      </c>
      <c r="EC17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5" s="43" t="n">
        <f aca="false">IF(OR(NOT(Tasks[[#This Row],[_IsLeaf]]=1),Tasks[[#This Row],[_Res3Row]]=0),0,N(Tasks[[#This Row],[_Days]])*HoursPerDay*IF(Tasks[[#This Row],[_Res3Units]]="",DefaultUnits,Tasks[[#This Row],[_Res3Units]]))</f>
        <v>0</v>
      </c>
      <c r="EE175" s="43" t="n">
        <f aca="false">IF(AND(AND(Tasks[[#This Row],[_IsLeaf]]=1,Tasks[[#This Row],[_LeafTotalWork]]&gt;0),Tasks[[#This Row],[_Res3Work]]&gt;0),Tasks[[#This Row],[_Res3Work]]/(Tasks[[#This Row],[_FinishWorkday]]-Tasks[[#This Row],[_StartWorkday]]+1),0)</f>
        <v>0</v>
      </c>
      <c r="EF175" s="43" t="n">
        <f aca="false">Tasks[[#This Row],[_Res3WorkPerWD]]*MAX(0,Tasks[[#This Row],[_StartWorkday]]-1)</f>
        <v>0</v>
      </c>
      <c r="EG175" s="43" t="n">
        <f aca="false">Tasks[[#This Row],[_Res3Work]]*Tasks[[#This Row],[_LeafProgress]]</f>
        <v>0</v>
      </c>
      <c r="EH175" s="43" t="str">
        <f aca="false">IF(Tasks[[#This Row],[_Res4Text]]="","",IF(Tasks[[#This Row],[_Res4Row]]&gt;0,INDEX(res_Name,Tasks[[#This Row],[_Res4Row]]),TRIM(LEFT(Tasks[[#This Row],[_Res4Text]],FIND("[",Tasks[[#This Row],[_Res4Text]]&amp;"[")-1))))</f>
        <v/>
      </c>
      <c r="EI17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5" s="43" t="n">
        <f aca="false">IF(OR(NOT(Tasks[[#This Row],[_IsLeaf]]=1),Tasks[[#This Row],[_Res4Row]]=0),0,N(Tasks[[#This Row],[_Days]])*HoursPerDay*IF(Tasks[[#This Row],[_Res4Units]]="",DefaultUnits,Tasks[[#This Row],[_Res4Units]]))</f>
        <v>0</v>
      </c>
      <c r="EK175" s="43" t="n">
        <f aca="false">IF(AND(AND(Tasks[[#This Row],[_IsLeaf]]=1,Tasks[[#This Row],[_LeafTotalWork]]&gt;0),Tasks[[#This Row],[_Res4Work]]&gt;0),Tasks[[#This Row],[_Res4Work]]/(Tasks[[#This Row],[_FinishWorkday]]-Tasks[[#This Row],[_StartWorkday]]+1),0)</f>
        <v>0</v>
      </c>
      <c r="EL175" s="43" t="n">
        <f aca="false">Tasks[[#This Row],[_Res4WorkPerWD]]*MAX(0,Tasks[[#This Row],[_StartWorkday]]-1)</f>
        <v>0</v>
      </c>
      <c r="EM175" s="43" t="n">
        <f aca="false">Tasks[[#This Row],[_Res4Work]]*Tasks[[#This Row],[_LeafProgress]]</f>
        <v>0</v>
      </c>
      <c r="EN175" s="43" t="n">
        <f aca="false">IF(ISNUMBER(Tasks[[#This Row],[% Complete]]),Tasks[[#This Row],[% Complete]],IF(Tasks[[#This Row],[Stage]]="",0,IFERROR(INDEX(stg_Pct,MATCH(Tasks[[#This Row],[Stage]],stg_Name,0)),0)))</f>
        <v>0</v>
      </c>
      <c r="EO175" s="43" t="n">
        <f aca="false">IF(NOT(Tasks[[#This Row],[_IsLeaf]]=1),0,IF(N(Tasks[[#This Row],[Actual Finish]])&gt;0,1,MIN(1,Tasks[[#This Row],[_Pct]])))</f>
        <v>0</v>
      </c>
      <c r="EP175" s="43" t="n">
        <f aca="false">IF(OR(NOT(Tasks[[#This Row],[_IsLeaf]]=1),Tasks[[#This Row],[_Res1Row]]=0),0,N(Tasks[[#This Row],[_Days]])*HoursPerDay*IF(Tasks[[#This Row],[_Units1]]="",DefaultUnits,Tasks[[#This Row],[_Units1]]))</f>
        <v>0</v>
      </c>
      <c r="EQ175" s="43" t="n">
        <f aca="false">Tasks[[#This Row],[_LeafWork]]+Tasks[[#This Row],[_Res2Work]]+Tasks[[#This Row],[_Res3Work]]+Tasks[[#This Row],[_Res4Work]]</f>
        <v>0</v>
      </c>
      <c r="ER17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5" s="43" t="n">
        <f aca="false">IF(NOT(Tasks[[#This Row],[_IsLeaf]]=1),0,MAX(_xlfn.MAXIFS(Tasks[_Row],Tasks[_Pred1UID],Tasks[[#This Row],[UID]]),_xlfn.MAXIFS(Tasks[_Row],Tasks[_Pred2UID],Tasks[[#This Row],[UID]]),_xlfn.MAXIFS(Tasks[_Row],Tasks[_Pred3UID],Tasks[[#This Row],[UID]]),_xlfn.MAXIFS(Tasks[_Row],Tasks[_Pred4UID],Tasks[[#This Row],[UID]])))</f>
        <v>0</v>
      </c>
      <c r="FA17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5" s="91" t="str">
        <f aca="false">IF(NOT(Tasks[[#This Row],[_IsLeaf]]=1),"",IF(N(Tasks[[#This Row],[_Days]])&lt;=0,Tasks[[#This Row],[_LeafLateFinish]],WORKDAY.INTL(Tasks[[#This Row],[_LeafLateFinish]],-(Tasks[[#This Row],[_Days]]-1),WorkWeek,Holidays)))</f>
        <v/>
      </c>
      <c r="FD17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5" s="90" t="b">
        <f aca="false">AND(Tasks[[#This Row],[_IsLeaf]]=1,Tasks[[#This Row],[_LeafProgress]]&lt;1,N(Tasks[[#This Row],[_LeafTotalSlack]])&lt;=CriticalSlackDays)</f>
        <v>0</v>
      </c>
      <c r="FF175" s="43" t="n">
        <f aca="false">IF(AND(Tasks[[#This Row],[_IsLeaf]]=1,Tasks[[#This Row],[_ConstraintCode]]=1,Tasks[[#This Row],[Mode]]&lt;&gt;"Manual",N(Tasks[[#This Row],[Actual Start]])=0),MAX(0,N(Tasks[[#This Row],[Free Slack]])),0)</f>
        <v>0</v>
      </c>
      <c r="FG175" s="91" t="str">
        <f aca="false">IF(NOT(Tasks[[#This Row],[_IsLeaf]]=1),"",IF(Tasks[[#This Row],[_AlapShift]]=0,Tasks[[#This Row],[_LeafCalcStart]],WORKDAY.INTL(Tasks[[#This Row],[_LeafCalcStart]],Tasks[[#This Row],[_AlapShift]],WorkWeek,Holidays)))</f>
        <v/>
      </c>
      <c r="FH175" s="91" t="str">
        <f aca="false">IF(NOT(Tasks[[#This Row],[_IsLeaf]]=1),"",IF(Tasks[[#This Row],[_AlapShift]]=0,Tasks[[#This Row],[_LeafCalcFinish]],WORKDAY.INTL(Tasks[[#This Row],[_LeafCalcFinish]],Tasks[[#This Row],[_AlapShift]],WorkWeek,Holidays)))</f>
        <v/>
      </c>
      <c r="FI175" s="91" t="str">
        <f aca="false">IF(NOT(Tasks[[#This Row],[_IsLeaf]]=1),"",IF(Tasks[[#This Row],[_AlapShift]]=0,Tasks[[#This Row],[_LeafFcstStart]],WORKDAY.INTL(Tasks[[#This Row],[_LeafFcstStart]],Tasks[[#This Row],[_AlapShift]],WorkWeek,Holidays)))</f>
        <v/>
      </c>
      <c r="FJ175" s="91" t="str">
        <f aca="false">IF(NOT(Tasks[[#This Row],[_IsLeaf]]=1),"",IF(Tasks[[#This Row],[_AlapShift]]=0,Tasks[[#This Row],[_LeafFcstFinish]],WORKDAY.INTL(Tasks[[#This Row],[_LeafFcstFinish]],Tasks[[#This Row],[_AlapShift]],WorkWeek,Holidays)))</f>
        <v/>
      </c>
      <c r="FK175" s="91" t="str">
        <f aca="false">IF(Tasks[[#This Row],[Task Name]]="","",IF(Tasks[[#This Row],[_IsSummary]],MIN(INDEX(Tasks[_ShownCalcStart],Tasks[[#This Row],[_Row]]+1):INDEX(Tasks[_ShownCalcStart],Tasks[[#This Row],[_Row]]+Tasks[[#This Row],[_Descendants]])),Tasks[[#This Row],[_ShownCalcStart]]))</f>
        <v/>
      </c>
      <c r="FL175" s="91" t="str">
        <f aca="false">IF(Tasks[[#This Row],[Task Name]]="","",IF(Tasks[[#This Row],[_IsSummary]],MAX(INDEX(Tasks[_ShownCalcFinish],Tasks[[#This Row],[_Row]]+1):INDEX(Tasks[_ShownCalcFinish],Tasks[[#This Row],[_Row]]+Tasks[[#This Row],[_Descendants]])),Tasks[[#This Row],[_ShownCalcFinish]]))</f>
        <v/>
      </c>
      <c r="FM17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5" s="43" t="n">
        <f aca="false">IF(AND(Tasks[[#This Row],[_IsLeaf]]=1,Tasks[[#This Row],[_LeafTotalWork]]&gt;0),NETWORKDAYS.INTL(ProjectStart,Tasks[[#This Row],[_ShownFcstStart]],WorkWeek,Holidays),0)</f>
        <v>0</v>
      </c>
      <c r="FZ175" s="43" t="n">
        <f aca="false">IF(AND(Tasks[[#This Row],[_IsLeaf]]=1,Tasks[[#This Row],[_LeafTotalWork]]&gt;0),MAX(Tasks[[#This Row],[_StartWorkday]],NETWORKDAYS.INTL(ProjectStart,Tasks[[#This Row],[_ShownFcstFinish]],WorkWeek,Holidays)),0)</f>
        <v>0</v>
      </c>
      <c r="GA175" s="43" t="n">
        <f aca="false">IF(AND(Tasks[[#This Row],[_IsLeaf]]=1,Tasks[[#This Row],[_LeafTotalWork]]&gt;0),Tasks[[#This Row],[_LeafWork]]/(Tasks[[#This Row],[_FinishWorkday]]-Tasks[[#This Row],[_StartWorkday]]+1),0)</f>
        <v>0</v>
      </c>
      <c r="GB175" s="43" t="n">
        <f aca="false">Tasks[[#This Row],[_WorkPerWorkday]]*(Tasks[[#This Row],[_StartWorkday]]-1)</f>
        <v>-0</v>
      </c>
      <c r="GC175" s="43" t="n">
        <f aca="false">IF(Tasks[[#This Row],[_IsLeaf]]=1,MAX(N(Tasks[[#This Row],[_Days]]),0.1),0)</f>
        <v>0</v>
      </c>
      <c r="GD175" s="43" t="n">
        <f aca="false">Tasks[[#This Row],[_WeightDur]]*Tasks[[#This Row],[_LeafProgress]]</f>
        <v>0</v>
      </c>
      <c r="GE175" s="43" t="n">
        <f aca="false">Tasks[[#This Row],[_WeightDur]]*Tasks[[#This Row],[_PlannedPct]]</f>
        <v>0</v>
      </c>
      <c r="GF17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5" s="43" t="str">
        <f aca="false">IF(AND(Tasks[[#This Row],[_IsLeaf]]=1,N(Tasks[[#This Row],[_Days]])=0,Tasks[[#This Row],[_LeafProgress]]&lt;1),Tasks[[#This Row],[_ShownFcstFinish]]+Tasks[[#This Row],[_Row]]/100000,"")</f>
        <v/>
      </c>
      <c r="GH17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5" s="43" t="str">
        <f aca="false">IF(Tasks[[#This Row],[Task Name]]="","",LEFT(Tasks[[#This Row],[WBS]],FIND(".",Tasks[[#This Row],[WBS]]&amp;".")-1))</f>
        <v/>
      </c>
      <c r="GJ175" s="43" t="str">
        <f aca="false">IF(AND(Tasks[[#This Row],[Task Name]]&lt;&gt;"",Tasks[[#This Row],[_Level]]=1),Tasks[[#This Row],[_Row]],"")</f>
        <v/>
      </c>
      <c r="GK175" s="43" t="str">
        <f aca="false">IF(AND(Tasks[[#This Row],[_IsLeaf]]=1,N(Tasks[[#This Row],[_Days]])=0),Tasks[[#This Row],[Planned Finish]]+Tasks[[#This Row],[_Row]]/100000,"")</f>
        <v/>
      </c>
      <c r="GL175" s="43" t="str">
        <f aca="false">IF(AND(Tasks[[#This Row],[_IsLeaf]]=1,Tasks[[#This Row],[_LeafProgress]]&lt;1,OR(N(Tasks[[#This Row],[Finish Var]])&gt;0,Tasks[[#This Row],[Status]]="Late Start")),MAX(0,Tasks[[#This Row],[Finish Var]])+1-Tasks[[#This Row],[_Row]]/1000000,"")</f>
        <v/>
      </c>
      <c r="GM175" s="43" t="str">
        <f aca="false">IF(AND(Tasks[[#This Row],[_IsLeaf]]=1,N(Tasks[[#This Row],[Actual Start]])=0,Tasks[[#This Row],[_ShownFcstStart]]&gt;=StatusDate,Tasks[[#This Row],[_ShownFcstStart]]&lt;=LookaheadEnd),Tasks[[#This Row],[_ShownFcstStart]]+Tasks[[#This Row],[_Row]]/100000,"")</f>
        <v/>
      </c>
      <c r="GN175" s="43" t="str">
        <f aca="false">IF(AND(Tasks[[#This Row],[_IsLeaf]]=1,Tasks[[#This Row],[_LeafProgress]]&lt;1,Tasks[[#This Row],[_ShownFcstFinish]]&gt;=StatusDate,Tasks[[#This Row],[_ShownFcstFinish]]&lt;=LookaheadEnd),Tasks[[#This Row],[_ShownFcstFinish]]+Tasks[[#This Row],[_Row]]/100000,"")</f>
        <v/>
      </c>
      <c r="GO175" s="43" t="str">
        <f aca="false">IF(Tasks[[#This Row],[_LeafCritical]],Tasks[[#This Row],[_ShownFcstStart]]+Tasks[[#This Row],[_Row]]/100000,"")</f>
        <v/>
      </c>
      <c r="GP175" s="43" t="n">
        <f aca="false">Tasks[[#This Row],[_LeafWork]]*Tasks[[#This Row],[_LeafProgress]]</f>
        <v>0</v>
      </c>
      <c r="GQ175" s="91" t="str">
        <f aca="false">IF(AND(Tasks[[#This Row],[_IsLeaf]]=1,Tasks[[#This Row],[_LeafProgress]]&gt;=1),IF(N(Tasks[[#This Row],[Actual Finish]])&gt;0,Tasks[[#This Row],[Actual Finish]],Tasks[[#This Row],[_ShownFcstFinish]]),"")</f>
        <v/>
      </c>
      <c r="GR175" s="43" t="n">
        <f aca="false">IF(Tasks[[#This Row],[_IsLeaf]]=1,N(Tasks[[#This Row],[Story Points]]),0)</f>
        <v>0</v>
      </c>
      <c r="GS175" s="43" t="str">
        <f aca="false">""</f>
        <v/>
      </c>
      <c r="GT175" s="90" t="b">
        <f aca="false">IF(Tasks[[#This Row],[Task Name]]="",FALSE(),AND(Tasks[[#This Row],[_IsLeaf]]=1,N(Tasks[[#This Row],[_Days]])=0))</f>
        <v>0</v>
      </c>
      <c r="GU175" s="91" t="n">
        <f aca="false">IF(Tasks[[#This Row],[Task Name]]="",0,IF(AND(Tasks[[#This Row],[_IsLeaf]]=1,NOT(Tasks[[#This Row],[_IsMilestone]]),N(Tasks[[#This Row],[Progress]])&gt;0),Tasks[[#This Row],[Start]],0))</f>
        <v>0</v>
      </c>
      <c r="GV175" s="91" t="n">
        <f aca="false">IF(Tasks[[#This Row],[_DoneFrom]]=0,0,IF(Tasks[[#This Row],[Progress]]&gt;=1,Tasks[[#This Row],[Finish]],MAX(Tasks[[#This Row],[_DoneFrom]],Tasks[[#This Row],[Start]]+ROUND((Tasks[[#This Row],[Finish]]-Tasks[[#This Row],[Start]]+1)*Tasks[[#This Row],[Progress]],0)-1)))</f>
        <v>0</v>
      </c>
      <c r="GW175" s="91" t="n">
        <f aca="false">IF(Tasks[[#This Row],[Task Name]]="",0,IF(OR(NOT(Tasks[[#This Row],[_IsLeaf]]=1),Tasks[[#This Row],[_IsMilestone]],N(Tasks[[#This Row],[Progress]])&gt;=1),0,IF(Tasks[[#This Row],[_DoneTo]]&gt;0,Tasks[[#This Row],[_DoneTo]]+1,Tasks[[#This Row],[Start]])))</f>
        <v>0</v>
      </c>
      <c r="GX175" s="91" t="n">
        <f aca="false">IF(Tasks[[#This Row],[_RemFrom]]=0,0,Tasks[[#This Row],[Finish]])</f>
        <v>0</v>
      </c>
      <c r="GY175" s="90" t="b">
        <f aca="false">IF(Tasks[[#This Row],[Task Name]]="",FALSE(),OR(NOT(BaselineSet),N(Tasks[[#This Row],[Baseline Start]])&gt;0))</f>
        <v>0</v>
      </c>
      <c r="GZ17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5" s="92" t="str">
        <f aca="false">IF(Tasks[[#This Row],[_IsLeaf]]=1,Tasks[[#This Row],[_Row]],"")</f>
        <v/>
      </c>
      <c r="HD175" s="92" t="str">
        <f aca="false">IFERROR(INDEX(Tasks[UID],SMALL(Tasks[_PickKey],Tasks[[#This Row],[_Row]]))&amp;" "&amp;INDEX(Tasks[Task Name],SMALL(Tasks[_PickKey],Tasks[[#This Row],[_Row]])),"")</f>
        <v/>
      </c>
      <c r="HE175" s="43" t="str">
        <f aca="false">IF(Tasks[[#This Row],[Task Name]]="","",IF(Tasks[[#This Row],[_IsSummary]],NETWORKDAYS.INTL(Tasks[[#This Row],[Start]],Tasks[[#This Row],[Finish]],WorkWeek,Holidays),N(Tasks[[#This Row],[_Days]])))</f>
        <v/>
      </c>
      <c r="HF175" s="43" t="n">
        <f aca="false">IF(Tasks[[#This Row],[Expected]]="",0,((Tasks[[#This Row],[Pessimistic]]-Tasks[[#This Row],[Optimistic]])/6)^2)</f>
        <v>0</v>
      </c>
      <c r="HG175" s="43" t="n">
        <f aca="false">IF(Tasks[[#This Row],[Expected]]="",0,Tasks[[#This Row],[Expected]]-N(Tasks[[#This Row],[_Days]]))</f>
        <v>0</v>
      </c>
    </row>
    <row r="176" customFormat="false" ht="15" hidden="false" customHeight="false" outlineLevel="0" collapsed="false">
      <c r="A176" s="21" t="str">
        <f aca="false">IF(Tasks[[#This Row],[Task Name]]="","",COUNTA(Tasks[[#Headers],[Task Name]]:Tasks[[#This Row],[Task Name]])-1)</f>
        <v/>
      </c>
      <c r="B176" s="22" t="n">
        <v>184</v>
      </c>
      <c r="C176" s="22"/>
      <c r="D176" s="23"/>
      <c r="E176" s="22"/>
      <c r="F176" s="23"/>
      <c r="G176" s="22"/>
      <c r="H176" s="22"/>
      <c r="I176" s="23"/>
      <c r="J176" s="22"/>
      <c r="K176" s="22"/>
      <c r="L176" s="23"/>
      <c r="M176" s="22"/>
      <c r="N176" s="22"/>
      <c r="O176" s="23"/>
      <c r="P176" s="22"/>
      <c r="Q176" s="22"/>
      <c r="R176" s="23"/>
      <c r="S176" s="23"/>
      <c r="T176" s="84"/>
      <c r="U176" s="23"/>
      <c r="V176" s="84"/>
      <c r="W176" s="23"/>
      <c r="X176" s="84"/>
      <c r="Y176" s="23"/>
      <c r="Z176" s="84"/>
      <c r="AA176" s="23"/>
      <c r="AB176" s="23"/>
      <c r="AC176" s="7"/>
      <c r="AD176" s="7"/>
      <c r="AE176" s="63" t="str">
        <f aca="false">IF(Tasks[[#This Row],[Task Name]]="","",IF(Tasks[[#This Row],[_IsSummary]],MIN(INDEX(Tasks[_ShownFcstStart],Tasks[[#This Row],[_Row]]+1):INDEX(Tasks[_ShownFcstStart],Tasks[[#This Row],[_Row]]+Tasks[[#This Row],[_Descendants]])),Tasks[[#This Row],[_ShownFcstStart]]))</f>
        <v/>
      </c>
      <c r="AF176" s="63" t="str">
        <f aca="false">IF(Tasks[[#This Row],[Task Name]]="","",IF(Tasks[[#This Row],[_IsSummary]],MAX(INDEX(Tasks[_ShownFcstFinish],Tasks[[#This Row],[_Row]]+1):INDEX(Tasks[_ShownFcstFinish],Tasks[[#This Row],[_Row]]+Tasks[[#This Row],[_Descendants]])),Tasks[[#This Row],[_ShownFcstFinish]]))</f>
        <v/>
      </c>
      <c r="AG176" s="21" t="str">
        <f aca="false">""</f>
        <v/>
      </c>
      <c r="AH176" s="23"/>
      <c r="AI1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6" s="7"/>
      <c r="AK176" s="22"/>
      <c r="AL176" s="23"/>
      <c r="AM176" s="7"/>
      <c r="AN176" s="47" t="str">
        <f aca="false">IF(Tasks[[#This Row],[Task Name]]="","",IF(Tasks[[#This Row],[Finish]]&gt;=Tasks[[#This Row],[Planned Finish]],NETWORKDAYS.INTL(Tasks[[#This Row],[Planned Finish]],Tasks[[#This Row],[Finish]],WorkWeek,Holidays)-1,1-NETWORKDAYS.INTL(Tasks[[#This Row],[Finish]],Tasks[[#This Row],[Planned Finish]],WorkWeek,Holidays)))</f>
        <v/>
      </c>
      <c r="AO176" s="21" t="str">
        <f aca="false">IF(Tasks[[#This Row],[Task Name]]="","",IF(Tasks[[#This Row],[Progress]]&gt;=1,"Complete",IF(OR(N(Tasks[[#This Row],[Actual Start]])&gt;0,Tasks[[#This Row],[Progress]]&gt;0),IF(Tasks[[#This Row],[Finish Var]]&gt;0,"Behind","In Progress"),IF(Tasks[[#This Row],[Planned Start]]&lt;StatusDate,"Late Start","Not Started"))))</f>
        <v/>
      </c>
      <c r="AP176" s="21" t="str">
        <f aca="false">IF(Tasks[[#This Row],[Task Name]]="","",IF(IF(Tasks[[#This Row],[_IsSummary]],COUNTIF(INDEX(Tasks[_LeafCritical],Tasks[[#This Row],[_Row]]+1):INDEX(Tasks[_LeafCritical],Tasks[[#This Row],[_Row]]+Tasks[[#This Row],[_Descendants]]),TRUE())&gt;0,Tasks[[#This Row],[_LeafCritical]]),"Yes",""))</f>
        <v/>
      </c>
      <c r="AQ176" s="63" t="str">
        <f aca="false">IF(Tasks[[#This Row],[Task Name]]="","",IF(N(Tasks[[#This Row],[Baseline Start]])&gt;0,Tasks[[#This Row],[Baseline Start]],Tasks[[#This Row],[_CalcStart]]))</f>
        <v/>
      </c>
      <c r="AR176" s="63" t="str">
        <f aca="false">IF(Tasks[[#This Row],[Task Name]]="","",IF(N(Tasks[[#This Row],[Baseline Finish]])&gt;0,Tasks[[#This Row],[Baseline Finish]],Tasks[[#This Row],[_CalcFinish]]))</f>
        <v/>
      </c>
      <c r="AS176" s="47" t="str">
        <f aca="false">IF(Tasks[[#This Row],[Task Name]]="","",IF(Tasks[[#This Row],[Start]]&gt;=Tasks[[#This Row],[Planned Start]],NETWORKDAYS.INTL(Tasks[[#This Row],[Planned Start]],Tasks[[#This Row],[Start]],WorkWeek,Holidays)-1,1-NETWORKDAYS.INTL(Tasks[[#This Row],[Start]],Tasks[[#This Row],[Planned Start]],WorkWeek,Holidays)))</f>
        <v/>
      </c>
      <c r="AT176" s="63" t="str">
        <f aca="false">IF(Tasks[[#This Row],[Task Name]]="","",IF(Tasks[[#This Row],[_IsSummary]],MIN(INDEX(Tasks[_LeafLateStart],Tasks[[#This Row],[_Row]]+1):INDEX(Tasks[_LeafLateStart],Tasks[[#This Row],[_Row]]+Tasks[[#This Row],[_Descendants]])),Tasks[[#This Row],[_LeafLateStart]]))</f>
        <v/>
      </c>
      <c r="AU176" s="63" t="str">
        <f aca="false">IF(Tasks[[#This Row],[Task Name]]="","",IF(Tasks[[#This Row],[_IsSummary]],MAX(INDEX(Tasks[_LeafLateFinish],Tasks[[#This Row],[_Row]]+1):INDEX(Tasks[_LeafLateFinish],Tasks[[#This Row],[_Row]]+Tasks[[#This Row],[_Descendants]])),Tasks[[#This Row],[_LeafLateFinish]]))</f>
        <v/>
      </c>
      <c r="AV176" s="47" t="str">
        <f aca="false">IF(Tasks[[#This Row],[Task Name]]="","",IF(Tasks[[#This Row],[_IsSummary]],MIN(INDEX(Tasks[_LeafTotalSlack],Tasks[[#This Row],[_Row]]+1):INDEX(Tasks[_LeafTotalSlack],Tasks[[#This Row],[_Row]]+Tasks[[#This Row],[_Descendants]])),Tasks[[#This Row],[_LeafTotalSlack]]))</f>
        <v/>
      </c>
      <c r="AW1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5"/>
      <c r="BA17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1" t="str">
        <f aca="false">IF(Tasks[[#This Row],[Task Name]]="","",IF(Tasks[[#This Row],[_Level]]&lt;=OutlineShowLevel,"Yes","No"))</f>
        <v/>
      </c>
      <c r="BE176" s="86" t="str">
        <f aca="false">IF(Tasks[[#This Row],[Task Name]]="","",IF(Tasks[[#This Row],[_IsSummary]],SUM(INDEX(Tasks[_LeafTotalWork],Tasks[[#This Row],[_Row]]+1):INDEX(Tasks[_LeafTotalWork],Tasks[[#This Row],[_Row]]+Tasks[[#This Row],[_Descendants]])),Tasks[[#This Row],[_LeafTotalWork]]))</f>
        <v/>
      </c>
      <c r="BF176" s="23"/>
      <c r="BG1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6" s="21" t="str">
        <f aca="false">""</f>
        <v/>
      </c>
      <c r="BI176" s="87"/>
      <c r="BJ176" s="22"/>
      <c r="BK176" s="47" t="str">
        <f aca="false">IF(OR(Tasks[[#This Row],[Task Name]]="",Tasks[[#This Row],[Baseline Duration]]=""),"",Tasks[[#This Row],[_SpanDays]]-N(Tasks[[#This Row],[Baseline Duration]]))</f>
        <v/>
      </c>
      <c r="BL176" s="86" t="str">
        <f aca="false">IF(OR(Tasks[[#This Row],[Task Name]]="",Tasks[[#This Row],[Baseline Work]]=""),"",Tasks[[#This Row],[Work]]-N(Tasks[[#This Row],[Baseline Work]]))</f>
        <v/>
      </c>
      <c r="BM176" s="63" t="str">
        <f aca="false">IF(Tasks[[#This Row],[Task Name]]="","",IF(OR(TakeBaseline="Yes",N(Tasks[[#This Row],[Baseline Start]])=0),Tasks[[#This Row],[Start]],Tasks[[#This Row],[Baseline Start]]))</f>
        <v/>
      </c>
      <c r="BN176" s="63" t="str">
        <f aca="false">IF(Tasks[[#This Row],[Task Name]]="","",IF(OR(TakeBaseline="Yes",N(Tasks[[#This Row],[Baseline Finish]])=0),Tasks[[#This Row],[Finish]],Tasks[[#This Row],[Baseline Finish]]))</f>
        <v/>
      </c>
      <c r="BO176" s="21" t="str">
        <f aca="false">IF(Tasks[[#This Row],[Task Name]]="","",IF(OR(TakeBaseline="Yes",N(Tasks[[#This Row],[Baseline Duration]])=0),Tasks[[#This Row],[_SpanDays]],Tasks[[#This Row],[Baseline Duration]]))</f>
        <v/>
      </c>
      <c r="BP176" s="86" t="str">
        <f aca="false">IF(Tasks[[#This Row],[Task Name]]="","",IF(OR(TakeBaseline="Yes",N(Tasks[[#This Row],[Baseline Work]])=0),Tasks[[#This Row],[Work]],Tasks[[#This Row],[Baseline Work]]))</f>
        <v/>
      </c>
      <c r="BQ176" s="7"/>
      <c r="BR176" s="7"/>
      <c r="BS176" s="22"/>
      <c r="BT176" s="88"/>
      <c r="BU176" s="23"/>
      <c r="BV176" s="23"/>
      <c r="BW176" s="23"/>
      <c r="BX176" s="89" t="str">
        <f aca="false">IF(AND(Tasks[[#This Row],[_IsLeaf]]=1,ISNUMBER(Tasks[[#This Row],[Optimistic]]),ISNUMBER(Tasks[[#This Row],[Pessimistic]])),ROUND((Tasks[[#This Row],[Optimistic]]+4*N(Tasks[[#This Row],[_Days]])+Tasks[[#This Row],[Pessimistic]])/6,1),"")</f>
        <v/>
      </c>
      <c r="BY176" s="87"/>
      <c r="BZ176" s="87"/>
      <c r="CA176" s="22"/>
      <c r="CB176" s="43" t="str">
        <f aca="false">IF(Tasks[[#This Row],[Task Name]]="","",MAX(1,N(Tasks[[#This Row],[Level]])))</f>
        <v/>
      </c>
      <c r="CC176" s="43" t="n">
        <f aca="false">ROW()-ROW(Tasks[[#Headers],[ID]])</f>
        <v>171</v>
      </c>
      <c r="CD176" s="43" t="n">
        <f aca="false">IF(OR(Tasks[[#This Row],[Task Name]]="",Tasks[[#This Row],[_Level]]&lt;=1),0,IFERROR(LOOKUP(2,1/(Tasks[[#Headers],[_Level]]:Tasks[[#This Row],[_Level]]=Tasks[[#This Row],[_Level]]-1),ROW(Tasks[[#Headers],[_Level]]:Tasks[[#This Row],[_Level]])),0))</f>
        <v>0</v>
      </c>
      <c r="CE176" s="43" t="n">
        <f aca="false">IFERROR(N(INDEX(Tasks[_Level],Tasks[[#This Row],[_Row]]+1)),0)</f>
        <v>0</v>
      </c>
      <c r="CF176" s="90" t="b">
        <f aca="false">AND(Tasks[[#This Row],[Task Name]]&lt;&gt;"",Tasks[[#This Row],[_NextLevel]]&gt;Tasks[[#This Row],[_Level]])</f>
        <v>0</v>
      </c>
      <c r="CG176" s="43" t="n">
        <f aca="false">IF(Tasks[[#This Row],[_IsSummary]],COUNTIF(Tasks[WBS],Tasks[[#This Row],[WBS]]&amp;".*"),0)</f>
        <v>0</v>
      </c>
      <c r="CH176" s="43" t="n">
        <f aca="false">IF(AND(Tasks[[#This Row],[Task Name]]&lt;&gt;"",NOT(Tasks[[#This Row],[_IsSummary]])),1,0)</f>
        <v>0</v>
      </c>
      <c r="CI176" s="43" t="n">
        <f aca="false">IF(N(Tasks[[#This Row],[_Pred1UID]])=0,0,IFERROR(MATCH(Tasks[[#This Row],[_Pred1UID]],Tasks[UID],0),-1))</f>
        <v>0</v>
      </c>
      <c r="CJ176" s="43" t="n">
        <f aca="false">IF(N(Tasks[[#This Row],[_Pred2UID]])=0,0,IFERROR(MATCH(Tasks[[#This Row],[_Pred2UID]],Tasks[UID],0),-1))</f>
        <v>0</v>
      </c>
      <c r="CK176" s="43" t="n">
        <f aca="false">IF(N(Tasks[[#This Row],[_Pred3UID]])=0,0,IFERROR(MATCH(Tasks[[#This Row],[_Pred3UID]],Tasks[UID],0),-1))</f>
        <v>0</v>
      </c>
      <c r="CL176" s="43" t="n">
        <f aca="false">IF(N(Tasks[[#This Row],[_Pred4UID]])=0,0,IFERROR(MATCH(Tasks[[#This Row],[_Pred4UID]],Tasks[UID],0),-1))</f>
        <v>0</v>
      </c>
      <c r="CM17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6" s="91" t="n">
        <f aca="false">IF(OR(Tasks[[#This Row],[_ConstraintCode]]=2,Tasks[[#This Row],[_ConstraintCode]]=3,Tasks[[#This Row],[_ConstraintCode]]=4,Tasks[[#This Row],[_ConstraintCode]]=6),Tasks[[#This Row],[_ConstraintStart]],0)</f>
        <v>0</v>
      </c>
      <c r="CP176" s="91" t="n">
        <f aca="false">IF(OR(Tasks[[#This Row],[_ConstraintCode]]=2,Tasks[[#This Row],[_ConstraintCode]]=3,Tasks[[#This Row],[_ConstraintCode]]=5,Tasks[[#This Row],[_ConstraintCode]]=7),Tasks[[#This Row],[_ConstraintStart]],2958465)</f>
        <v>2958465</v>
      </c>
      <c r="CQ17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6" s="91" t="str">
        <f aca="false">IF(NOT(Tasks[[#This Row],[_IsLeaf]]=1),"",IF(N(Tasks[[#This Row],[_Days]])&lt;=0,Tasks[[#This Row],[_LeafCalcStart]],WORKDAY.INTL(Tasks[[#This Row],[_LeafCalcStart]],Tasks[[#This Row],[_Days]]-1,WorkWeek,Holidays)))</f>
        <v/>
      </c>
      <c r="CS17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6" s="43" t="str">
        <f aca="false">IF(Tasks[[#This Row],[_Predecessors]]="","",TRIM(MID(SUBSTITUTE(SUBSTITUTE(SUBSTITUTE(UPPER(Tasks[[#This Row],[_Predecessors]]),";",",")," ",""),",",REPT(" ",99)),1,99)))</f>
        <v/>
      </c>
      <c r="CV176" s="43" t="str">
        <f aca="false">IF(Tasks[[#This Row],[_Pred1Text]]="","",IFERROR(VALUE(LEFT(Tasks[[#This Row],[_Pred1Text]],MIN(FIND("F",Tasks[[#This Row],[_Pred1Text]]&amp;"F"),FIND("S",Tasks[[#This Row],[_Pred1Text]]&amp;"S"),FIND("+",Tasks[[#This Row],[_Pred1Text]]&amp;"+"),FIND("-",Tasks[[#This Row],[_Pred1Text]]&amp;"-"))-1)),""))</f>
        <v/>
      </c>
      <c r="CW17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6" s="43" t="str">
        <f aca="false">IF(Tasks[[#This Row],[_Pred1Text]]="","",TRIM(MID(SUBSTITUTE(SUBSTITUTE(SUBSTITUTE(UPPER(Tasks[[#This Row],[_Predecessors]]),";",",")," ",""),",",REPT(" ",99)),100,99)))</f>
        <v/>
      </c>
      <c r="CZ176" s="43" t="str">
        <f aca="false">IF(Tasks[[#This Row],[_Pred2Text]]="","",IFERROR(VALUE(LEFT(Tasks[[#This Row],[_Pred2Text]],MIN(FIND("F",Tasks[[#This Row],[_Pred2Text]]&amp;"F"),FIND("S",Tasks[[#This Row],[_Pred2Text]]&amp;"S"),FIND("+",Tasks[[#This Row],[_Pred2Text]]&amp;"+"),FIND("-",Tasks[[#This Row],[_Pred2Text]]&amp;"-"))-1)),""))</f>
        <v/>
      </c>
      <c r="DA17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6" s="43" t="str">
        <f aca="false">IF(Tasks[[#This Row],[_Pred2Text]]="","",TRIM(MID(SUBSTITUTE(SUBSTITUTE(SUBSTITUTE(UPPER(Tasks[[#This Row],[_Predecessors]]),";",",")," ",""),",",REPT(" ",99)),199,99)))</f>
        <v/>
      </c>
      <c r="DD176" s="43" t="str">
        <f aca="false">IF(Tasks[[#This Row],[_Pred3Text]]="","",IFERROR(VALUE(LEFT(Tasks[[#This Row],[_Pred3Text]],MIN(FIND("F",Tasks[[#This Row],[_Pred3Text]]&amp;"F"),FIND("S",Tasks[[#This Row],[_Pred3Text]]&amp;"S"),FIND("+",Tasks[[#This Row],[_Pred3Text]]&amp;"+"),FIND("-",Tasks[[#This Row],[_Pred3Text]]&amp;"-"))-1)),""))</f>
        <v/>
      </c>
      <c r="DE17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6" s="43" t="str">
        <f aca="false">IF(Tasks[[#This Row],[_Pred3Text]]="","",TRIM(MID(SUBSTITUTE(SUBSTITUTE(SUBSTITUTE(UPPER(Tasks[[#This Row],[_Predecessors]]),";",",")," ",""),",",REPT(" ",99)),298,99)))</f>
        <v/>
      </c>
      <c r="DH176" s="43" t="str">
        <f aca="false">IF(Tasks[[#This Row],[_Pred4Text]]="","",IFERROR(VALUE(LEFT(Tasks[[#This Row],[_Pred4Text]],MIN(FIND("F",Tasks[[#This Row],[_Pred4Text]]&amp;"F"),FIND("S",Tasks[[#This Row],[_Pred4Text]]&amp;"S"),FIND("+",Tasks[[#This Row],[_Pred4Text]]&amp;"+"),FIND("-",Tasks[[#This Row],[_Pred4Text]]&amp;"-"))-1)),""))</f>
        <v/>
      </c>
      <c r="DI17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6" s="43" t="str">
        <f aca="false">IF(OR(Tasks[[#This Row],[Task Name]]="",Tasks[[#This Row],[_Resources]]=""),"",TRIM(MID(SUBSTITUTE(Tasks[[#This Row],[_Resources]],",",REPT(" ",99)),1,99)))</f>
        <v/>
      </c>
      <c r="DL176" s="43" t="str">
        <f aca="false">IF(Tasks[[#This Row],[_Res1Text]]="","",TRIM(MID(SUBSTITUTE(Tasks[[#This Row],[_Resources]],",",REPT(" ",99)),100,99)))</f>
        <v/>
      </c>
      <c r="DM176" s="43" t="str">
        <f aca="false">IF(Tasks[[#This Row],[_Res2Text]]="","",TRIM(MID(SUBSTITUTE(Tasks[[#This Row],[_Resources]],",",REPT(" ",99)),199,99)))</f>
        <v/>
      </c>
      <c r="DN176" s="43" t="str">
        <f aca="false">IF(Tasks[[#This Row],[_Res3Text]]="","",TRIM(MID(SUBSTITUTE(Tasks[[#This Row],[_Resources]],",",REPT(" ",99)),298,99)))</f>
        <v/>
      </c>
      <c r="DO176" s="43" t="n">
        <f aca="false">IF(Tasks[[#This Row],[_Res1Text]]="",0,IFERROR(MATCH(TRIM(LEFT(Tasks[[#This Row],[_Res1Text]],FIND("[",Tasks[[#This Row],[_Res1Text]]&amp;"[")-1)),res_Name,0),IFERROR(MATCH(TRIM(LEFT(Tasks[[#This Row],[_Res1Text]],FIND("[",Tasks[[#This Row],[_Res1Text]]&amp;"[")-1)),res_Initials,0),0)))</f>
        <v>0</v>
      </c>
      <c r="DP176" s="43" t="n">
        <f aca="false">IF(Tasks[[#This Row],[_Res2Text]]="",0,IFERROR(MATCH(TRIM(LEFT(Tasks[[#This Row],[_Res2Text]],FIND("[",Tasks[[#This Row],[_Res2Text]]&amp;"[")-1)),res_Name,0),IFERROR(MATCH(TRIM(LEFT(Tasks[[#This Row],[_Res2Text]],FIND("[",Tasks[[#This Row],[_Res2Text]]&amp;"[")-1)),res_Initials,0),0)))</f>
        <v>0</v>
      </c>
      <c r="DQ176" s="43" t="n">
        <f aca="false">IF(Tasks[[#This Row],[_Res3Text]]="",0,IFERROR(MATCH(TRIM(LEFT(Tasks[[#This Row],[_Res3Text]],FIND("[",Tasks[[#This Row],[_Res3Text]]&amp;"[")-1)),res_Name,0),IFERROR(MATCH(TRIM(LEFT(Tasks[[#This Row],[_Res3Text]],FIND("[",Tasks[[#This Row],[_Res3Text]]&amp;"[")-1)),res_Initials,0),0)))</f>
        <v>0</v>
      </c>
      <c r="DR176" s="43" t="n">
        <f aca="false">IF(Tasks[[#This Row],[_Res4Text]]="",0,IFERROR(MATCH(TRIM(LEFT(Tasks[[#This Row],[_Res4Text]],FIND("[",Tasks[[#This Row],[_Res4Text]]&amp;"[")-1)),res_Name,0),IFERROR(MATCH(TRIM(LEFT(Tasks[[#This Row],[_Res4Text]],FIND("[",Tasks[[#This Row],[_Res4Text]]&amp;"[")-1)),res_Initials,0),0)))</f>
        <v>0</v>
      </c>
      <c r="DS176" s="43" t="str">
        <f aca="false">IF(Tasks[[#This Row],[_Res1Text]]="","",IF(Tasks[[#This Row],[_Res1Row]]&gt;0,INDEX(res_Name,Tasks[[#This Row],[_Res1Row]]),TRIM(LEFT(Tasks[[#This Row],[_Res1Text]],FIND("[",Tasks[[#This Row],[_Res1Text]]&amp;"[")-1))))</f>
        <v/>
      </c>
      <c r="DT17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6" s="43" t="n">
        <f aca="false">IF(NOT(Tasks[[#This Row],[_IsLeaf]]=1),0,(Tasks[[#This Row],[_Resource1]]&lt;&gt;"")+(Tasks[[#This Row],[_Res2]]&lt;&gt;"")+(Tasks[[#This Row],[_Res3]]&lt;&gt;"")+(Tasks[[#This Row],[_Res4]]&lt;&gt;""))</f>
        <v>0</v>
      </c>
      <c r="DV176" s="43" t="str">
        <f aca="false">IF(Tasks[[#This Row],[_Res2Text]]="","",IF(Tasks[[#This Row],[_Res2Row]]&gt;0,INDEX(res_Name,Tasks[[#This Row],[_Res2Row]]),TRIM(LEFT(Tasks[[#This Row],[_Res2Text]],FIND("[",Tasks[[#This Row],[_Res2Text]]&amp;"[")-1))))</f>
        <v/>
      </c>
      <c r="DW17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6" s="43" t="n">
        <f aca="false">IF(OR(NOT(Tasks[[#This Row],[_IsLeaf]]=1),Tasks[[#This Row],[_Res2Row]]=0),0,N(Tasks[[#This Row],[_Days]])*HoursPerDay*IF(Tasks[[#This Row],[_Res2Units]]="",DefaultUnits,Tasks[[#This Row],[_Res2Units]]))</f>
        <v>0</v>
      </c>
      <c r="DY176" s="43" t="n">
        <f aca="false">IF(AND(AND(Tasks[[#This Row],[_IsLeaf]]=1,Tasks[[#This Row],[_LeafTotalWork]]&gt;0),Tasks[[#This Row],[_Res2Work]]&gt;0),Tasks[[#This Row],[_Res2Work]]/(Tasks[[#This Row],[_FinishWorkday]]-Tasks[[#This Row],[_StartWorkday]]+1),0)</f>
        <v>0</v>
      </c>
      <c r="DZ176" s="43" t="n">
        <f aca="false">Tasks[[#This Row],[_Res2WorkPerWD]]*MAX(0,Tasks[[#This Row],[_StartWorkday]]-1)</f>
        <v>0</v>
      </c>
      <c r="EA176" s="43" t="n">
        <f aca="false">Tasks[[#This Row],[_Res2Work]]*Tasks[[#This Row],[_LeafProgress]]</f>
        <v>0</v>
      </c>
      <c r="EB176" s="43" t="str">
        <f aca="false">IF(Tasks[[#This Row],[_Res3Text]]="","",IF(Tasks[[#This Row],[_Res3Row]]&gt;0,INDEX(res_Name,Tasks[[#This Row],[_Res3Row]]),TRIM(LEFT(Tasks[[#This Row],[_Res3Text]],FIND("[",Tasks[[#This Row],[_Res3Text]]&amp;"[")-1))))</f>
        <v/>
      </c>
      <c r="EC17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6" s="43" t="n">
        <f aca="false">IF(OR(NOT(Tasks[[#This Row],[_IsLeaf]]=1),Tasks[[#This Row],[_Res3Row]]=0),0,N(Tasks[[#This Row],[_Days]])*HoursPerDay*IF(Tasks[[#This Row],[_Res3Units]]="",DefaultUnits,Tasks[[#This Row],[_Res3Units]]))</f>
        <v>0</v>
      </c>
      <c r="EE176" s="43" t="n">
        <f aca="false">IF(AND(AND(Tasks[[#This Row],[_IsLeaf]]=1,Tasks[[#This Row],[_LeafTotalWork]]&gt;0),Tasks[[#This Row],[_Res3Work]]&gt;0),Tasks[[#This Row],[_Res3Work]]/(Tasks[[#This Row],[_FinishWorkday]]-Tasks[[#This Row],[_StartWorkday]]+1),0)</f>
        <v>0</v>
      </c>
      <c r="EF176" s="43" t="n">
        <f aca="false">Tasks[[#This Row],[_Res3WorkPerWD]]*MAX(0,Tasks[[#This Row],[_StartWorkday]]-1)</f>
        <v>0</v>
      </c>
      <c r="EG176" s="43" t="n">
        <f aca="false">Tasks[[#This Row],[_Res3Work]]*Tasks[[#This Row],[_LeafProgress]]</f>
        <v>0</v>
      </c>
      <c r="EH176" s="43" t="str">
        <f aca="false">IF(Tasks[[#This Row],[_Res4Text]]="","",IF(Tasks[[#This Row],[_Res4Row]]&gt;0,INDEX(res_Name,Tasks[[#This Row],[_Res4Row]]),TRIM(LEFT(Tasks[[#This Row],[_Res4Text]],FIND("[",Tasks[[#This Row],[_Res4Text]]&amp;"[")-1))))</f>
        <v/>
      </c>
      <c r="EI17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6" s="43" t="n">
        <f aca="false">IF(OR(NOT(Tasks[[#This Row],[_IsLeaf]]=1),Tasks[[#This Row],[_Res4Row]]=0),0,N(Tasks[[#This Row],[_Days]])*HoursPerDay*IF(Tasks[[#This Row],[_Res4Units]]="",DefaultUnits,Tasks[[#This Row],[_Res4Units]]))</f>
        <v>0</v>
      </c>
      <c r="EK176" s="43" t="n">
        <f aca="false">IF(AND(AND(Tasks[[#This Row],[_IsLeaf]]=1,Tasks[[#This Row],[_LeafTotalWork]]&gt;0),Tasks[[#This Row],[_Res4Work]]&gt;0),Tasks[[#This Row],[_Res4Work]]/(Tasks[[#This Row],[_FinishWorkday]]-Tasks[[#This Row],[_StartWorkday]]+1),0)</f>
        <v>0</v>
      </c>
      <c r="EL176" s="43" t="n">
        <f aca="false">Tasks[[#This Row],[_Res4WorkPerWD]]*MAX(0,Tasks[[#This Row],[_StartWorkday]]-1)</f>
        <v>0</v>
      </c>
      <c r="EM176" s="43" t="n">
        <f aca="false">Tasks[[#This Row],[_Res4Work]]*Tasks[[#This Row],[_LeafProgress]]</f>
        <v>0</v>
      </c>
      <c r="EN176" s="43" t="n">
        <f aca="false">IF(ISNUMBER(Tasks[[#This Row],[% Complete]]),Tasks[[#This Row],[% Complete]],IF(Tasks[[#This Row],[Stage]]="",0,IFERROR(INDEX(stg_Pct,MATCH(Tasks[[#This Row],[Stage]],stg_Name,0)),0)))</f>
        <v>0</v>
      </c>
      <c r="EO176" s="43" t="n">
        <f aca="false">IF(NOT(Tasks[[#This Row],[_IsLeaf]]=1),0,IF(N(Tasks[[#This Row],[Actual Finish]])&gt;0,1,MIN(1,Tasks[[#This Row],[_Pct]])))</f>
        <v>0</v>
      </c>
      <c r="EP176" s="43" t="n">
        <f aca="false">IF(OR(NOT(Tasks[[#This Row],[_IsLeaf]]=1),Tasks[[#This Row],[_Res1Row]]=0),0,N(Tasks[[#This Row],[_Days]])*HoursPerDay*IF(Tasks[[#This Row],[_Units1]]="",DefaultUnits,Tasks[[#This Row],[_Units1]]))</f>
        <v>0</v>
      </c>
      <c r="EQ176" s="43" t="n">
        <f aca="false">Tasks[[#This Row],[_LeafWork]]+Tasks[[#This Row],[_Res2Work]]+Tasks[[#This Row],[_Res3Work]]+Tasks[[#This Row],[_Res4Work]]</f>
        <v>0</v>
      </c>
      <c r="ER17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6" s="43" t="n">
        <f aca="false">IF(NOT(Tasks[[#This Row],[_IsLeaf]]=1),0,MAX(_xlfn.MAXIFS(Tasks[_Row],Tasks[_Pred1UID],Tasks[[#This Row],[UID]]),_xlfn.MAXIFS(Tasks[_Row],Tasks[_Pred2UID],Tasks[[#This Row],[UID]]),_xlfn.MAXIFS(Tasks[_Row],Tasks[_Pred3UID],Tasks[[#This Row],[UID]]),_xlfn.MAXIFS(Tasks[_Row],Tasks[_Pred4UID],Tasks[[#This Row],[UID]])))</f>
        <v>0</v>
      </c>
      <c r="FA17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6" s="91" t="str">
        <f aca="false">IF(NOT(Tasks[[#This Row],[_IsLeaf]]=1),"",IF(N(Tasks[[#This Row],[_Days]])&lt;=0,Tasks[[#This Row],[_LeafLateFinish]],WORKDAY.INTL(Tasks[[#This Row],[_LeafLateFinish]],-(Tasks[[#This Row],[_Days]]-1),WorkWeek,Holidays)))</f>
        <v/>
      </c>
      <c r="FD17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6" s="90" t="b">
        <f aca="false">AND(Tasks[[#This Row],[_IsLeaf]]=1,Tasks[[#This Row],[_LeafProgress]]&lt;1,N(Tasks[[#This Row],[_LeafTotalSlack]])&lt;=CriticalSlackDays)</f>
        <v>0</v>
      </c>
      <c r="FF176" s="43" t="n">
        <f aca="false">IF(AND(Tasks[[#This Row],[_IsLeaf]]=1,Tasks[[#This Row],[_ConstraintCode]]=1,Tasks[[#This Row],[Mode]]&lt;&gt;"Manual",N(Tasks[[#This Row],[Actual Start]])=0),MAX(0,N(Tasks[[#This Row],[Free Slack]])),0)</f>
        <v>0</v>
      </c>
      <c r="FG176" s="91" t="str">
        <f aca="false">IF(NOT(Tasks[[#This Row],[_IsLeaf]]=1),"",IF(Tasks[[#This Row],[_AlapShift]]=0,Tasks[[#This Row],[_LeafCalcStart]],WORKDAY.INTL(Tasks[[#This Row],[_LeafCalcStart]],Tasks[[#This Row],[_AlapShift]],WorkWeek,Holidays)))</f>
        <v/>
      </c>
      <c r="FH176" s="91" t="str">
        <f aca="false">IF(NOT(Tasks[[#This Row],[_IsLeaf]]=1),"",IF(Tasks[[#This Row],[_AlapShift]]=0,Tasks[[#This Row],[_LeafCalcFinish]],WORKDAY.INTL(Tasks[[#This Row],[_LeafCalcFinish]],Tasks[[#This Row],[_AlapShift]],WorkWeek,Holidays)))</f>
        <v/>
      </c>
      <c r="FI176" s="91" t="str">
        <f aca="false">IF(NOT(Tasks[[#This Row],[_IsLeaf]]=1),"",IF(Tasks[[#This Row],[_AlapShift]]=0,Tasks[[#This Row],[_LeafFcstStart]],WORKDAY.INTL(Tasks[[#This Row],[_LeafFcstStart]],Tasks[[#This Row],[_AlapShift]],WorkWeek,Holidays)))</f>
        <v/>
      </c>
      <c r="FJ176" s="91" t="str">
        <f aca="false">IF(NOT(Tasks[[#This Row],[_IsLeaf]]=1),"",IF(Tasks[[#This Row],[_AlapShift]]=0,Tasks[[#This Row],[_LeafFcstFinish]],WORKDAY.INTL(Tasks[[#This Row],[_LeafFcstFinish]],Tasks[[#This Row],[_AlapShift]],WorkWeek,Holidays)))</f>
        <v/>
      </c>
      <c r="FK176" s="91" t="str">
        <f aca="false">IF(Tasks[[#This Row],[Task Name]]="","",IF(Tasks[[#This Row],[_IsSummary]],MIN(INDEX(Tasks[_ShownCalcStart],Tasks[[#This Row],[_Row]]+1):INDEX(Tasks[_ShownCalcStart],Tasks[[#This Row],[_Row]]+Tasks[[#This Row],[_Descendants]])),Tasks[[#This Row],[_ShownCalcStart]]))</f>
        <v/>
      </c>
      <c r="FL176" s="91" t="str">
        <f aca="false">IF(Tasks[[#This Row],[Task Name]]="","",IF(Tasks[[#This Row],[_IsSummary]],MAX(INDEX(Tasks[_ShownCalcFinish],Tasks[[#This Row],[_Row]]+1):INDEX(Tasks[_ShownCalcFinish],Tasks[[#This Row],[_Row]]+Tasks[[#This Row],[_Descendants]])),Tasks[[#This Row],[_ShownCalcFinish]]))</f>
        <v/>
      </c>
      <c r="FM17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6" s="43" t="n">
        <f aca="false">IF(AND(Tasks[[#This Row],[_IsLeaf]]=1,Tasks[[#This Row],[_LeafTotalWork]]&gt;0),NETWORKDAYS.INTL(ProjectStart,Tasks[[#This Row],[_ShownFcstStart]],WorkWeek,Holidays),0)</f>
        <v>0</v>
      </c>
      <c r="FZ176" s="43" t="n">
        <f aca="false">IF(AND(Tasks[[#This Row],[_IsLeaf]]=1,Tasks[[#This Row],[_LeafTotalWork]]&gt;0),MAX(Tasks[[#This Row],[_StartWorkday]],NETWORKDAYS.INTL(ProjectStart,Tasks[[#This Row],[_ShownFcstFinish]],WorkWeek,Holidays)),0)</f>
        <v>0</v>
      </c>
      <c r="GA176" s="43" t="n">
        <f aca="false">IF(AND(Tasks[[#This Row],[_IsLeaf]]=1,Tasks[[#This Row],[_LeafTotalWork]]&gt;0),Tasks[[#This Row],[_LeafWork]]/(Tasks[[#This Row],[_FinishWorkday]]-Tasks[[#This Row],[_StartWorkday]]+1),0)</f>
        <v>0</v>
      </c>
      <c r="GB176" s="43" t="n">
        <f aca="false">Tasks[[#This Row],[_WorkPerWorkday]]*(Tasks[[#This Row],[_StartWorkday]]-1)</f>
        <v>-0</v>
      </c>
      <c r="GC176" s="43" t="n">
        <f aca="false">IF(Tasks[[#This Row],[_IsLeaf]]=1,MAX(N(Tasks[[#This Row],[_Days]]),0.1),0)</f>
        <v>0</v>
      </c>
      <c r="GD176" s="43" t="n">
        <f aca="false">Tasks[[#This Row],[_WeightDur]]*Tasks[[#This Row],[_LeafProgress]]</f>
        <v>0</v>
      </c>
      <c r="GE176" s="43" t="n">
        <f aca="false">Tasks[[#This Row],[_WeightDur]]*Tasks[[#This Row],[_PlannedPct]]</f>
        <v>0</v>
      </c>
      <c r="GF17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6" s="43" t="str">
        <f aca="false">IF(AND(Tasks[[#This Row],[_IsLeaf]]=1,N(Tasks[[#This Row],[_Days]])=0,Tasks[[#This Row],[_LeafProgress]]&lt;1),Tasks[[#This Row],[_ShownFcstFinish]]+Tasks[[#This Row],[_Row]]/100000,"")</f>
        <v/>
      </c>
      <c r="GH17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6" s="43" t="str">
        <f aca="false">IF(Tasks[[#This Row],[Task Name]]="","",LEFT(Tasks[[#This Row],[WBS]],FIND(".",Tasks[[#This Row],[WBS]]&amp;".")-1))</f>
        <v/>
      </c>
      <c r="GJ176" s="43" t="str">
        <f aca="false">IF(AND(Tasks[[#This Row],[Task Name]]&lt;&gt;"",Tasks[[#This Row],[_Level]]=1),Tasks[[#This Row],[_Row]],"")</f>
        <v/>
      </c>
      <c r="GK176" s="43" t="str">
        <f aca="false">IF(AND(Tasks[[#This Row],[_IsLeaf]]=1,N(Tasks[[#This Row],[_Days]])=0),Tasks[[#This Row],[Planned Finish]]+Tasks[[#This Row],[_Row]]/100000,"")</f>
        <v/>
      </c>
      <c r="GL176" s="43" t="str">
        <f aca="false">IF(AND(Tasks[[#This Row],[_IsLeaf]]=1,Tasks[[#This Row],[_LeafProgress]]&lt;1,OR(N(Tasks[[#This Row],[Finish Var]])&gt;0,Tasks[[#This Row],[Status]]="Late Start")),MAX(0,Tasks[[#This Row],[Finish Var]])+1-Tasks[[#This Row],[_Row]]/1000000,"")</f>
        <v/>
      </c>
      <c r="GM176" s="43" t="str">
        <f aca="false">IF(AND(Tasks[[#This Row],[_IsLeaf]]=1,N(Tasks[[#This Row],[Actual Start]])=0,Tasks[[#This Row],[_ShownFcstStart]]&gt;=StatusDate,Tasks[[#This Row],[_ShownFcstStart]]&lt;=LookaheadEnd),Tasks[[#This Row],[_ShownFcstStart]]+Tasks[[#This Row],[_Row]]/100000,"")</f>
        <v/>
      </c>
      <c r="GN176" s="43" t="str">
        <f aca="false">IF(AND(Tasks[[#This Row],[_IsLeaf]]=1,Tasks[[#This Row],[_LeafProgress]]&lt;1,Tasks[[#This Row],[_ShownFcstFinish]]&gt;=StatusDate,Tasks[[#This Row],[_ShownFcstFinish]]&lt;=LookaheadEnd),Tasks[[#This Row],[_ShownFcstFinish]]+Tasks[[#This Row],[_Row]]/100000,"")</f>
        <v/>
      </c>
      <c r="GO176" s="43" t="str">
        <f aca="false">IF(Tasks[[#This Row],[_LeafCritical]],Tasks[[#This Row],[_ShownFcstStart]]+Tasks[[#This Row],[_Row]]/100000,"")</f>
        <v/>
      </c>
      <c r="GP176" s="43" t="n">
        <f aca="false">Tasks[[#This Row],[_LeafWork]]*Tasks[[#This Row],[_LeafProgress]]</f>
        <v>0</v>
      </c>
      <c r="GQ176" s="91" t="str">
        <f aca="false">IF(AND(Tasks[[#This Row],[_IsLeaf]]=1,Tasks[[#This Row],[_LeafProgress]]&gt;=1),IF(N(Tasks[[#This Row],[Actual Finish]])&gt;0,Tasks[[#This Row],[Actual Finish]],Tasks[[#This Row],[_ShownFcstFinish]]),"")</f>
        <v/>
      </c>
      <c r="GR176" s="43" t="n">
        <f aca="false">IF(Tasks[[#This Row],[_IsLeaf]]=1,N(Tasks[[#This Row],[Story Points]]),0)</f>
        <v>0</v>
      </c>
      <c r="GS176" s="43" t="str">
        <f aca="false">""</f>
        <v/>
      </c>
      <c r="GT176" s="90" t="b">
        <f aca="false">IF(Tasks[[#This Row],[Task Name]]="",FALSE(),AND(Tasks[[#This Row],[_IsLeaf]]=1,N(Tasks[[#This Row],[_Days]])=0))</f>
        <v>0</v>
      </c>
      <c r="GU176" s="91" t="n">
        <f aca="false">IF(Tasks[[#This Row],[Task Name]]="",0,IF(AND(Tasks[[#This Row],[_IsLeaf]]=1,NOT(Tasks[[#This Row],[_IsMilestone]]),N(Tasks[[#This Row],[Progress]])&gt;0),Tasks[[#This Row],[Start]],0))</f>
        <v>0</v>
      </c>
      <c r="GV176" s="91" t="n">
        <f aca="false">IF(Tasks[[#This Row],[_DoneFrom]]=0,0,IF(Tasks[[#This Row],[Progress]]&gt;=1,Tasks[[#This Row],[Finish]],MAX(Tasks[[#This Row],[_DoneFrom]],Tasks[[#This Row],[Start]]+ROUND((Tasks[[#This Row],[Finish]]-Tasks[[#This Row],[Start]]+1)*Tasks[[#This Row],[Progress]],0)-1)))</f>
        <v>0</v>
      </c>
      <c r="GW176" s="91" t="n">
        <f aca="false">IF(Tasks[[#This Row],[Task Name]]="",0,IF(OR(NOT(Tasks[[#This Row],[_IsLeaf]]=1),Tasks[[#This Row],[_IsMilestone]],N(Tasks[[#This Row],[Progress]])&gt;=1),0,IF(Tasks[[#This Row],[_DoneTo]]&gt;0,Tasks[[#This Row],[_DoneTo]]+1,Tasks[[#This Row],[Start]])))</f>
        <v>0</v>
      </c>
      <c r="GX176" s="91" t="n">
        <f aca="false">IF(Tasks[[#This Row],[_RemFrom]]=0,0,Tasks[[#This Row],[Finish]])</f>
        <v>0</v>
      </c>
      <c r="GY176" s="90" t="b">
        <f aca="false">IF(Tasks[[#This Row],[Task Name]]="",FALSE(),OR(NOT(BaselineSet),N(Tasks[[#This Row],[Baseline Start]])&gt;0))</f>
        <v>0</v>
      </c>
      <c r="GZ17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6" s="92" t="str">
        <f aca="false">IF(Tasks[[#This Row],[_IsLeaf]]=1,Tasks[[#This Row],[_Row]],"")</f>
        <v/>
      </c>
      <c r="HD176" s="92" t="str">
        <f aca="false">IFERROR(INDEX(Tasks[UID],SMALL(Tasks[_PickKey],Tasks[[#This Row],[_Row]]))&amp;" "&amp;INDEX(Tasks[Task Name],SMALL(Tasks[_PickKey],Tasks[[#This Row],[_Row]])),"")</f>
        <v/>
      </c>
      <c r="HE176" s="43" t="str">
        <f aca="false">IF(Tasks[[#This Row],[Task Name]]="","",IF(Tasks[[#This Row],[_IsSummary]],NETWORKDAYS.INTL(Tasks[[#This Row],[Start]],Tasks[[#This Row],[Finish]],WorkWeek,Holidays),N(Tasks[[#This Row],[_Days]])))</f>
        <v/>
      </c>
      <c r="HF176" s="43" t="n">
        <f aca="false">IF(Tasks[[#This Row],[Expected]]="",0,((Tasks[[#This Row],[Pessimistic]]-Tasks[[#This Row],[Optimistic]])/6)^2)</f>
        <v>0</v>
      </c>
      <c r="HG176" s="43" t="n">
        <f aca="false">IF(Tasks[[#This Row],[Expected]]="",0,Tasks[[#This Row],[Expected]]-N(Tasks[[#This Row],[_Days]]))</f>
        <v>0</v>
      </c>
    </row>
    <row r="177" customFormat="false" ht="15" hidden="false" customHeight="false" outlineLevel="0" collapsed="false">
      <c r="A177" s="21" t="str">
        <f aca="false">IF(Tasks[[#This Row],[Task Name]]="","",COUNTA(Tasks[[#Headers],[Task Name]]:Tasks[[#This Row],[Task Name]])-1)</f>
        <v/>
      </c>
      <c r="B177" s="22" t="n">
        <v>185</v>
      </c>
      <c r="C177" s="22"/>
      <c r="D177" s="23"/>
      <c r="E177" s="22"/>
      <c r="F177" s="23"/>
      <c r="G177" s="22"/>
      <c r="H177" s="22"/>
      <c r="I177" s="23"/>
      <c r="J177" s="22"/>
      <c r="K177" s="22"/>
      <c r="L177" s="23"/>
      <c r="M177" s="22"/>
      <c r="N177" s="22"/>
      <c r="O177" s="23"/>
      <c r="P177" s="22"/>
      <c r="Q177" s="22"/>
      <c r="R177" s="23"/>
      <c r="S177" s="23"/>
      <c r="T177" s="84"/>
      <c r="U177" s="23"/>
      <c r="V177" s="84"/>
      <c r="W177" s="23"/>
      <c r="X177" s="84"/>
      <c r="Y177" s="23"/>
      <c r="Z177" s="84"/>
      <c r="AA177" s="23"/>
      <c r="AB177" s="23"/>
      <c r="AC177" s="7"/>
      <c r="AD177" s="7"/>
      <c r="AE177" s="63" t="str">
        <f aca="false">IF(Tasks[[#This Row],[Task Name]]="","",IF(Tasks[[#This Row],[_IsSummary]],MIN(INDEX(Tasks[_ShownFcstStart],Tasks[[#This Row],[_Row]]+1):INDEX(Tasks[_ShownFcstStart],Tasks[[#This Row],[_Row]]+Tasks[[#This Row],[_Descendants]])),Tasks[[#This Row],[_ShownFcstStart]]))</f>
        <v/>
      </c>
      <c r="AF177" s="63" t="str">
        <f aca="false">IF(Tasks[[#This Row],[Task Name]]="","",IF(Tasks[[#This Row],[_IsSummary]],MAX(INDEX(Tasks[_ShownFcstFinish],Tasks[[#This Row],[_Row]]+1):INDEX(Tasks[_ShownFcstFinish],Tasks[[#This Row],[_Row]]+Tasks[[#This Row],[_Descendants]])),Tasks[[#This Row],[_ShownFcstFinish]]))</f>
        <v/>
      </c>
      <c r="AG177" s="21" t="str">
        <f aca="false">""</f>
        <v/>
      </c>
      <c r="AH177" s="23"/>
      <c r="AI1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7" s="7"/>
      <c r="AK177" s="22"/>
      <c r="AL177" s="23"/>
      <c r="AM177" s="7"/>
      <c r="AN177" s="47" t="str">
        <f aca="false">IF(Tasks[[#This Row],[Task Name]]="","",IF(Tasks[[#This Row],[Finish]]&gt;=Tasks[[#This Row],[Planned Finish]],NETWORKDAYS.INTL(Tasks[[#This Row],[Planned Finish]],Tasks[[#This Row],[Finish]],WorkWeek,Holidays)-1,1-NETWORKDAYS.INTL(Tasks[[#This Row],[Finish]],Tasks[[#This Row],[Planned Finish]],WorkWeek,Holidays)))</f>
        <v/>
      </c>
      <c r="AO177" s="21" t="str">
        <f aca="false">IF(Tasks[[#This Row],[Task Name]]="","",IF(Tasks[[#This Row],[Progress]]&gt;=1,"Complete",IF(OR(N(Tasks[[#This Row],[Actual Start]])&gt;0,Tasks[[#This Row],[Progress]]&gt;0),IF(Tasks[[#This Row],[Finish Var]]&gt;0,"Behind","In Progress"),IF(Tasks[[#This Row],[Planned Start]]&lt;StatusDate,"Late Start","Not Started"))))</f>
        <v/>
      </c>
      <c r="AP177" s="21" t="str">
        <f aca="false">IF(Tasks[[#This Row],[Task Name]]="","",IF(IF(Tasks[[#This Row],[_IsSummary]],COUNTIF(INDEX(Tasks[_LeafCritical],Tasks[[#This Row],[_Row]]+1):INDEX(Tasks[_LeafCritical],Tasks[[#This Row],[_Row]]+Tasks[[#This Row],[_Descendants]]),TRUE())&gt;0,Tasks[[#This Row],[_LeafCritical]]),"Yes",""))</f>
        <v/>
      </c>
      <c r="AQ177" s="63" t="str">
        <f aca="false">IF(Tasks[[#This Row],[Task Name]]="","",IF(N(Tasks[[#This Row],[Baseline Start]])&gt;0,Tasks[[#This Row],[Baseline Start]],Tasks[[#This Row],[_CalcStart]]))</f>
        <v/>
      </c>
      <c r="AR177" s="63" t="str">
        <f aca="false">IF(Tasks[[#This Row],[Task Name]]="","",IF(N(Tasks[[#This Row],[Baseline Finish]])&gt;0,Tasks[[#This Row],[Baseline Finish]],Tasks[[#This Row],[_CalcFinish]]))</f>
        <v/>
      </c>
      <c r="AS177" s="47" t="str">
        <f aca="false">IF(Tasks[[#This Row],[Task Name]]="","",IF(Tasks[[#This Row],[Start]]&gt;=Tasks[[#This Row],[Planned Start]],NETWORKDAYS.INTL(Tasks[[#This Row],[Planned Start]],Tasks[[#This Row],[Start]],WorkWeek,Holidays)-1,1-NETWORKDAYS.INTL(Tasks[[#This Row],[Start]],Tasks[[#This Row],[Planned Start]],WorkWeek,Holidays)))</f>
        <v/>
      </c>
      <c r="AT177" s="63" t="str">
        <f aca="false">IF(Tasks[[#This Row],[Task Name]]="","",IF(Tasks[[#This Row],[_IsSummary]],MIN(INDEX(Tasks[_LeafLateStart],Tasks[[#This Row],[_Row]]+1):INDEX(Tasks[_LeafLateStart],Tasks[[#This Row],[_Row]]+Tasks[[#This Row],[_Descendants]])),Tasks[[#This Row],[_LeafLateStart]]))</f>
        <v/>
      </c>
      <c r="AU177" s="63" t="str">
        <f aca="false">IF(Tasks[[#This Row],[Task Name]]="","",IF(Tasks[[#This Row],[_IsSummary]],MAX(INDEX(Tasks[_LeafLateFinish],Tasks[[#This Row],[_Row]]+1):INDEX(Tasks[_LeafLateFinish],Tasks[[#This Row],[_Row]]+Tasks[[#This Row],[_Descendants]])),Tasks[[#This Row],[_LeafLateFinish]]))</f>
        <v/>
      </c>
      <c r="AV177" s="47" t="str">
        <f aca="false">IF(Tasks[[#This Row],[Task Name]]="","",IF(Tasks[[#This Row],[_IsSummary]],MIN(INDEX(Tasks[_LeafTotalSlack],Tasks[[#This Row],[_Row]]+1):INDEX(Tasks[_LeafTotalSlack],Tasks[[#This Row],[_Row]]+Tasks[[#This Row],[_Descendants]])),Tasks[[#This Row],[_LeafTotalSlack]]))</f>
        <v/>
      </c>
      <c r="AW1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5"/>
      <c r="BA17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1" t="str">
        <f aca="false">IF(Tasks[[#This Row],[Task Name]]="","",IF(Tasks[[#This Row],[_Level]]&lt;=OutlineShowLevel,"Yes","No"))</f>
        <v/>
      </c>
      <c r="BE177" s="86" t="str">
        <f aca="false">IF(Tasks[[#This Row],[Task Name]]="","",IF(Tasks[[#This Row],[_IsSummary]],SUM(INDEX(Tasks[_LeafTotalWork],Tasks[[#This Row],[_Row]]+1):INDEX(Tasks[_LeafTotalWork],Tasks[[#This Row],[_Row]]+Tasks[[#This Row],[_Descendants]])),Tasks[[#This Row],[_LeafTotalWork]]))</f>
        <v/>
      </c>
      <c r="BF177" s="23"/>
      <c r="BG1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7" s="21" t="str">
        <f aca="false">""</f>
        <v/>
      </c>
      <c r="BI177" s="87"/>
      <c r="BJ177" s="22"/>
      <c r="BK177" s="47" t="str">
        <f aca="false">IF(OR(Tasks[[#This Row],[Task Name]]="",Tasks[[#This Row],[Baseline Duration]]=""),"",Tasks[[#This Row],[_SpanDays]]-N(Tasks[[#This Row],[Baseline Duration]]))</f>
        <v/>
      </c>
      <c r="BL177" s="86" t="str">
        <f aca="false">IF(OR(Tasks[[#This Row],[Task Name]]="",Tasks[[#This Row],[Baseline Work]]=""),"",Tasks[[#This Row],[Work]]-N(Tasks[[#This Row],[Baseline Work]]))</f>
        <v/>
      </c>
      <c r="BM177" s="63" t="str">
        <f aca="false">IF(Tasks[[#This Row],[Task Name]]="","",IF(OR(TakeBaseline="Yes",N(Tasks[[#This Row],[Baseline Start]])=0),Tasks[[#This Row],[Start]],Tasks[[#This Row],[Baseline Start]]))</f>
        <v/>
      </c>
      <c r="BN177" s="63" t="str">
        <f aca="false">IF(Tasks[[#This Row],[Task Name]]="","",IF(OR(TakeBaseline="Yes",N(Tasks[[#This Row],[Baseline Finish]])=0),Tasks[[#This Row],[Finish]],Tasks[[#This Row],[Baseline Finish]]))</f>
        <v/>
      </c>
      <c r="BO177" s="21" t="str">
        <f aca="false">IF(Tasks[[#This Row],[Task Name]]="","",IF(OR(TakeBaseline="Yes",N(Tasks[[#This Row],[Baseline Duration]])=0),Tasks[[#This Row],[_SpanDays]],Tasks[[#This Row],[Baseline Duration]]))</f>
        <v/>
      </c>
      <c r="BP177" s="86" t="str">
        <f aca="false">IF(Tasks[[#This Row],[Task Name]]="","",IF(OR(TakeBaseline="Yes",N(Tasks[[#This Row],[Baseline Work]])=0),Tasks[[#This Row],[Work]],Tasks[[#This Row],[Baseline Work]]))</f>
        <v/>
      </c>
      <c r="BQ177" s="7"/>
      <c r="BR177" s="7"/>
      <c r="BS177" s="22"/>
      <c r="BT177" s="88"/>
      <c r="BU177" s="23"/>
      <c r="BV177" s="23"/>
      <c r="BW177" s="23"/>
      <c r="BX177" s="89" t="str">
        <f aca="false">IF(AND(Tasks[[#This Row],[_IsLeaf]]=1,ISNUMBER(Tasks[[#This Row],[Optimistic]]),ISNUMBER(Tasks[[#This Row],[Pessimistic]])),ROUND((Tasks[[#This Row],[Optimistic]]+4*N(Tasks[[#This Row],[_Days]])+Tasks[[#This Row],[Pessimistic]])/6,1),"")</f>
        <v/>
      </c>
      <c r="BY177" s="87"/>
      <c r="BZ177" s="87"/>
      <c r="CA177" s="22"/>
      <c r="CB177" s="43" t="str">
        <f aca="false">IF(Tasks[[#This Row],[Task Name]]="","",MAX(1,N(Tasks[[#This Row],[Level]])))</f>
        <v/>
      </c>
      <c r="CC177" s="43" t="n">
        <f aca="false">ROW()-ROW(Tasks[[#Headers],[ID]])</f>
        <v>172</v>
      </c>
      <c r="CD177" s="43" t="n">
        <f aca="false">IF(OR(Tasks[[#This Row],[Task Name]]="",Tasks[[#This Row],[_Level]]&lt;=1),0,IFERROR(LOOKUP(2,1/(Tasks[[#Headers],[_Level]]:Tasks[[#This Row],[_Level]]=Tasks[[#This Row],[_Level]]-1),ROW(Tasks[[#Headers],[_Level]]:Tasks[[#This Row],[_Level]])),0))</f>
        <v>0</v>
      </c>
      <c r="CE177" s="43" t="n">
        <f aca="false">IFERROR(N(INDEX(Tasks[_Level],Tasks[[#This Row],[_Row]]+1)),0)</f>
        <v>0</v>
      </c>
      <c r="CF177" s="90" t="b">
        <f aca="false">AND(Tasks[[#This Row],[Task Name]]&lt;&gt;"",Tasks[[#This Row],[_NextLevel]]&gt;Tasks[[#This Row],[_Level]])</f>
        <v>0</v>
      </c>
      <c r="CG177" s="43" t="n">
        <f aca="false">IF(Tasks[[#This Row],[_IsSummary]],COUNTIF(Tasks[WBS],Tasks[[#This Row],[WBS]]&amp;".*"),0)</f>
        <v>0</v>
      </c>
      <c r="CH177" s="43" t="n">
        <f aca="false">IF(AND(Tasks[[#This Row],[Task Name]]&lt;&gt;"",NOT(Tasks[[#This Row],[_IsSummary]])),1,0)</f>
        <v>0</v>
      </c>
      <c r="CI177" s="43" t="n">
        <f aca="false">IF(N(Tasks[[#This Row],[_Pred1UID]])=0,0,IFERROR(MATCH(Tasks[[#This Row],[_Pred1UID]],Tasks[UID],0),-1))</f>
        <v>0</v>
      </c>
      <c r="CJ177" s="43" t="n">
        <f aca="false">IF(N(Tasks[[#This Row],[_Pred2UID]])=0,0,IFERROR(MATCH(Tasks[[#This Row],[_Pred2UID]],Tasks[UID],0),-1))</f>
        <v>0</v>
      </c>
      <c r="CK177" s="43" t="n">
        <f aca="false">IF(N(Tasks[[#This Row],[_Pred3UID]])=0,0,IFERROR(MATCH(Tasks[[#This Row],[_Pred3UID]],Tasks[UID],0),-1))</f>
        <v>0</v>
      </c>
      <c r="CL177" s="43" t="n">
        <f aca="false">IF(N(Tasks[[#This Row],[_Pred4UID]])=0,0,IFERROR(MATCH(Tasks[[#This Row],[_Pred4UID]],Tasks[UID],0),-1))</f>
        <v>0</v>
      </c>
      <c r="CM17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7" s="91" t="n">
        <f aca="false">IF(OR(Tasks[[#This Row],[_ConstraintCode]]=2,Tasks[[#This Row],[_ConstraintCode]]=3,Tasks[[#This Row],[_ConstraintCode]]=4,Tasks[[#This Row],[_ConstraintCode]]=6),Tasks[[#This Row],[_ConstraintStart]],0)</f>
        <v>0</v>
      </c>
      <c r="CP177" s="91" t="n">
        <f aca="false">IF(OR(Tasks[[#This Row],[_ConstraintCode]]=2,Tasks[[#This Row],[_ConstraintCode]]=3,Tasks[[#This Row],[_ConstraintCode]]=5,Tasks[[#This Row],[_ConstraintCode]]=7),Tasks[[#This Row],[_ConstraintStart]],2958465)</f>
        <v>2958465</v>
      </c>
      <c r="CQ17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7" s="91" t="str">
        <f aca="false">IF(NOT(Tasks[[#This Row],[_IsLeaf]]=1),"",IF(N(Tasks[[#This Row],[_Days]])&lt;=0,Tasks[[#This Row],[_LeafCalcStart]],WORKDAY.INTL(Tasks[[#This Row],[_LeafCalcStart]],Tasks[[#This Row],[_Days]]-1,WorkWeek,Holidays)))</f>
        <v/>
      </c>
      <c r="CS17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7" s="43" t="str">
        <f aca="false">IF(Tasks[[#This Row],[_Predecessors]]="","",TRIM(MID(SUBSTITUTE(SUBSTITUTE(SUBSTITUTE(UPPER(Tasks[[#This Row],[_Predecessors]]),";",",")," ",""),",",REPT(" ",99)),1,99)))</f>
        <v/>
      </c>
      <c r="CV177" s="43" t="str">
        <f aca="false">IF(Tasks[[#This Row],[_Pred1Text]]="","",IFERROR(VALUE(LEFT(Tasks[[#This Row],[_Pred1Text]],MIN(FIND("F",Tasks[[#This Row],[_Pred1Text]]&amp;"F"),FIND("S",Tasks[[#This Row],[_Pred1Text]]&amp;"S"),FIND("+",Tasks[[#This Row],[_Pred1Text]]&amp;"+"),FIND("-",Tasks[[#This Row],[_Pred1Text]]&amp;"-"))-1)),""))</f>
        <v/>
      </c>
      <c r="CW17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7" s="43" t="str">
        <f aca="false">IF(Tasks[[#This Row],[_Pred1Text]]="","",TRIM(MID(SUBSTITUTE(SUBSTITUTE(SUBSTITUTE(UPPER(Tasks[[#This Row],[_Predecessors]]),";",",")," ",""),",",REPT(" ",99)),100,99)))</f>
        <v/>
      </c>
      <c r="CZ177" s="43" t="str">
        <f aca="false">IF(Tasks[[#This Row],[_Pred2Text]]="","",IFERROR(VALUE(LEFT(Tasks[[#This Row],[_Pred2Text]],MIN(FIND("F",Tasks[[#This Row],[_Pred2Text]]&amp;"F"),FIND("S",Tasks[[#This Row],[_Pred2Text]]&amp;"S"),FIND("+",Tasks[[#This Row],[_Pred2Text]]&amp;"+"),FIND("-",Tasks[[#This Row],[_Pred2Text]]&amp;"-"))-1)),""))</f>
        <v/>
      </c>
      <c r="DA17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7" s="43" t="str">
        <f aca="false">IF(Tasks[[#This Row],[_Pred2Text]]="","",TRIM(MID(SUBSTITUTE(SUBSTITUTE(SUBSTITUTE(UPPER(Tasks[[#This Row],[_Predecessors]]),";",",")," ",""),",",REPT(" ",99)),199,99)))</f>
        <v/>
      </c>
      <c r="DD177" s="43" t="str">
        <f aca="false">IF(Tasks[[#This Row],[_Pred3Text]]="","",IFERROR(VALUE(LEFT(Tasks[[#This Row],[_Pred3Text]],MIN(FIND("F",Tasks[[#This Row],[_Pred3Text]]&amp;"F"),FIND("S",Tasks[[#This Row],[_Pred3Text]]&amp;"S"),FIND("+",Tasks[[#This Row],[_Pred3Text]]&amp;"+"),FIND("-",Tasks[[#This Row],[_Pred3Text]]&amp;"-"))-1)),""))</f>
        <v/>
      </c>
      <c r="DE17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7" s="43" t="str">
        <f aca="false">IF(Tasks[[#This Row],[_Pred3Text]]="","",TRIM(MID(SUBSTITUTE(SUBSTITUTE(SUBSTITUTE(UPPER(Tasks[[#This Row],[_Predecessors]]),";",",")," ",""),",",REPT(" ",99)),298,99)))</f>
        <v/>
      </c>
      <c r="DH177" s="43" t="str">
        <f aca="false">IF(Tasks[[#This Row],[_Pred4Text]]="","",IFERROR(VALUE(LEFT(Tasks[[#This Row],[_Pred4Text]],MIN(FIND("F",Tasks[[#This Row],[_Pred4Text]]&amp;"F"),FIND("S",Tasks[[#This Row],[_Pred4Text]]&amp;"S"),FIND("+",Tasks[[#This Row],[_Pred4Text]]&amp;"+"),FIND("-",Tasks[[#This Row],[_Pred4Text]]&amp;"-"))-1)),""))</f>
        <v/>
      </c>
      <c r="DI17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7" s="43" t="str">
        <f aca="false">IF(OR(Tasks[[#This Row],[Task Name]]="",Tasks[[#This Row],[_Resources]]=""),"",TRIM(MID(SUBSTITUTE(Tasks[[#This Row],[_Resources]],",",REPT(" ",99)),1,99)))</f>
        <v/>
      </c>
      <c r="DL177" s="43" t="str">
        <f aca="false">IF(Tasks[[#This Row],[_Res1Text]]="","",TRIM(MID(SUBSTITUTE(Tasks[[#This Row],[_Resources]],",",REPT(" ",99)),100,99)))</f>
        <v/>
      </c>
      <c r="DM177" s="43" t="str">
        <f aca="false">IF(Tasks[[#This Row],[_Res2Text]]="","",TRIM(MID(SUBSTITUTE(Tasks[[#This Row],[_Resources]],",",REPT(" ",99)),199,99)))</f>
        <v/>
      </c>
      <c r="DN177" s="43" t="str">
        <f aca="false">IF(Tasks[[#This Row],[_Res3Text]]="","",TRIM(MID(SUBSTITUTE(Tasks[[#This Row],[_Resources]],",",REPT(" ",99)),298,99)))</f>
        <v/>
      </c>
      <c r="DO177" s="43" t="n">
        <f aca="false">IF(Tasks[[#This Row],[_Res1Text]]="",0,IFERROR(MATCH(TRIM(LEFT(Tasks[[#This Row],[_Res1Text]],FIND("[",Tasks[[#This Row],[_Res1Text]]&amp;"[")-1)),res_Name,0),IFERROR(MATCH(TRIM(LEFT(Tasks[[#This Row],[_Res1Text]],FIND("[",Tasks[[#This Row],[_Res1Text]]&amp;"[")-1)),res_Initials,0),0)))</f>
        <v>0</v>
      </c>
      <c r="DP177" s="43" t="n">
        <f aca="false">IF(Tasks[[#This Row],[_Res2Text]]="",0,IFERROR(MATCH(TRIM(LEFT(Tasks[[#This Row],[_Res2Text]],FIND("[",Tasks[[#This Row],[_Res2Text]]&amp;"[")-1)),res_Name,0),IFERROR(MATCH(TRIM(LEFT(Tasks[[#This Row],[_Res2Text]],FIND("[",Tasks[[#This Row],[_Res2Text]]&amp;"[")-1)),res_Initials,0),0)))</f>
        <v>0</v>
      </c>
      <c r="DQ177" s="43" t="n">
        <f aca="false">IF(Tasks[[#This Row],[_Res3Text]]="",0,IFERROR(MATCH(TRIM(LEFT(Tasks[[#This Row],[_Res3Text]],FIND("[",Tasks[[#This Row],[_Res3Text]]&amp;"[")-1)),res_Name,0),IFERROR(MATCH(TRIM(LEFT(Tasks[[#This Row],[_Res3Text]],FIND("[",Tasks[[#This Row],[_Res3Text]]&amp;"[")-1)),res_Initials,0),0)))</f>
        <v>0</v>
      </c>
      <c r="DR177" s="43" t="n">
        <f aca="false">IF(Tasks[[#This Row],[_Res4Text]]="",0,IFERROR(MATCH(TRIM(LEFT(Tasks[[#This Row],[_Res4Text]],FIND("[",Tasks[[#This Row],[_Res4Text]]&amp;"[")-1)),res_Name,0),IFERROR(MATCH(TRIM(LEFT(Tasks[[#This Row],[_Res4Text]],FIND("[",Tasks[[#This Row],[_Res4Text]]&amp;"[")-1)),res_Initials,0),0)))</f>
        <v>0</v>
      </c>
      <c r="DS177" s="43" t="str">
        <f aca="false">IF(Tasks[[#This Row],[_Res1Text]]="","",IF(Tasks[[#This Row],[_Res1Row]]&gt;0,INDEX(res_Name,Tasks[[#This Row],[_Res1Row]]),TRIM(LEFT(Tasks[[#This Row],[_Res1Text]],FIND("[",Tasks[[#This Row],[_Res1Text]]&amp;"[")-1))))</f>
        <v/>
      </c>
      <c r="DT17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7" s="43" t="n">
        <f aca="false">IF(NOT(Tasks[[#This Row],[_IsLeaf]]=1),0,(Tasks[[#This Row],[_Resource1]]&lt;&gt;"")+(Tasks[[#This Row],[_Res2]]&lt;&gt;"")+(Tasks[[#This Row],[_Res3]]&lt;&gt;"")+(Tasks[[#This Row],[_Res4]]&lt;&gt;""))</f>
        <v>0</v>
      </c>
      <c r="DV177" s="43" t="str">
        <f aca="false">IF(Tasks[[#This Row],[_Res2Text]]="","",IF(Tasks[[#This Row],[_Res2Row]]&gt;0,INDEX(res_Name,Tasks[[#This Row],[_Res2Row]]),TRIM(LEFT(Tasks[[#This Row],[_Res2Text]],FIND("[",Tasks[[#This Row],[_Res2Text]]&amp;"[")-1))))</f>
        <v/>
      </c>
      <c r="DW17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7" s="43" t="n">
        <f aca="false">IF(OR(NOT(Tasks[[#This Row],[_IsLeaf]]=1),Tasks[[#This Row],[_Res2Row]]=0),0,N(Tasks[[#This Row],[_Days]])*HoursPerDay*IF(Tasks[[#This Row],[_Res2Units]]="",DefaultUnits,Tasks[[#This Row],[_Res2Units]]))</f>
        <v>0</v>
      </c>
      <c r="DY177" s="43" t="n">
        <f aca="false">IF(AND(AND(Tasks[[#This Row],[_IsLeaf]]=1,Tasks[[#This Row],[_LeafTotalWork]]&gt;0),Tasks[[#This Row],[_Res2Work]]&gt;0),Tasks[[#This Row],[_Res2Work]]/(Tasks[[#This Row],[_FinishWorkday]]-Tasks[[#This Row],[_StartWorkday]]+1),0)</f>
        <v>0</v>
      </c>
      <c r="DZ177" s="43" t="n">
        <f aca="false">Tasks[[#This Row],[_Res2WorkPerWD]]*MAX(0,Tasks[[#This Row],[_StartWorkday]]-1)</f>
        <v>0</v>
      </c>
      <c r="EA177" s="43" t="n">
        <f aca="false">Tasks[[#This Row],[_Res2Work]]*Tasks[[#This Row],[_LeafProgress]]</f>
        <v>0</v>
      </c>
      <c r="EB177" s="43" t="str">
        <f aca="false">IF(Tasks[[#This Row],[_Res3Text]]="","",IF(Tasks[[#This Row],[_Res3Row]]&gt;0,INDEX(res_Name,Tasks[[#This Row],[_Res3Row]]),TRIM(LEFT(Tasks[[#This Row],[_Res3Text]],FIND("[",Tasks[[#This Row],[_Res3Text]]&amp;"[")-1))))</f>
        <v/>
      </c>
      <c r="EC17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7" s="43" t="n">
        <f aca="false">IF(OR(NOT(Tasks[[#This Row],[_IsLeaf]]=1),Tasks[[#This Row],[_Res3Row]]=0),0,N(Tasks[[#This Row],[_Days]])*HoursPerDay*IF(Tasks[[#This Row],[_Res3Units]]="",DefaultUnits,Tasks[[#This Row],[_Res3Units]]))</f>
        <v>0</v>
      </c>
      <c r="EE177" s="43" t="n">
        <f aca="false">IF(AND(AND(Tasks[[#This Row],[_IsLeaf]]=1,Tasks[[#This Row],[_LeafTotalWork]]&gt;0),Tasks[[#This Row],[_Res3Work]]&gt;0),Tasks[[#This Row],[_Res3Work]]/(Tasks[[#This Row],[_FinishWorkday]]-Tasks[[#This Row],[_StartWorkday]]+1),0)</f>
        <v>0</v>
      </c>
      <c r="EF177" s="43" t="n">
        <f aca="false">Tasks[[#This Row],[_Res3WorkPerWD]]*MAX(0,Tasks[[#This Row],[_StartWorkday]]-1)</f>
        <v>0</v>
      </c>
      <c r="EG177" s="43" t="n">
        <f aca="false">Tasks[[#This Row],[_Res3Work]]*Tasks[[#This Row],[_LeafProgress]]</f>
        <v>0</v>
      </c>
      <c r="EH177" s="43" t="str">
        <f aca="false">IF(Tasks[[#This Row],[_Res4Text]]="","",IF(Tasks[[#This Row],[_Res4Row]]&gt;0,INDEX(res_Name,Tasks[[#This Row],[_Res4Row]]),TRIM(LEFT(Tasks[[#This Row],[_Res4Text]],FIND("[",Tasks[[#This Row],[_Res4Text]]&amp;"[")-1))))</f>
        <v/>
      </c>
      <c r="EI17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7" s="43" t="n">
        <f aca="false">IF(OR(NOT(Tasks[[#This Row],[_IsLeaf]]=1),Tasks[[#This Row],[_Res4Row]]=0),0,N(Tasks[[#This Row],[_Days]])*HoursPerDay*IF(Tasks[[#This Row],[_Res4Units]]="",DefaultUnits,Tasks[[#This Row],[_Res4Units]]))</f>
        <v>0</v>
      </c>
      <c r="EK177" s="43" t="n">
        <f aca="false">IF(AND(AND(Tasks[[#This Row],[_IsLeaf]]=1,Tasks[[#This Row],[_LeafTotalWork]]&gt;0),Tasks[[#This Row],[_Res4Work]]&gt;0),Tasks[[#This Row],[_Res4Work]]/(Tasks[[#This Row],[_FinishWorkday]]-Tasks[[#This Row],[_StartWorkday]]+1),0)</f>
        <v>0</v>
      </c>
      <c r="EL177" s="43" t="n">
        <f aca="false">Tasks[[#This Row],[_Res4WorkPerWD]]*MAX(0,Tasks[[#This Row],[_StartWorkday]]-1)</f>
        <v>0</v>
      </c>
      <c r="EM177" s="43" t="n">
        <f aca="false">Tasks[[#This Row],[_Res4Work]]*Tasks[[#This Row],[_LeafProgress]]</f>
        <v>0</v>
      </c>
      <c r="EN177" s="43" t="n">
        <f aca="false">IF(ISNUMBER(Tasks[[#This Row],[% Complete]]),Tasks[[#This Row],[% Complete]],IF(Tasks[[#This Row],[Stage]]="",0,IFERROR(INDEX(stg_Pct,MATCH(Tasks[[#This Row],[Stage]],stg_Name,0)),0)))</f>
        <v>0</v>
      </c>
      <c r="EO177" s="43" t="n">
        <f aca="false">IF(NOT(Tasks[[#This Row],[_IsLeaf]]=1),0,IF(N(Tasks[[#This Row],[Actual Finish]])&gt;0,1,MIN(1,Tasks[[#This Row],[_Pct]])))</f>
        <v>0</v>
      </c>
      <c r="EP177" s="43" t="n">
        <f aca="false">IF(OR(NOT(Tasks[[#This Row],[_IsLeaf]]=1),Tasks[[#This Row],[_Res1Row]]=0),0,N(Tasks[[#This Row],[_Days]])*HoursPerDay*IF(Tasks[[#This Row],[_Units1]]="",DefaultUnits,Tasks[[#This Row],[_Units1]]))</f>
        <v>0</v>
      </c>
      <c r="EQ177" s="43" t="n">
        <f aca="false">Tasks[[#This Row],[_LeafWork]]+Tasks[[#This Row],[_Res2Work]]+Tasks[[#This Row],[_Res3Work]]+Tasks[[#This Row],[_Res4Work]]</f>
        <v>0</v>
      </c>
      <c r="ER17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7" s="43" t="n">
        <f aca="false">IF(NOT(Tasks[[#This Row],[_IsLeaf]]=1),0,MAX(_xlfn.MAXIFS(Tasks[_Row],Tasks[_Pred1UID],Tasks[[#This Row],[UID]]),_xlfn.MAXIFS(Tasks[_Row],Tasks[_Pred2UID],Tasks[[#This Row],[UID]]),_xlfn.MAXIFS(Tasks[_Row],Tasks[_Pred3UID],Tasks[[#This Row],[UID]]),_xlfn.MAXIFS(Tasks[_Row],Tasks[_Pred4UID],Tasks[[#This Row],[UID]])))</f>
        <v>0</v>
      </c>
      <c r="FA17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7" s="91" t="str">
        <f aca="false">IF(NOT(Tasks[[#This Row],[_IsLeaf]]=1),"",IF(N(Tasks[[#This Row],[_Days]])&lt;=0,Tasks[[#This Row],[_LeafLateFinish]],WORKDAY.INTL(Tasks[[#This Row],[_LeafLateFinish]],-(Tasks[[#This Row],[_Days]]-1),WorkWeek,Holidays)))</f>
        <v/>
      </c>
      <c r="FD17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7" s="90" t="b">
        <f aca="false">AND(Tasks[[#This Row],[_IsLeaf]]=1,Tasks[[#This Row],[_LeafProgress]]&lt;1,N(Tasks[[#This Row],[_LeafTotalSlack]])&lt;=CriticalSlackDays)</f>
        <v>0</v>
      </c>
      <c r="FF177" s="43" t="n">
        <f aca="false">IF(AND(Tasks[[#This Row],[_IsLeaf]]=1,Tasks[[#This Row],[_ConstraintCode]]=1,Tasks[[#This Row],[Mode]]&lt;&gt;"Manual",N(Tasks[[#This Row],[Actual Start]])=0),MAX(0,N(Tasks[[#This Row],[Free Slack]])),0)</f>
        <v>0</v>
      </c>
      <c r="FG177" s="91" t="str">
        <f aca="false">IF(NOT(Tasks[[#This Row],[_IsLeaf]]=1),"",IF(Tasks[[#This Row],[_AlapShift]]=0,Tasks[[#This Row],[_LeafCalcStart]],WORKDAY.INTL(Tasks[[#This Row],[_LeafCalcStart]],Tasks[[#This Row],[_AlapShift]],WorkWeek,Holidays)))</f>
        <v/>
      </c>
      <c r="FH177" s="91" t="str">
        <f aca="false">IF(NOT(Tasks[[#This Row],[_IsLeaf]]=1),"",IF(Tasks[[#This Row],[_AlapShift]]=0,Tasks[[#This Row],[_LeafCalcFinish]],WORKDAY.INTL(Tasks[[#This Row],[_LeafCalcFinish]],Tasks[[#This Row],[_AlapShift]],WorkWeek,Holidays)))</f>
        <v/>
      </c>
      <c r="FI177" s="91" t="str">
        <f aca="false">IF(NOT(Tasks[[#This Row],[_IsLeaf]]=1),"",IF(Tasks[[#This Row],[_AlapShift]]=0,Tasks[[#This Row],[_LeafFcstStart]],WORKDAY.INTL(Tasks[[#This Row],[_LeafFcstStart]],Tasks[[#This Row],[_AlapShift]],WorkWeek,Holidays)))</f>
        <v/>
      </c>
      <c r="FJ177" s="91" t="str">
        <f aca="false">IF(NOT(Tasks[[#This Row],[_IsLeaf]]=1),"",IF(Tasks[[#This Row],[_AlapShift]]=0,Tasks[[#This Row],[_LeafFcstFinish]],WORKDAY.INTL(Tasks[[#This Row],[_LeafFcstFinish]],Tasks[[#This Row],[_AlapShift]],WorkWeek,Holidays)))</f>
        <v/>
      </c>
      <c r="FK177" s="91" t="str">
        <f aca="false">IF(Tasks[[#This Row],[Task Name]]="","",IF(Tasks[[#This Row],[_IsSummary]],MIN(INDEX(Tasks[_ShownCalcStart],Tasks[[#This Row],[_Row]]+1):INDEX(Tasks[_ShownCalcStart],Tasks[[#This Row],[_Row]]+Tasks[[#This Row],[_Descendants]])),Tasks[[#This Row],[_ShownCalcStart]]))</f>
        <v/>
      </c>
      <c r="FL177" s="91" t="str">
        <f aca="false">IF(Tasks[[#This Row],[Task Name]]="","",IF(Tasks[[#This Row],[_IsSummary]],MAX(INDEX(Tasks[_ShownCalcFinish],Tasks[[#This Row],[_Row]]+1):INDEX(Tasks[_ShownCalcFinish],Tasks[[#This Row],[_Row]]+Tasks[[#This Row],[_Descendants]])),Tasks[[#This Row],[_ShownCalcFinish]]))</f>
        <v/>
      </c>
      <c r="FM17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7" s="43" t="n">
        <f aca="false">IF(AND(Tasks[[#This Row],[_IsLeaf]]=1,Tasks[[#This Row],[_LeafTotalWork]]&gt;0),NETWORKDAYS.INTL(ProjectStart,Tasks[[#This Row],[_ShownFcstStart]],WorkWeek,Holidays),0)</f>
        <v>0</v>
      </c>
      <c r="FZ177" s="43" t="n">
        <f aca="false">IF(AND(Tasks[[#This Row],[_IsLeaf]]=1,Tasks[[#This Row],[_LeafTotalWork]]&gt;0),MAX(Tasks[[#This Row],[_StartWorkday]],NETWORKDAYS.INTL(ProjectStart,Tasks[[#This Row],[_ShownFcstFinish]],WorkWeek,Holidays)),0)</f>
        <v>0</v>
      </c>
      <c r="GA177" s="43" t="n">
        <f aca="false">IF(AND(Tasks[[#This Row],[_IsLeaf]]=1,Tasks[[#This Row],[_LeafTotalWork]]&gt;0),Tasks[[#This Row],[_LeafWork]]/(Tasks[[#This Row],[_FinishWorkday]]-Tasks[[#This Row],[_StartWorkday]]+1),0)</f>
        <v>0</v>
      </c>
      <c r="GB177" s="43" t="n">
        <f aca="false">Tasks[[#This Row],[_WorkPerWorkday]]*(Tasks[[#This Row],[_StartWorkday]]-1)</f>
        <v>-0</v>
      </c>
      <c r="GC177" s="43" t="n">
        <f aca="false">IF(Tasks[[#This Row],[_IsLeaf]]=1,MAX(N(Tasks[[#This Row],[_Days]]),0.1),0)</f>
        <v>0</v>
      </c>
      <c r="GD177" s="43" t="n">
        <f aca="false">Tasks[[#This Row],[_WeightDur]]*Tasks[[#This Row],[_LeafProgress]]</f>
        <v>0</v>
      </c>
      <c r="GE177" s="43" t="n">
        <f aca="false">Tasks[[#This Row],[_WeightDur]]*Tasks[[#This Row],[_PlannedPct]]</f>
        <v>0</v>
      </c>
      <c r="GF17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7" s="43" t="str">
        <f aca="false">IF(AND(Tasks[[#This Row],[_IsLeaf]]=1,N(Tasks[[#This Row],[_Days]])=0,Tasks[[#This Row],[_LeafProgress]]&lt;1),Tasks[[#This Row],[_ShownFcstFinish]]+Tasks[[#This Row],[_Row]]/100000,"")</f>
        <v/>
      </c>
      <c r="GH17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7" s="43" t="str">
        <f aca="false">IF(Tasks[[#This Row],[Task Name]]="","",LEFT(Tasks[[#This Row],[WBS]],FIND(".",Tasks[[#This Row],[WBS]]&amp;".")-1))</f>
        <v/>
      </c>
      <c r="GJ177" s="43" t="str">
        <f aca="false">IF(AND(Tasks[[#This Row],[Task Name]]&lt;&gt;"",Tasks[[#This Row],[_Level]]=1),Tasks[[#This Row],[_Row]],"")</f>
        <v/>
      </c>
      <c r="GK177" s="43" t="str">
        <f aca="false">IF(AND(Tasks[[#This Row],[_IsLeaf]]=1,N(Tasks[[#This Row],[_Days]])=0),Tasks[[#This Row],[Planned Finish]]+Tasks[[#This Row],[_Row]]/100000,"")</f>
        <v/>
      </c>
      <c r="GL177" s="43" t="str">
        <f aca="false">IF(AND(Tasks[[#This Row],[_IsLeaf]]=1,Tasks[[#This Row],[_LeafProgress]]&lt;1,OR(N(Tasks[[#This Row],[Finish Var]])&gt;0,Tasks[[#This Row],[Status]]="Late Start")),MAX(0,Tasks[[#This Row],[Finish Var]])+1-Tasks[[#This Row],[_Row]]/1000000,"")</f>
        <v/>
      </c>
      <c r="GM177" s="43" t="str">
        <f aca="false">IF(AND(Tasks[[#This Row],[_IsLeaf]]=1,N(Tasks[[#This Row],[Actual Start]])=0,Tasks[[#This Row],[_ShownFcstStart]]&gt;=StatusDate,Tasks[[#This Row],[_ShownFcstStart]]&lt;=LookaheadEnd),Tasks[[#This Row],[_ShownFcstStart]]+Tasks[[#This Row],[_Row]]/100000,"")</f>
        <v/>
      </c>
      <c r="GN177" s="43" t="str">
        <f aca="false">IF(AND(Tasks[[#This Row],[_IsLeaf]]=1,Tasks[[#This Row],[_LeafProgress]]&lt;1,Tasks[[#This Row],[_ShownFcstFinish]]&gt;=StatusDate,Tasks[[#This Row],[_ShownFcstFinish]]&lt;=LookaheadEnd),Tasks[[#This Row],[_ShownFcstFinish]]+Tasks[[#This Row],[_Row]]/100000,"")</f>
        <v/>
      </c>
      <c r="GO177" s="43" t="str">
        <f aca="false">IF(Tasks[[#This Row],[_LeafCritical]],Tasks[[#This Row],[_ShownFcstStart]]+Tasks[[#This Row],[_Row]]/100000,"")</f>
        <v/>
      </c>
      <c r="GP177" s="43" t="n">
        <f aca="false">Tasks[[#This Row],[_LeafWork]]*Tasks[[#This Row],[_LeafProgress]]</f>
        <v>0</v>
      </c>
      <c r="GQ177" s="91" t="str">
        <f aca="false">IF(AND(Tasks[[#This Row],[_IsLeaf]]=1,Tasks[[#This Row],[_LeafProgress]]&gt;=1),IF(N(Tasks[[#This Row],[Actual Finish]])&gt;0,Tasks[[#This Row],[Actual Finish]],Tasks[[#This Row],[_ShownFcstFinish]]),"")</f>
        <v/>
      </c>
      <c r="GR177" s="43" t="n">
        <f aca="false">IF(Tasks[[#This Row],[_IsLeaf]]=1,N(Tasks[[#This Row],[Story Points]]),0)</f>
        <v>0</v>
      </c>
      <c r="GS177" s="43" t="str">
        <f aca="false">""</f>
        <v/>
      </c>
      <c r="GT177" s="90" t="b">
        <f aca="false">IF(Tasks[[#This Row],[Task Name]]="",FALSE(),AND(Tasks[[#This Row],[_IsLeaf]]=1,N(Tasks[[#This Row],[_Days]])=0))</f>
        <v>0</v>
      </c>
      <c r="GU177" s="91" t="n">
        <f aca="false">IF(Tasks[[#This Row],[Task Name]]="",0,IF(AND(Tasks[[#This Row],[_IsLeaf]]=1,NOT(Tasks[[#This Row],[_IsMilestone]]),N(Tasks[[#This Row],[Progress]])&gt;0),Tasks[[#This Row],[Start]],0))</f>
        <v>0</v>
      </c>
      <c r="GV177" s="91" t="n">
        <f aca="false">IF(Tasks[[#This Row],[_DoneFrom]]=0,0,IF(Tasks[[#This Row],[Progress]]&gt;=1,Tasks[[#This Row],[Finish]],MAX(Tasks[[#This Row],[_DoneFrom]],Tasks[[#This Row],[Start]]+ROUND((Tasks[[#This Row],[Finish]]-Tasks[[#This Row],[Start]]+1)*Tasks[[#This Row],[Progress]],0)-1)))</f>
        <v>0</v>
      </c>
      <c r="GW177" s="91" t="n">
        <f aca="false">IF(Tasks[[#This Row],[Task Name]]="",0,IF(OR(NOT(Tasks[[#This Row],[_IsLeaf]]=1),Tasks[[#This Row],[_IsMilestone]],N(Tasks[[#This Row],[Progress]])&gt;=1),0,IF(Tasks[[#This Row],[_DoneTo]]&gt;0,Tasks[[#This Row],[_DoneTo]]+1,Tasks[[#This Row],[Start]])))</f>
        <v>0</v>
      </c>
      <c r="GX177" s="91" t="n">
        <f aca="false">IF(Tasks[[#This Row],[_RemFrom]]=0,0,Tasks[[#This Row],[Finish]])</f>
        <v>0</v>
      </c>
      <c r="GY177" s="90" t="b">
        <f aca="false">IF(Tasks[[#This Row],[Task Name]]="",FALSE(),OR(NOT(BaselineSet),N(Tasks[[#This Row],[Baseline Start]])&gt;0))</f>
        <v>0</v>
      </c>
      <c r="GZ17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7" s="92" t="str">
        <f aca="false">IF(Tasks[[#This Row],[_IsLeaf]]=1,Tasks[[#This Row],[_Row]],"")</f>
        <v/>
      </c>
      <c r="HD177" s="92" t="str">
        <f aca="false">IFERROR(INDEX(Tasks[UID],SMALL(Tasks[_PickKey],Tasks[[#This Row],[_Row]]))&amp;" "&amp;INDEX(Tasks[Task Name],SMALL(Tasks[_PickKey],Tasks[[#This Row],[_Row]])),"")</f>
        <v/>
      </c>
      <c r="HE177" s="43" t="str">
        <f aca="false">IF(Tasks[[#This Row],[Task Name]]="","",IF(Tasks[[#This Row],[_IsSummary]],NETWORKDAYS.INTL(Tasks[[#This Row],[Start]],Tasks[[#This Row],[Finish]],WorkWeek,Holidays),N(Tasks[[#This Row],[_Days]])))</f>
        <v/>
      </c>
      <c r="HF177" s="43" t="n">
        <f aca="false">IF(Tasks[[#This Row],[Expected]]="",0,((Tasks[[#This Row],[Pessimistic]]-Tasks[[#This Row],[Optimistic]])/6)^2)</f>
        <v>0</v>
      </c>
      <c r="HG177" s="43" t="n">
        <f aca="false">IF(Tasks[[#This Row],[Expected]]="",0,Tasks[[#This Row],[Expected]]-N(Tasks[[#This Row],[_Days]]))</f>
        <v>0</v>
      </c>
    </row>
    <row r="178" customFormat="false" ht="15" hidden="false" customHeight="false" outlineLevel="0" collapsed="false">
      <c r="A178" s="21" t="str">
        <f aca="false">IF(Tasks[[#This Row],[Task Name]]="","",COUNTA(Tasks[[#Headers],[Task Name]]:Tasks[[#This Row],[Task Name]])-1)</f>
        <v/>
      </c>
      <c r="B178" s="22" t="n">
        <v>186</v>
      </c>
      <c r="C178" s="22"/>
      <c r="D178" s="23"/>
      <c r="E178" s="22"/>
      <c r="F178" s="23"/>
      <c r="G178" s="22"/>
      <c r="H178" s="22"/>
      <c r="I178" s="23"/>
      <c r="J178" s="22"/>
      <c r="K178" s="22"/>
      <c r="L178" s="23"/>
      <c r="M178" s="22"/>
      <c r="N178" s="22"/>
      <c r="O178" s="23"/>
      <c r="P178" s="22"/>
      <c r="Q178" s="22"/>
      <c r="R178" s="23"/>
      <c r="S178" s="23"/>
      <c r="T178" s="84"/>
      <c r="U178" s="23"/>
      <c r="V178" s="84"/>
      <c r="W178" s="23"/>
      <c r="X178" s="84"/>
      <c r="Y178" s="23"/>
      <c r="Z178" s="84"/>
      <c r="AA178" s="23"/>
      <c r="AB178" s="23"/>
      <c r="AC178" s="7"/>
      <c r="AD178" s="7"/>
      <c r="AE178" s="63" t="str">
        <f aca="false">IF(Tasks[[#This Row],[Task Name]]="","",IF(Tasks[[#This Row],[_IsSummary]],MIN(INDEX(Tasks[_ShownFcstStart],Tasks[[#This Row],[_Row]]+1):INDEX(Tasks[_ShownFcstStart],Tasks[[#This Row],[_Row]]+Tasks[[#This Row],[_Descendants]])),Tasks[[#This Row],[_ShownFcstStart]]))</f>
        <v/>
      </c>
      <c r="AF178" s="63" t="str">
        <f aca="false">IF(Tasks[[#This Row],[Task Name]]="","",IF(Tasks[[#This Row],[_IsSummary]],MAX(INDEX(Tasks[_ShownFcstFinish],Tasks[[#This Row],[_Row]]+1):INDEX(Tasks[_ShownFcstFinish],Tasks[[#This Row],[_Row]]+Tasks[[#This Row],[_Descendants]])),Tasks[[#This Row],[_ShownFcstFinish]]))</f>
        <v/>
      </c>
      <c r="AG178" s="21" t="str">
        <f aca="false">""</f>
        <v/>
      </c>
      <c r="AH178" s="23"/>
      <c r="AI1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8" s="7"/>
      <c r="AK178" s="22"/>
      <c r="AL178" s="23"/>
      <c r="AM178" s="7"/>
      <c r="AN178" s="47" t="str">
        <f aca="false">IF(Tasks[[#This Row],[Task Name]]="","",IF(Tasks[[#This Row],[Finish]]&gt;=Tasks[[#This Row],[Planned Finish]],NETWORKDAYS.INTL(Tasks[[#This Row],[Planned Finish]],Tasks[[#This Row],[Finish]],WorkWeek,Holidays)-1,1-NETWORKDAYS.INTL(Tasks[[#This Row],[Finish]],Tasks[[#This Row],[Planned Finish]],WorkWeek,Holidays)))</f>
        <v/>
      </c>
      <c r="AO178" s="21" t="str">
        <f aca="false">IF(Tasks[[#This Row],[Task Name]]="","",IF(Tasks[[#This Row],[Progress]]&gt;=1,"Complete",IF(OR(N(Tasks[[#This Row],[Actual Start]])&gt;0,Tasks[[#This Row],[Progress]]&gt;0),IF(Tasks[[#This Row],[Finish Var]]&gt;0,"Behind","In Progress"),IF(Tasks[[#This Row],[Planned Start]]&lt;StatusDate,"Late Start","Not Started"))))</f>
        <v/>
      </c>
      <c r="AP178" s="21" t="str">
        <f aca="false">IF(Tasks[[#This Row],[Task Name]]="","",IF(IF(Tasks[[#This Row],[_IsSummary]],COUNTIF(INDEX(Tasks[_LeafCritical],Tasks[[#This Row],[_Row]]+1):INDEX(Tasks[_LeafCritical],Tasks[[#This Row],[_Row]]+Tasks[[#This Row],[_Descendants]]),TRUE())&gt;0,Tasks[[#This Row],[_LeafCritical]]),"Yes",""))</f>
        <v/>
      </c>
      <c r="AQ178" s="63" t="str">
        <f aca="false">IF(Tasks[[#This Row],[Task Name]]="","",IF(N(Tasks[[#This Row],[Baseline Start]])&gt;0,Tasks[[#This Row],[Baseline Start]],Tasks[[#This Row],[_CalcStart]]))</f>
        <v/>
      </c>
      <c r="AR178" s="63" t="str">
        <f aca="false">IF(Tasks[[#This Row],[Task Name]]="","",IF(N(Tasks[[#This Row],[Baseline Finish]])&gt;0,Tasks[[#This Row],[Baseline Finish]],Tasks[[#This Row],[_CalcFinish]]))</f>
        <v/>
      </c>
      <c r="AS178" s="47" t="str">
        <f aca="false">IF(Tasks[[#This Row],[Task Name]]="","",IF(Tasks[[#This Row],[Start]]&gt;=Tasks[[#This Row],[Planned Start]],NETWORKDAYS.INTL(Tasks[[#This Row],[Planned Start]],Tasks[[#This Row],[Start]],WorkWeek,Holidays)-1,1-NETWORKDAYS.INTL(Tasks[[#This Row],[Start]],Tasks[[#This Row],[Planned Start]],WorkWeek,Holidays)))</f>
        <v/>
      </c>
      <c r="AT178" s="63" t="str">
        <f aca="false">IF(Tasks[[#This Row],[Task Name]]="","",IF(Tasks[[#This Row],[_IsSummary]],MIN(INDEX(Tasks[_LeafLateStart],Tasks[[#This Row],[_Row]]+1):INDEX(Tasks[_LeafLateStart],Tasks[[#This Row],[_Row]]+Tasks[[#This Row],[_Descendants]])),Tasks[[#This Row],[_LeafLateStart]]))</f>
        <v/>
      </c>
      <c r="AU178" s="63" t="str">
        <f aca="false">IF(Tasks[[#This Row],[Task Name]]="","",IF(Tasks[[#This Row],[_IsSummary]],MAX(INDEX(Tasks[_LeafLateFinish],Tasks[[#This Row],[_Row]]+1):INDEX(Tasks[_LeafLateFinish],Tasks[[#This Row],[_Row]]+Tasks[[#This Row],[_Descendants]])),Tasks[[#This Row],[_LeafLateFinish]]))</f>
        <v/>
      </c>
      <c r="AV178" s="47" t="str">
        <f aca="false">IF(Tasks[[#This Row],[Task Name]]="","",IF(Tasks[[#This Row],[_IsSummary]],MIN(INDEX(Tasks[_LeafTotalSlack],Tasks[[#This Row],[_Row]]+1):INDEX(Tasks[_LeafTotalSlack],Tasks[[#This Row],[_Row]]+Tasks[[#This Row],[_Descendants]])),Tasks[[#This Row],[_LeafTotalSlack]]))</f>
        <v/>
      </c>
      <c r="AW1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5"/>
      <c r="BA17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1" t="str">
        <f aca="false">IF(Tasks[[#This Row],[Task Name]]="","",IF(Tasks[[#This Row],[_Level]]&lt;=OutlineShowLevel,"Yes","No"))</f>
        <v/>
      </c>
      <c r="BE178" s="86" t="str">
        <f aca="false">IF(Tasks[[#This Row],[Task Name]]="","",IF(Tasks[[#This Row],[_IsSummary]],SUM(INDEX(Tasks[_LeafTotalWork],Tasks[[#This Row],[_Row]]+1):INDEX(Tasks[_LeafTotalWork],Tasks[[#This Row],[_Row]]+Tasks[[#This Row],[_Descendants]])),Tasks[[#This Row],[_LeafTotalWork]]))</f>
        <v/>
      </c>
      <c r="BF178" s="23"/>
      <c r="BG1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8" s="21" t="str">
        <f aca="false">""</f>
        <v/>
      </c>
      <c r="BI178" s="87"/>
      <c r="BJ178" s="22"/>
      <c r="BK178" s="47" t="str">
        <f aca="false">IF(OR(Tasks[[#This Row],[Task Name]]="",Tasks[[#This Row],[Baseline Duration]]=""),"",Tasks[[#This Row],[_SpanDays]]-N(Tasks[[#This Row],[Baseline Duration]]))</f>
        <v/>
      </c>
      <c r="BL178" s="86" t="str">
        <f aca="false">IF(OR(Tasks[[#This Row],[Task Name]]="",Tasks[[#This Row],[Baseline Work]]=""),"",Tasks[[#This Row],[Work]]-N(Tasks[[#This Row],[Baseline Work]]))</f>
        <v/>
      </c>
      <c r="BM178" s="63" t="str">
        <f aca="false">IF(Tasks[[#This Row],[Task Name]]="","",IF(OR(TakeBaseline="Yes",N(Tasks[[#This Row],[Baseline Start]])=0),Tasks[[#This Row],[Start]],Tasks[[#This Row],[Baseline Start]]))</f>
        <v/>
      </c>
      <c r="BN178" s="63" t="str">
        <f aca="false">IF(Tasks[[#This Row],[Task Name]]="","",IF(OR(TakeBaseline="Yes",N(Tasks[[#This Row],[Baseline Finish]])=0),Tasks[[#This Row],[Finish]],Tasks[[#This Row],[Baseline Finish]]))</f>
        <v/>
      </c>
      <c r="BO178" s="21" t="str">
        <f aca="false">IF(Tasks[[#This Row],[Task Name]]="","",IF(OR(TakeBaseline="Yes",N(Tasks[[#This Row],[Baseline Duration]])=0),Tasks[[#This Row],[_SpanDays]],Tasks[[#This Row],[Baseline Duration]]))</f>
        <v/>
      </c>
      <c r="BP178" s="86" t="str">
        <f aca="false">IF(Tasks[[#This Row],[Task Name]]="","",IF(OR(TakeBaseline="Yes",N(Tasks[[#This Row],[Baseline Work]])=0),Tasks[[#This Row],[Work]],Tasks[[#This Row],[Baseline Work]]))</f>
        <v/>
      </c>
      <c r="BQ178" s="7"/>
      <c r="BR178" s="7"/>
      <c r="BS178" s="22"/>
      <c r="BT178" s="88"/>
      <c r="BU178" s="23"/>
      <c r="BV178" s="23"/>
      <c r="BW178" s="23"/>
      <c r="BX178" s="89" t="str">
        <f aca="false">IF(AND(Tasks[[#This Row],[_IsLeaf]]=1,ISNUMBER(Tasks[[#This Row],[Optimistic]]),ISNUMBER(Tasks[[#This Row],[Pessimistic]])),ROUND((Tasks[[#This Row],[Optimistic]]+4*N(Tasks[[#This Row],[_Days]])+Tasks[[#This Row],[Pessimistic]])/6,1),"")</f>
        <v/>
      </c>
      <c r="BY178" s="87"/>
      <c r="BZ178" s="87"/>
      <c r="CA178" s="22"/>
      <c r="CB178" s="43" t="str">
        <f aca="false">IF(Tasks[[#This Row],[Task Name]]="","",MAX(1,N(Tasks[[#This Row],[Level]])))</f>
        <v/>
      </c>
      <c r="CC178" s="43" t="n">
        <f aca="false">ROW()-ROW(Tasks[[#Headers],[ID]])</f>
        <v>173</v>
      </c>
      <c r="CD178" s="43" t="n">
        <f aca="false">IF(OR(Tasks[[#This Row],[Task Name]]="",Tasks[[#This Row],[_Level]]&lt;=1),0,IFERROR(LOOKUP(2,1/(Tasks[[#Headers],[_Level]]:Tasks[[#This Row],[_Level]]=Tasks[[#This Row],[_Level]]-1),ROW(Tasks[[#Headers],[_Level]]:Tasks[[#This Row],[_Level]])),0))</f>
        <v>0</v>
      </c>
      <c r="CE178" s="43" t="n">
        <f aca="false">IFERROR(N(INDEX(Tasks[_Level],Tasks[[#This Row],[_Row]]+1)),0)</f>
        <v>0</v>
      </c>
      <c r="CF178" s="90" t="b">
        <f aca="false">AND(Tasks[[#This Row],[Task Name]]&lt;&gt;"",Tasks[[#This Row],[_NextLevel]]&gt;Tasks[[#This Row],[_Level]])</f>
        <v>0</v>
      </c>
      <c r="CG178" s="43" t="n">
        <f aca="false">IF(Tasks[[#This Row],[_IsSummary]],COUNTIF(Tasks[WBS],Tasks[[#This Row],[WBS]]&amp;".*"),0)</f>
        <v>0</v>
      </c>
      <c r="CH178" s="43" t="n">
        <f aca="false">IF(AND(Tasks[[#This Row],[Task Name]]&lt;&gt;"",NOT(Tasks[[#This Row],[_IsSummary]])),1,0)</f>
        <v>0</v>
      </c>
      <c r="CI178" s="43" t="n">
        <f aca="false">IF(N(Tasks[[#This Row],[_Pred1UID]])=0,0,IFERROR(MATCH(Tasks[[#This Row],[_Pred1UID]],Tasks[UID],0),-1))</f>
        <v>0</v>
      </c>
      <c r="CJ178" s="43" t="n">
        <f aca="false">IF(N(Tasks[[#This Row],[_Pred2UID]])=0,0,IFERROR(MATCH(Tasks[[#This Row],[_Pred2UID]],Tasks[UID],0),-1))</f>
        <v>0</v>
      </c>
      <c r="CK178" s="43" t="n">
        <f aca="false">IF(N(Tasks[[#This Row],[_Pred3UID]])=0,0,IFERROR(MATCH(Tasks[[#This Row],[_Pred3UID]],Tasks[UID],0),-1))</f>
        <v>0</v>
      </c>
      <c r="CL178" s="43" t="n">
        <f aca="false">IF(N(Tasks[[#This Row],[_Pred4UID]])=0,0,IFERROR(MATCH(Tasks[[#This Row],[_Pred4UID]],Tasks[UID],0),-1))</f>
        <v>0</v>
      </c>
      <c r="CM17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8" s="91" t="n">
        <f aca="false">IF(OR(Tasks[[#This Row],[_ConstraintCode]]=2,Tasks[[#This Row],[_ConstraintCode]]=3,Tasks[[#This Row],[_ConstraintCode]]=4,Tasks[[#This Row],[_ConstraintCode]]=6),Tasks[[#This Row],[_ConstraintStart]],0)</f>
        <v>0</v>
      </c>
      <c r="CP178" s="91" t="n">
        <f aca="false">IF(OR(Tasks[[#This Row],[_ConstraintCode]]=2,Tasks[[#This Row],[_ConstraintCode]]=3,Tasks[[#This Row],[_ConstraintCode]]=5,Tasks[[#This Row],[_ConstraintCode]]=7),Tasks[[#This Row],[_ConstraintStart]],2958465)</f>
        <v>2958465</v>
      </c>
      <c r="CQ17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8" s="91" t="str">
        <f aca="false">IF(NOT(Tasks[[#This Row],[_IsLeaf]]=1),"",IF(N(Tasks[[#This Row],[_Days]])&lt;=0,Tasks[[#This Row],[_LeafCalcStart]],WORKDAY.INTL(Tasks[[#This Row],[_LeafCalcStart]],Tasks[[#This Row],[_Days]]-1,WorkWeek,Holidays)))</f>
        <v/>
      </c>
      <c r="CS17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8" s="43" t="str">
        <f aca="false">IF(Tasks[[#This Row],[_Predecessors]]="","",TRIM(MID(SUBSTITUTE(SUBSTITUTE(SUBSTITUTE(UPPER(Tasks[[#This Row],[_Predecessors]]),";",",")," ",""),",",REPT(" ",99)),1,99)))</f>
        <v/>
      </c>
      <c r="CV178" s="43" t="str">
        <f aca="false">IF(Tasks[[#This Row],[_Pred1Text]]="","",IFERROR(VALUE(LEFT(Tasks[[#This Row],[_Pred1Text]],MIN(FIND("F",Tasks[[#This Row],[_Pred1Text]]&amp;"F"),FIND("S",Tasks[[#This Row],[_Pred1Text]]&amp;"S"),FIND("+",Tasks[[#This Row],[_Pred1Text]]&amp;"+"),FIND("-",Tasks[[#This Row],[_Pred1Text]]&amp;"-"))-1)),""))</f>
        <v/>
      </c>
      <c r="CW17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8" s="43" t="str">
        <f aca="false">IF(Tasks[[#This Row],[_Pred1Text]]="","",TRIM(MID(SUBSTITUTE(SUBSTITUTE(SUBSTITUTE(UPPER(Tasks[[#This Row],[_Predecessors]]),";",",")," ",""),",",REPT(" ",99)),100,99)))</f>
        <v/>
      </c>
      <c r="CZ178" s="43" t="str">
        <f aca="false">IF(Tasks[[#This Row],[_Pred2Text]]="","",IFERROR(VALUE(LEFT(Tasks[[#This Row],[_Pred2Text]],MIN(FIND("F",Tasks[[#This Row],[_Pred2Text]]&amp;"F"),FIND("S",Tasks[[#This Row],[_Pred2Text]]&amp;"S"),FIND("+",Tasks[[#This Row],[_Pred2Text]]&amp;"+"),FIND("-",Tasks[[#This Row],[_Pred2Text]]&amp;"-"))-1)),""))</f>
        <v/>
      </c>
      <c r="DA17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8" s="43" t="str">
        <f aca="false">IF(Tasks[[#This Row],[_Pred2Text]]="","",TRIM(MID(SUBSTITUTE(SUBSTITUTE(SUBSTITUTE(UPPER(Tasks[[#This Row],[_Predecessors]]),";",",")," ",""),",",REPT(" ",99)),199,99)))</f>
        <v/>
      </c>
      <c r="DD178" s="43" t="str">
        <f aca="false">IF(Tasks[[#This Row],[_Pred3Text]]="","",IFERROR(VALUE(LEFT(Tasks[[#This Row],[_Pred3Text]],MIN(FIND("F",Tasks[[#This Row],[_Pred3Text]]&amp;"F"),FIND("S",Tasks[[#This Row],[_Pred3Text]]&amp;"S"),FIND("+",Tasks[[#This Row],[_Pred3Text]]&amp;"+"),FIND("-",Tasks[[#This Row],[_Pred3Text]]&amp;"-"))-1)),""))</f>
        <v/>
      </c>
      <c r="DE17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8" s="43" t="str">
        <f aca="false">IF(Tasks[[#This Row],[_Pred3Text]]="","",TRIM(MID(SUBSTITUTE(SUBSTITUTE(SUBSTITUTE(UPPER(Tasks[[#This Row],[_Predecessors]]),";",",")," ",""),",",REPT(" ",99)),298,99)))</f>
        <v/>
      </c>
      <c r="DH178" s="43" t="str">
        <f aca="false">IF(Tasks[[#This Row],[_Pred4Text]]="","",IFERROR(VALUE(LEFT(Tasks[[#This Row],[_Pred4Text]],MIN(FIND("F",Tasks[[#This Row],[_Pred4Text]]&amp;"F"),FIND("S",Tasks[[#This Row],[_Pred4Text]]&amp;"S"),FIND("+",Tasks[[#This Row],[_Pred4Text]]&amp;"+"),FIND("-",Tasks[[#This Row],[_Pred4Text]]&amp;"-"))-1)),""))</f>
        <v/>
      </c>
      <c r="DI17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8" s="43" t="str">
        <f aca="false">IF(OR(Tasks[[#This Row],[Task Name]]="",Tasks[[#This Row],[_Resources]]=""),"",TRIM(MID(SUBSTITUTE(Tasks[[#This Row],[_Resources]],",",REPT(" ",99)),1,99)))</f>
        <v/>
      </c>
      <c r="DL178" s="43" t="str">
        <f aca="false">IF(Tasks[[#This Row],[_Res1Text]]="","",TRIM(MID(SUBSTITUTE(Tasks[[#This Row],[_Resources]],",",REPT(" ",99)),100,99)))</f>
        <v/>
      </c>
      <c r="DM178" s="43" t="str">
        <f aca="false">IF(Tasks[[#This Row],[_Res2Text]]="","",TRIM(MID(SUBSTITUTE(Tasks[[#This Row],[_Resources]],",",REPT(" ",99)),199,99)))</f>
        <v/>
      </c>
      <c r="DN178" s="43" t="str">
        <f aca="false">IF(Tasks[[#This Row],[_Res3Text]]="","",TRIM(MID(SUBSTITUTE(Tasks[[#This Row],[_Resources]],",",REPT(" ",99)),298,99)))</f>
        <v/>
      </c>
      <c r="DO178" s="43" t="n">
        <f aca="false">IF(Tasks[[#This Row],[_Res1Text]]="",0,IFERROR(MATCH(TRIM(LEFT(Tasks[[#This Row],[_Res1Text]],FIND("[",Tasks[[#This Row],[_Res1Text]]&amp;"[")-1)),res_Name,0),IFERROR(MATCH(TRIM(LEFT(Tasks[[#This Row],[_Res1Text]],FIND("[",Tasks[[#This Row],[_Res1Text]]&amp;"[")-1)),res_Initials,0),0)))</f>
        <v>0</v>
      </c>
      <c r="DP178" s="43" t="n">
        <f aca="false">IF(Tasks[[#This Row],[_Res2Text]]="",0,IFERROR(MATCH(TRIM(LEFT(Tasks[[#This Row],[_Res2Text]],FIND("[",Tasks[[#This Row],[_Res2Text]]&amp;"[")-1)),res_Name,0),IFERROR(MATCH(TRIM(LEFT(Tasks[[#This Row],[_Res2Text]],FIND("[",Tasks[[#This Row],[_Res2Text]]&amp;"[")-1)),res_Initials,0),0)))</f>
        <v>0</v>
      </c>
      <c r="DQ178" s="43" t="n">
        <f aca="false">IF(Tasks[[#This Row],[_Res3Text]]="",0,IFERROR(MATCH(TRIM(LEFT(Tasks[[#This Row],[_Res3Text]],FIND("[",Tasks[[#This Row],[_Res3Text]]&amp;"[")-1)),res_Name,0),IFERROR(MATCH(TRIM(LEFT(Tasks[[#This Row],[_Res3Text]],FIND("[",Tasks[[#This Row],[_Res3Text]]&amp;"[")-1)),res_Initials,0),0)))</f>
        <v>0</v>
      </c>
      <c r="DR178" s="43" t="n">
        <f aca="false">IF(Tasks[[#This Row],[_Res4Text]]="",0,IFERROR(MATCH(TRIM(LEFT(Tasks[[#This Row],[_Res4Text]],FIND("[",Tasks[[#This Row],[_Res4Text]]&amp;"[")-1)),res_Name,0),IFERROR(MATCH(TRIM(LEFT(Tasks[[#This Row],[_Res4Text]],FIND("[",Tasks[[#This Row],[_Res4Text]]&amp;"[")-1)),res_Initials,0),0)))</f>
        <v>0</v>
      </c>
      <c r="DS178" s="43" t="str">
        <f aca="false">IF(Tasks[[#This Row],[_Res1Text]]="","",IF(Tasks[[#This Row],[_Res1Row]]&gt;0,INDEX(res_Name,Tasks[[#This Row],[_Res1Row]]),TRIM(LEFT(Tasks[[#This Row],[_Res1Text]],FIND("[",Tasks[[#This Row],[_Res1Text]]&amp;"[")-1))))</f>
        <v/>
      </c>
      <c r="DT17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8" s="43" t="n">
        <f aca="false">IF(NOT(Tasks[[#This Row],[_IsLeaf]]=1),0,(Tasks[[#This Row],[_Resource1]]&lt;&gt;"")+(Tasks[[#This Row],[_Res2]]&lt;&gt;"")+(Tasks[[#This Row],[_Res3]]&lt;&gt;"")+(Tasks[[#This Row],[_Res4]]&lt;&gt;""))</f>
        <v>0</v>
      </c>
      <c r="DV178" s="43" t="str">
        <f aca="false">IF(Tasks[[#This Row],[_Res2Text]]="","",IF(Tasks[[#This Row],[_Res2Row]]&gt;0,INDEX(res_Name,Tasks[[#This Row],[_Res2Row]]),TRIM(LEFT(Tasks[[#This Row],[_Res2Text]],FIND("[",Tasks[[#This Row],[_Res2Text]]&amp;"[")-1))))</f>
        <v/>
      </c>
      <c r="DW17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8" s="43" t="n">
        <f aca="false">IF(OR(NOT(Tasks[[#This Row],[_IsLeaf]]=1),Tasks[[#This Row],[_Res2Row]]=0),0,N(Tasks[[#This Row],[_Days]])*HoursPerDay*IF(Tasks[[#This Row],[_Res2Units]]="",DefaultUnits,Tasks[[#This Row],[_Res2Units]]))</f>
        <v>0</v>
      </c>
      <c r="DY178" s="43" t="n">
        <f aca="false">IF(AND(AND(Tasks[[#This Row],[_IsLeaf]]=1,Tasks[[#This Row],[_LeafTotalWork]]&gt;0),Tasks[[#This Row],[_Res2Work]]&gt;0),Tasks[[#This Row],[_Res2Work]]/(Tasks[[#This Row],[_FinishWorkday]]-Tasks[[#This Row],[_StartWorkday]]+1),0)</f>
        <v>0</v>
      </c>
      <c r="DZ178" s="43" t="n">
        <f aca="false">Tasks[[#This Row],[_Res2WorkPerWD]]*MAX(0,Tasks[[#This Row],[_StartWorkday]]-1)</f>
        <v>0</v>
      </c>
      <c r="EA178" s="43" t="n">
        <f aca="false">Tasks[[#This Row],[_Res2Work]]*Tasks[[#This Row],[_LeafProgress]]</f>
        <v>0</v>
      </c>
      <c r="EB178" s="43" t="str">
        <f aca="false">IF(Tasks[[#This Row],[_Res3Text]]="","",IF(Tasks[[#This Row],[_Res3Row]]&gt;0,INDEX(res_Name,Tasks[[#This Row],[_Res3Row]]),TRIM(LEFT(Tasks[[#This Row],[_Res3Text]],FIND("[",Tasks[[#This Row],[_Res3Text]]&amp;"[")-1))))</f>
        <v/>
      </c>
      <c r="EC17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8" s="43" t="n">
        <f aca="false">IF(OR(NOT(Tasks[[#This Row],[_IsLeaf]]=1),Tasks[[#This Row],[_Res3Row]]=0),0,N(Tasks[[#This Row],[_Days]])*HoursPerDay*IF(Tasks[[#This Row],[_Res3Units]]="",DefaultUnits,Tasks[[#This Row],[_Res3Units]]))</f>
        <v>0</v>
      </c>
      <c r="EE178" s="43" t="n">
        <f aca="false">IF(AND(AND(Tasks[[#This Row],[_IsLeaf]]=1,Tasks[[#This Row],[_LeafTotalWork]]&gt;0),Tasks[[#This Row],[_Res3Work]]&gt;0),Tasks[[#This Row],[_Res3Work]]/(Tasks[[#This Row],[_FinishWorkday]]-Tasks[[#This Row],[_StartWorkday]]+1),0)</f>
        <v>0</v>
      </c>
      <c r="EF178" s="43" t="n">
        <f aca="false">Tasks[[#This Row],[_Res3WorkPerWD]]*MAX(0,Tasks[[#This Row],[_StartWorkday]]-1)</f>
        <v>0</v>
      </c>
      <c r="EG178" s="43" t="n">
        <f aca="false">Tasks[[#This Row],[_Res3Work]]*Tasks[[#This Row],[_LeafProgress]]</f>
        <v>0</v>
      </c>
      <c r="EH178" s="43" t="str">
        <f aca="false">IF(Tasks[[#This Row],[_Res4Text]]="","",IF(Tasks[[#This Row],[_Res4Row]]&gt;0,INDEX(res_Name,Tasks[[#This Row],[_Res4Row]]),TRIM(LEFT(Tasks[[#This Row],[_Res4Text]],FIND("[",Tasks[[#This Row],[_Res4Text]]&amp;"[")-1))))</f>
        <v/>
      </c>
      <c r="EI17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8" s="43" t="n">
        <f aca="false">IF(OR(NOT(Tasks[[#This Row],[_IsLeaf]]=1),Tasks[[#This Row],[_Res4Row]]=0),0,N(Tasks[[#This Row],[_Days]])*HoursPerDay*IF(Tasks[[#This Row],[_Res4Units]]="",DefaultUnits,Tasks[[#This Row],[_Res4Units]]))</f>
        <v>0</v>
      </c>
      <c r="EK178" s="43" t="n">
        <f aca="false">IF(AND(AND(Tasks[[#This Row],[_IsLeaf]]=1,Tasks[[#This Row],[_LeafTotalWork]]&gt;0),Tasks[[#This Row],[_Res4Work]]&gt;0),Tasks[[#This Row],[_Res4Work]]/(Tasks[[#This Row],[_FinishWorkday]]-Tasks[[#This Row],[_StartWorkday]]+1),0)</f>
        <v>0</v>
      </c>
      <c r="EL178" s="43" t="n">
        <f aca="false">Tasks[[#This Row],[_Res4WorkPerWD]]*MAX(0,Tasks[[#This Row],[_StartWorkday]]-1)</f>
        <v>0</v>
      </c>
      <c r="EM178" s="43" t="n">
        <f aca="false">Tasks[[#This Row],[_Res4Work]]*Tasks[[#This Row],[_LeafProgress]]</f>
        <v>0</v>
      </c>
      <c r="EN178" s="43" t="n">
        <f aca="false">IF(ISNUMBER(Tasks[[#This Row],[% Complete]]),Tasks[[#This Row],[% Complete]],IF(Tasks[[#This Row],[Stage]]="",0,IFERROR(INDEX(stg_Pct,MATCH(Tasks[[#This Row],[Stage]],stg_Name,0)),0)))</f>
        <v>0</v>
      </c>
      <c r="EO178" s="43" t="n">
        <f aca="false">IF(NOT(Tasks[[#This Row],[_IsLeaf]]=1),0,IF(N(Tasks[[#This Row],[Actual Finish]])&gt;0,1,MIN(1,Tasks[[#This Row],[_Pct]])))</f>
        <v>0</v>
      </c>
      <c r="EP178" s="43" t="n">
        <f aca="false">IF(OR(NOT(Tasks[[#This Row],[_IsLeaf]]=1),Tasks[[#This Row],[_Res1Row]]=0),0,N(Tasks[[#This Row],[_Days]])*HoursPerDay*IF(Tasks[[#This Row],[_Units1]]="",DefaultUnits,Tasks[[#This Row],[_Units1]]))</f>
        <v>0</v>
      </c>
      <c r="EQ178" s="43" t="n">
        <f aca="false">Tasks[[#This Row],[_LeafWork]]+Tasks[[#This Row],[_Res2Work]]+Tasks[[#This Row],[_Res3Work]]+Tasks[[#This Row],[_Res4Work]]</f>
        <v>0</v>
      </c>
      <c r="ER17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8" s="43" t="n">
        <f aca="false">IF(NOT(Tasks[[#This Row],[_IsLeaf]]=1),0,MAX(_xlfn.MAXIFS(Tasks[_Row],Tasks[_Pred1UID],Tasks[[#This Row],[UID]]),_xlfn.MAXIFS(Tasks[_Row],Tasks[_Pred2UID],Tasks[[#This Row],[UID]]),_xlfn.MAXIFS(Tasks[_Row],Tasks[_Pred3UID],Tasks[[#This Row],[UID]]),_xlfn.MAXIFS(Tasks[_Row],Tasks[_Pred4UID],Tasks[[#This Row],[UID]])))</f>
        <v>0</v>
      </c>
      <c r="FA17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8" s="91" t="str">
        <f aca="false">IF(NOT(Tasks[[#This Row],[_IsLeaf]]=1),"",IF(N(Tasks[[#This Row],[_Days]])&lt;=0,Tasks[[#This Row],[_LeafLateFinish]],WORKDAY.INTL(Tasks[[#This Row],[_LeafLateFinish]],-(Tasks[[#This Row],[_Days]]-1),WorkWeek,Holidays)))</f>
        <v/>
      </c>
      <c r="FD17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8" s="90" t="b">
        <f aca="false">AND(Tasks[[#This Row],[_IsLeaf]]=1,Tasks[[#This Row],[_LeafProgress]]&lt;1,N(Tasks[[#This Row],[_LeafTotalSlack]])&lt;=CriticalSlackDays)</f>
        <v>0</v>
      </c>
      <c r="FF178" s="43" t="n">
        <f aca="false">IF(AND(Tasks[[#This Row],[_IsLeaf]]=1,Tasks[[#This Row],[_ConstraintCode]]=1,Tasks[[#This Row],[Mode]]&lt;&gt;"Manual",N(Tasks[[#This Row],[Actual Start]])=0),MAX(0,N(Tasks[[#This Row],[Free Slack]])),0)</f>
        <v>0</v>
      </c>
      <c r="FG178" s="91" t="str">
        <f aca="false">IF(NOT(Tasks[[#This Row],[_IsLeaf]]=1),"",IF(Tasks[[#This Row],[_AlapShift]]=0,Tasks[[#This Row],[_LeafCalcStart]],WORKDAY.INTL(Tasks[[#This Row],[_LeafCalcStart]],Tasks[[#This Row],[_AlapShift]],WorkWeek,Holidays)))</f>
        <v/>
      </c>
      <c r="FH178" s="91" t="str">
        <f aca="false">IF(NOT(Tasks[[#This Row],[_IsLeaf]]=1),"",IF(Tasks[[#This Row],[_AlapShift]]=0,Tasks[[#This Row],[_LeafCalcFinish]],WORKDAY.INTL(Tasks[[#This Row],[_LeafCalcFinish]],Tasks[[#This Row],[_AlapShift]],WorkWeek,Holidays)))</f>
        <v/>
      </c>
      <c r="FI178" s="91" t="str">
        <f aca="false">IF(NOT(Tasks[[#This Row],[_IsLeaf]]=1),"",IF(Tasks[[#This Row],[_AlapShift]]=0,Tasks[[#This Row],[_LeafFcstStart]],WORKDAY.INTL(Tasks[[#This Row],[_LeafFcstStart]],Tasks[[#This Row],[_AlapShift]],WorkWeek,Holidays)))</f>
        <v/>
      </c>
      <c r="FJ178" s="91" t="str">
        <f aca="false">IF(NOT(Tasks[[#This Row],[_IsLeaf]]=1),"",IF(Tasks[[#This Row],[_AlapShift]]=0,Tasks[[#This Row],[_LeafFcstFinish]],WORKDAY.INTL(Tasks[[#This Row],[_LeafFcstFinish]],Tasks[[#This Row],[_AlapShift]],WorkWeek,Holidays)))</f>
        <v/>
      </c>
      <c r="FK178" s="91" t="str">
        <f aca="false">IF(Tasks[[#This Row],[Task Name]]="","",IF(Tasks[[#This Row],[_IsSummary]],MIN(INDEX(Tasks[_ShownCalcStart],Tasks[[#This Row],[_Row]]+1):INDEX(Tasks[_ShownCalcStart],Tasks[[#This Row],[_Row]]+Tasks[[#This Row],[_Descendants]])),Tasks[[#This Row],[_ShownCalcStart]]))</f>
        <v/>
      </c>
      <c r="FL178" s="91" t="str">
        <f aca="false">IF(Tasks[[#This Row],[Task Name]]="","",IF(Tasks[[#This Row],[_IsSummary]],MAX(INDEX(Tasks[_ShownCalcFinish],Tasks[[#This Row],[_Row]]+1):INDEX(Tasks[_ShownCalcFinish],Tasks[[#This Row],[_Row]]+Tasks[[#This Row],[_Descendants]])),Tasks[[#This Row],[_ShownCalcFinish]]))</f>
        <v/>
      </c>
      <c r="FM17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8" s="43" t="n">
        <f aca="false">IF(AND(Tasks[[#This Row],[_IsLeaf]]=1,Tasks[[#This Row],[_LeafTotalWork]]&gt;0),NETWORKDAYS.INTL(ProjectStart,Tasks[[#This Row],[_ShownFcstStart]],WorkWeek,Holidays),0)</f>
        <v>0</v>
      </c>
      <c r="FZ178" s="43" t="n">
        <f aca="false">IF(AND(Tasks[[#This Row],[_IsLeaf]]=1,Tasks[[#This Row],[_LeafTotalWork]]&gt;0),MAX(Tasks[[#This Row],[_StartWorkday]],NETWORKDAYS.INTL(ProjectStart,Tasks[[#This Row],[_ShownFcstFinish]],WorkWeek,Holidays)),0)</f>
        <v>0</v>
      </c>
      <c r="GA178" s="43" t="n">
        <f aca="false">IF(AND(Tasks[[#This Row],[_IsLeaf]]=1,Tasks[[#This Row],[_LeafTotalWork]]&gt;0),Tasks[[#This Row],[_LeafWork]]/(Tasks[[#This Row],[_FinishWorkday]]-Tasks[[#This Row],[_StartWorkday]]+1),0)</f>
        <v>0</v>
      </c>
      <c r="GB178" s="43" t="n">
        <f aca="false">Tasks[[#This Row],[_WorkPerWorkday]]*(Tasks[[#This Row],[_StartWorkday]]-1)</f>
        <v>-0</v>
      </c>
      <c r="GC178" s="43" t="n">
        <f aca="false">IF(Tasks[[#This Row],[_IsLeaf]]=1,MAX(N(Tasks[[#This Row],[_Days]]),0.1),0)</f>
        <v>0</v>
      </c>
      <c r="GD178" s="43" t="n">
        <f aca="false">Tasks[[#This Row],[_WeightDur]]*Tasks[[#This Row],[_LeafProgress]]</f>
        <v>0</v>
      </c>
      <c r="GE178" s="43" t="n">
        <f aca="false">Tasks[[#This Row],[_WeightDur]]*Tasks[[#This Row],[_PlannedPct]]</f>
        <v>0</v>
      </c>
      <c r="GF17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8" s="43" t="str">
        <f aca="false">IF(AND(Tasks[[#This Row],[_IsLeaf]]=1,N(Tasks[[#This Row],[_Days]])=0,Tasks[[#This Row],[_LeafProgress]]&lt;1),Tasks[[#This Row],[_ShownFcstFinish]]+Tasks[[#This Row],[_Row]]/100000,"")</f>
        <v/>
      </c>
      <c r="GH17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8" s="43" t="str">
        <f aca="false">IF(Tasks[[#This Row],[Task Name]]="","",LEFT(Tasks[[#This Row],[WBS]],FIND(".",Tasks[[#This Row],[WBS]]&amp;".")-1))</f>
        <v/>
      </c>
      <c r="GJ178" s="43" t="str">
        <f aca="false">IF(AND(Tasks[[#This Row],[Task Name]]&lt;&gt;"",Tasks[[#This Row],[_Level]]=1),Tasks[[#This Row],[_Row]],"")</f>
        <v/>
      </c>
      <c r="GK178" s="43" t="str">
        <f aca="false">IF(AND(Tasks[[#This Row],[_IsLeaf]]=1,N(Tasks[[#This Row],[_Days]])=0),Tasks[[#This Row],[Planned Finish]]+Tasks[[#This Row],[_Row]]/100000,"")</f>
        <v/>
      </c>
      <c r="GL178" s="43" t="str">
        <f aca="false">IF(AND(Tasks[[#This Row],[_IsLeaf]]=1,Tasks[[#This Row],[_LeafProgress]]&lt;1,OR(N(Tasks[[#This Row],[Finish Var]])&gt;0,Tasks[[#This Row],[Status]]="Late Start")),MAX(0,Tasks[[#This Row],[Finish Var]])+1-Tasks[[#This Row],[_Row]]/1000000,"")</f>
        <v/>
      </c>
      <c r="GM178" s="43" t="str">
        <f aca="false">IF(AND(Tasks[[#This Row],[_IsLeaf]]=1,N(Tasks[[#This Row],[Actual Start]])=0,Tasks[[#This Row],[_ShownFcstStart]]&gt;=StatusDate,Tasks[[#This Row],[_ShownFcstStart]]&lt;=LookaheadEnd),Tasks[[#This Row],[_ShownFcstStart]]+Tasks[[#This Row],[_Row]]/100000,"")</f>
        <v/>
      </c>
      <c r="GN178" s="43" t="str">
        <f aca="false">IF(AND(Tasks[[#This Row],[_IsLeaf]]=1,Tasks[[#This Row],[_LeafProgress]]&lt;1,Tasks[[#This Row],[_ShownFcstFinish]]&gt;=StatusDate,Tasks[[#This Row],[_ShownFcstFinish]]&lt;=LookaheadEnd),Tasks[[#This Row],[_ShownFcstFinish]]+Tasks[[#This Row],[_Row]]/100000,"")</f>
        <v/>
      </c>
      <c r="GO178" s="43" t="str">
        <f aca="false">IF(Tasks[[#This Row],[_LeafCritical]],Tasks[[#This Row],[_ShownFcstStart]]+Tasks[[#This Row],[_Row]]/100000,"")</f>
        <v/>
      </c>
      <c r="GP178" s="43" t="n">
        <f aca="false">Tasks[[#This Row],[_LeafWork]]*Tasks[[#This Row],[_LeafProgress]]</f>
        <v>0</v>
      </c>
      <c r="GQ178" s="91" t="str">
        <f aca="false">IF(AND(Tasks[[#This Row],[_IsLeaf]]=1,Tasks[[#This Row],[_LeafProgress]]&gt;=1),IF(N(Tasks[[#This Row],[Actual Finish]])&gt;0,Tasks[[#This Row],[Actual Finish]],Tasks[[#This Row],[_ShownFcstFinish]]),"")</f>
        <v/>
      </c>
      <c r="GR178" s="43" t="n">
        <f aca="false">IF(Tasks[[#This Row],[_IsLeaf]]=1,N(Tasks[[#This Row],[Story Points]]),0)</f>
        <v>0</v>
      </c>
      <c r="GS178" s="43" t="str">
        <f aca="false">""</f>
        <v/>
      </c>
      <c r="GT178" s="90" t="b">
        <f aca="false">IF(Tasks[[#This Row],[Task Name]]="",FALSE(),AND(Tasks[[#This Row],[_IsLeaf]]=1,N(Tasks[[#This Row],[_Days]])=0))</f>
        <v>0</v>
      </c>
      <c r="GU178" s="91" t="n">
        <f aca="false">IF(Tasks[[#This Row],[Task Name]]="",0,IF(AND(Tasks[[#This Row],[_IsLeaf]]=1,NOT(Tasks[[#This Row],[_IsMilestone]]),N(Tasks[[#This Row],[Progress]])&gt;0),Tasks[[#This Row],[Start]],0))</f>
        <v>0</v>
      </c>
      <c r="GV178" s="91" t="n">
        <f aca="false">IF(Tasks[[#This Row],[_DoneFrom]]=0,0,IF(Tasks[[#This Row],[Progress]]&gt;=1,Tasks[[#This Row],[Finish]],MAX(Tasks[[#This Row],[_DoneFrom]],Tasks[[#This Row],[Start]]+ROUND((Tasks[[#This Row],[Finish]]-Tasks[[#This Row],[Start]]+1)*Tasks[[#This Row],[Progress]],0)-1)))</f>
        <v>0</v>
      </c>
      <c r="GW178" s="91" t="n">
        <f aca="false">IF(Tasks[[#This Row],[Task Name]]="",0,IF(OR(NOT(Tasks[[#This Row],[_IsLeaf]]=1),Tasks[[#This Row],[_IsMilestone]],N(Tasks[[#This Row],[Progress]])&gt;=1),0,IF(Tasks[[#This Row],[_DoneTo]]&gt;0,Tasks[[#This Row],[_DoneTo]]+1,Tasks[[#This Row],[Start]])))</f>
        <v>0</v>
      </c>
      <c r="GX178" s="91" t="n">
        <f aca="false">IF(Tasks[[#This Row],[_RemFrom]]=0,0,Tasks[[#This Row],[Finish]])</f>
        <v>0</v>
      </c>
      <c r="GY178" s="90" t="b">
        <f aca="false">IF(Tasks[[#This Row],[Task Name]]="",FALSE(),OR(NOT(BaselineSet),N(Tasks[[#This Row],[Baseline Start]])&gt;0))</f>
        <v>0</v>
      </c>
      <c r="GZ17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8" s="92" t="str">
        <f aca="false">IF(Tasks[[#This Row],[_IsLeaf]]=1,Tasks[[#This Row],[_Row]],"")</f>
        <v/>
      </c>
      <c r="HD178" s="92" t="str">
        <f aca="false">IFERROR(INDEX(Tasks[UID],SMALL(Tasks[_PickKey],Tasks[[#This Row],[_Row]]))&amp;" "&amp;INDEX(Tasks[Task Name],SMALL(Tasks[_PickKey],Tasks[[#This Row],[_Row]])),"")</f>
        <v/>
      </c>
      <c r="HE178" s="43" t="str">
        <f aca="false">IF(Tasks[[#This Row],[Task Name]]="","",IF(Tasks[[#This Row],[_IsSummary]],NETWORKDAYS.INTL(Tasks[[#This Row],[Start]],Tasks[[#This Row],[Finish]],WorkWeek,Holidays),N(Tasks[[#This Row],[_Days]])))</f>
        <v/>
      </c>
      <c r="HF178" s="43" t="n">
        <f aca="false">IF(Tasks[[#This Row],[Expected]]="",0,((Tasks[[#This Row],[Pessimistic]]-Tasks[[#This Row],[Optimistic]])/6)^2)</f>
        <v>0</v>
      </c>
      <c r="HG178" s="43" t="n">
        <f aca="false">IF(Tasks[[#This Row],[Expected]]="",0,Tasks[[#This Row],[Expected]]-N(Tasks[[#This Row],[_Days]]))</f>
        <v>0</v>
      </c>
    </row>
    <row r="179" customFormat="false" ht="15" hidden="false" customHeight="false" outlineLevel="0" collapsed="false">
      <c r="A179" s="21" t="str">
        <f aca="false">IF(Tasks[[#This Row],[Task Name]]="","",COUNTA(Tasks[[#Headers],[Task Name]]:Tasks[[#This Row],[Task Name]])-1)</f>
        <v/>
      </c>
      <c r="B179" s="22" t="n">
        <v>187</v>
      </c>
      <c r="C179" s="22"/>
      <c r="D179" s="23"/>
      <c r="E179" s="22"/>
      <c r="F179" s="23"/>
      <c r="G179" s="22"/>
      <c r="H179" s="22"/>
      <c r="I179" s="23"/>
      <c r="J179" s="22"/>
      <c r="K179" s="22"/>
      <c r="L179" s="23"/>
      <c r="M179" s="22"/>
      <c r="N179" s="22"/>
      <c r="O179" s="23"/>
      <c r="P179" s="22"/>
      <c r="Q179" s="22"/>
      <c r="R179" s="23"/>
      <c r="S179" s="23"/>
      <c r="T179" s="84"/>
      <c r="U179" s="23"/>
      <c r="V179" s="84"/>
      <c r="W179" s="23"/>
      <c r="X179" s="84"/>
      <c r="Y179" s="23"/>
      <c r="Z179" s="84"/>
      <c r="AA179" s="23"/>
      <c r="AB179" s="23"/>
      <c r="AC179" s="7"/>
      <c r="AD179" s="7"/>
      <c r="AE179" s="63" t="str">
        <f aca="false">IF(Tasks[[#This Row],[Task Name]]="","",IF(Tasks[[#This Row],[_IsSummary]],MIN(INDEX(Tasks[_ShownFcstStart],Tasks[[#This Row],[_Row]]+1):INDEX(Tasks[_ShownFcstStart],Tasks[[#This Row],[_Row]]+Tasks[[#This Row],[_Descendants]])),Tasks[[#This Row],[_ShownFcstStart]]))</f>
        <v/>
      </c>
      <c r="AF179" s="63" t="str">
        <f aca="false">IF(Tasks[[#This Row],[Task Name]]="","",IF(Tasks[[#This Row],[_IsSummary]],MAX(INDEX(Tasks[_ShownFcstFinish],Tasks[[#This Row],[_Row]]+1):INDEX(Tasks[_ShownFcstFinish],Tasks[[#This Row],[_Row]]+Tasks[[#This Row],[_Descendants]])),Tasks[[#This Row],[_ShownFcstFinish]]))</f>
        <v/>
      </c>
      <c r="AG179" s="21" t="str">
        <f aca="false">""</f>
        <v/>
      </c>
      <c r="AH179" s="23"/>
      <c r="AI1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9" s="7"/>
      <c r="AK179" s="22"/>
      <c r="AL179" s="23"/>
      <c r="AM179" s="7"/>
      <c r="AN179" s="47" t="str">
        <f aca="false">IF(Tasks[[#This Row],[Task Name]]="","",IF(Tasks[[#This Row],[Finish]]&gt;=Tasks[[#This Row],[Planned Finish]],NETWORKDAYS.INTL(Tasks[[#This Row],[Planned Finish]],Tasks[[#This Row],[Finish]],WorkWeek,Holidays)-1,1-NETWORKDAYS.INTL(Tasks[[#This Row],[Finish]],Tasks[[#This Row],[Planned Finish]],WorkWeek,Holidays)))</f>
        <v/>
      </c>
      <c r="AO179" s="21" t="str">
        <f aca="false">IF(Tasks[[#This Row],[Task Name]]="","",IF(Tasks[[#This Row],[Progress]]&gt;=1,"Complete",IF(OR(N(Tasks[[#This Row],[Actual Start]])&gt;0,Tasks[[#This Row],[Progress]]&gt;0),IF(Tasks[[#This Row],[Finish Var]]&gt;0,"Behind","In Progress"),IF(Tasks[[#This Row],[Planned Start]]&lt;StatusDate,"Late Start","Not Started"))))</f>
        <v/>
      </c>
      <c r="AP179" s="21" t="str">
        <f aca="false">IF(Tasks[[#This Row],[Task Name]]="","",IF(IF(Tasks[[#This Row],[_IsSummary]],COUNTIF(INDEX(Tasks[_LeafCritical],Tasks[[#This Row],[_Row]]+1):INDEX(Tasks[_LeafCritical],Tasks[[#This Row],[_Row]]+Tasks[[#This Row],[_Descendants]]),TRUE())&gt;0,Tasks[[#This Row],[_LeafCritical]]),"Yes",""))</f>
        <v/>
      </c>
      <c r="AQ179" s="63" t="str">
        <f aca="false">IF(Tasks[[#This Row],[Task Name]]="","",IF(N(Tasks[[#This Row],[Baseline Start]])&gt;0,Tasks[[#This Row],[Baseline Start]],Tasks[[#This Row],[_CalcStart]]))</f>
        <v/>
      </c>
      <c r="AR179" s="63" t="str">
        <f aca="false">IF(Tasks[[#This Row],[Task Name]]="","",IF(N(Tasks[[#This Row],[Baseline Finish]])&gt;0,Tasks[[#This Row],[Baseline Finish]],Tasks[[#This Row],[_CalcFinish]]))</f>
        <v/>
      </c>
      <c r="AS179" s="47" t="str">
        <f aca="false">IF(Tasks[[#This Row],[Task Name]]="","",IF(Tasks[[#This Row],[Start]]&gt;=Tasks[[#This Row],[Planned Start]],NETWORKDAYS.INTL(Tasks[[#This Row],[Planned Start]],Tasks[[#This Row],[Start]],WorkWeek,Holidays)-1,1-NETWORKDAYS.INTL(Tasks[[#This Row],[Start]],Tasks[[#This Row],[Planned Start]],WorkWeek,Holidays)))</f>
        <v/>
      </c>
      <c r="AT179" s="63" t="str">
        <f aca="false">IF(Tasks[[#This Row],[Task Name]]="","",IF(Tasks[[#This Row],[_IsSummary]],MIN(INDEX(Tasks[_LeafLateStart],Tasks[[#This Row],[_Row]]+1):INDEX(Tasks[_LeafLateStart],Tasks[[#This Row],[_Row]]+Tasks[[#This Row],[_Descendants]])),Tasks[[#This Row],[_LeafLateStart]]))</f>
        <v/>
      </c>
      <c r="AU179" s="63" t="str">
        <f aca="false">IF(Tasks[[#This Row],[Task Name]]="","",IF(Tasks[[#This Row],[_IsSummary]],MAX(INDEX(Tasks[_LeafLateFinish],Tasks[[#This Row],[_Row]]+1):INDEX(Tasks[_LeafLateFinish],Tasks[[#This Row],[_Row]]+Tasks[[#This Row],[_Descendants]])),Tasks[[#This Row],[_LeafLateFinish]]))</f>
        <v/>
      </c>
      <c r="AV179" s="47" t="str">
        <f aca="false">IF(Tasks[[#This Row],[Task Name]]="","",IF(Tasks[[#This Row],[_IsSummary]],MIN(INDEX(Tasks[_LeafTotalSlack],Tasks[[#This Row],[_Row]]+1):INDEX(Tasks[_LeafTotalSlack],Tasks[[#This Row],[_Row]]+Tasks[[#This Row],[_Descendants]])),Tasks[[#This Row],[_LeafTotalSlack]]))</f>
        <v/>
      </c>
      <c r="AW1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5"/>
      <c r="BA17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1" t="str">
        <f aca="false">IF(Tasks[[#This Row],[Task Name]]="","",IF(Tasks[[#This Row],[_Level]]&lt;=OutlineShowLevel,"Yes","No"))</f>
        <v/>
      </c>
      <c r="BE179" s="86" t="str">
        <f aca="false">IF(Tasks[[#This Row],[Task Name]]="","",IF(Tasks[[#This Row],[_IsSummary]],SUM(INDEX(Tasks[_LeafTotalWork],Tasks[[#This Row],[_Row]]+1):INDEX(Tasks[_LeafTotalWork],Tasks[[#This Row],[_Row]]+Tasks[[#This Row],[_Descendants]])),Tasks[[#This Row],[_LeafTotalWork]]))</f>
        <v/>
      </c>
      <c r="BF179" s="23"/>
      <c r="BG1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9" s="21" t="str">
        <f aca="false">""</f>
        <v/>
      </c>
      <c r="BI179" s="87"/>
      <c r="BJ179" s="22"/>
      <c r="BK179" s="47" t="str">
        <f aca="false">IF(OR(Tasks[[#This Row],[Task Name]]="",Tasks[[#This Row],[Baseline Duration]]=""),"",Tasks[[#This Row],[_SpanDays]]-N(Tasks[[#This Row],[Baseline Duration]]))</f>
        <v/>
      </c>
      <c r="BL179" s="86" t="str">
        <f aca="false">IF(OR(Tasks[[#This Row],[Task Name]]="",Tasks[[#This Row],[Baseline Work]]=""),"",Tasks[[#This Row],[Work]]-N(Tasks[[#This Row],[Baseline Work]]))</f>
        <v/>
      </c>
      <c r="BM179" s="63" t="str">
        <f aca="false">IF(Tasks[[#This Row],[Task Name]]="","",IF(OR(TakeBaseline="Yes",N(Tasks[[#This Row],[Baseline Start]])=0),Tasks[[#This Row],[Start]],Tasks[[#This Row],[Baseline Start]]))</f>
        <v/>
      </c>
      <c r="BN179" s="63" t="str">
        <f aca="false">IF(Tasks[[#This Row],[Task Name]]="","",IF(OR(TakeBaseline="Yes",N(Tasks[[#This Row],[Baseline Finish]])=0),Tasks[[#This Row],[Finish]],Tasks[[#This Row],[Baseline Finish]]))</f>
        <v/>
      </c>
      <c r="BO179" s="21" t="str">
        <f aca="false">IF(Tasks[[#This Row],[Task Name]]="","",IF(OR(TakeBaseline="Yes",N(Tasks[[#This Row],[Baseline Duration]])=0),Tasks[[#This Row],[_SpanDays]],Tasks[[#This Row],[Baseline Duration]]))</f>
        <v/>
      </c>
      <c r="BP179" s="86" t="str">
        <f aca="false">IF(Tasks[[#This Row],[Task Name]]="","",IF(OR(TakeBaseline="Yes",N(Tasks[[#This Row],[Baseline Work]])=0),Tasks[[#This Row],[Work]],Tasks[[#This Row],[Baseline Work]]))</f>
        <v/>
      </c>
      <c r="BQ179" s="7"/>
      <c r="BR179" s="7"/>
      <c r="BS179" s="22"/>
      <c r="BT179" s="88"/>
      <c r="BU179" s="23"/>
      <c r="BV179" s="23"/>
      <c r="BW179" s="23"/>
      <c r="BX179" s="89" t="str">
        <f aca="false">IF(AND(Tasks[[#This Row],[_IsLeaf]]=1,ISNUMBER(Tasks[[#This Row],[Optimistic]]),ISNUMBER(Tasks[[#This Row],[Pessimistic]])),ROUND((Tasks[[#This Row],[Optimistic]]+4*N(Tasks[[#This Row],[_Days]])+Tasks[[#This Row],[Pessimistic]])/6,1),"")</f>
        <v/>
      </c>
      <c r="BY179" s="87"/>
      <c r="BZ179" s="87"/>
      <c r="CA179" s="22"/>
      <c r="CB179" s="43" t="str">
        <f aca="false">IF(Tasks[[#This Row],[Task Name]]="","",MAX(1,N(Tasks[[#This Row],[Level]])))</f>
        <v/>
      </c>
      <c r="CC179" s="43" t="n">
        <f aca="false">ROW()-ROW(Tasks[[#Headers],[ID]])</f>
        <v>174</v>
      </c>
      <c r="CD179" s="43" t="n">
        <f aca="false">IF(OR(Tasks[[#This Row],[Task Name]]="",Tasks[[#This Row],[_Level]]&lt;=1),0,IFERROR(LOOKUP(2,1/(Tasks[[#Headers],[_Level]]:Tasks[[#This Row],[_Level]]=Tasks[[#This Row],[_Level]]-1),ROW(Tasks[[#Headers],[_Level]]:Tasks[[#This Row],[_Level]])),0))</f>
        <v>0</v>
      </c>
      <c r="CE179" s="43" t="n">
        <f aca="false">IFERROR(N(INDEX(Tasks[_Level],Tasks[[#This Row],[_Row]]+1)),0)</f>
        <v>0</v>
      </c>
      <c r="CF179" s="90" t="b">
        <f aca="false">AND(Tasks[[#This Row],[Task Name]]&lt;&gt;"",Tasks[[#This Row],[_NextLevel]]&gt;Tasks[[#This Row],[_Level]])</f>
        <v>0</v>
      </c>
      <c r="CG179" s="43" t="n">
        <f aca="false">IF(Tasks[[#This Row],[_IsSummary]],COUNTIF(Tasks[WBS],Tasks[[#This Row],[WBS]]&amp;".*"),0)</f>
        <v>0</v>
      </c>
      <c r="CH179" s="43" t="n">
        <f aca="false">IF(AND(Tasks[[#This Row],[Task Name]]&lt;&gt;"",NOT(Tasks[[#This Row],[_IsSummary]])),1,0)</f>
        <v>0</v>
      </c>
      <c r="CI179" s="43" t="n">
        <f aca="false">IF(N(Tasks[[#This Row],[_Pred1UID]])=0,0,IFERROR(MATCH(Tasks[[#This Row],[_Pred1UID]],Tasks[UID],0),-1))</f>
        <v>0</v>
      </c>
      <c r="CJ179" s="43" t="n">
        <f aca="false">IF(N(Tasks[[#This Row],[_Pred2UID]])=0,0,IFERROR(MATCH(Tasks[[#This Row],[_Pred2UID]],Tasks[UID],0),-1))</f>
        <v>0</v>
      </c>
      <c r="CK179" s="43" t="n">
        <f aca="false">IF(N(Tasks[[#This Row],[_Pred3UID]])=0,0,IFERROR(MATCH(Tasks[[#This Row],[_Pred3UID]],Tasks[UID],0),-1))</f>
        <v>0</v>
      </c>
      <c r="CL179" s="43" t="n">
        <f aca="false">IF(N(Tasks[[#This Row],[_Pred4UID]])=0,0,IFERROR(MATCH(Tasks[[#This Row],[_Pred4UID]],Tasks[UID],0),-1))</f>
        <v>0</v>
      </c>
      <c r="CM17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9" s="91" t="n">
        <f aca="false">IF(OR(Tasks[[#This Row],[_ConstraintCode]]=2,Tasks[[#This Row],[_ConstraintCode]]=3,Tasks[[#This Row],[_ConstraintCode]]=4,Tasks[[#This Row],[_ConstraintCode]]=6),Tasks[[#This Row],[_ConstraintStart]],0)</f>
        <v>0</v>
      </c>
      <c r="CP179" s="91" t="n">
        <f aca="false">IF(OR(Tasks[[#This Row],[_ConstraintCode]]=2,Tasks[[#This Row],[_ConstraintCode]]=3,Tasks[[#This Row],[_ConstraintCode]]=5,Tasks[[#This Row],[_ConstraintCode]]=7),Tasks[[#This Row],[_ConstraintStart]],2958465)</f>
        <v>2958465</v>
      </c>
      <c r="CQ17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9" s="91" t="str">
        <f aca="false">IF(NOT(Tasks[[#This Row],[_IsLeaf]]=1),"",IF(N(Tasks[[#This Row],[_Days]])&lt;=0,Tasks[[#This Row],[_LeafCalcStart]],WORKDAY.INTL(Tasks[[#This Row],[_LeafCalcStart]],Tasks[[#This Row],[_Days]]-1,WorkWeek,Holidays)))</f>
        <v/>
      </c>
      <c r="CS17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9" s="43" t="str">
        <f aca="false">IF(Tasks[[#This Row],[_Predecessors]]="","",TRIM(MID(SUBSTITUTE(SUBSTITUTE(SUBSTITUTE(UPPER(Tasks[[#This Row],[_Predecessors]]),";",",")," ",""),",",REPT(" ",99)),1,99)))</f>
        <v/>
      </c>
      <c r="CV179" s="43" t="str">
        <f aca="false">IF(Tasks[[#This Row],[_Pred1Text]]="","",IFERROR(VALUE(LEFT(Tasks[[#This Row],[_Pred1Text]],MIN(FIND("F",Tasks[[#This Row],[_Pred1Text]]&amp;"F"),FIND("S",Tasks[[#This Row],[_Pred1Text]]&amp;"S"),FIND("+",Tasks[[#This Row],[_Pred1Text]]&amp;"+"),FIND("-",Tasks[[#This Row],[_Pred1Text]]&amp;"-"))-1)),""))</f>
        <v/>
      </c>
      <c r="CW17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9" s="43" t="str">
        <f aca="false">IF(Tasks[[#This Row],[_Pred1Text]]="","",TRIM(MID(SUBSTITUTE(SUBSTITUTE(SUBSTITUTE(UPPER(Tasks[[#This Row],[_Predecessors]]),";",",")," ",""),",",REPT(" ",99)),100,99)))</f>
        <v/>
      </c>
      <c r="CZ179" s="43" t="str">
        <f aca="false">IF(Tasks[[#This Row],[_Pred2Text]]="","",IFERROR(VALUE(LEFT(Tasks[[#This Row],[_Pred2Text]],MIN(FIND("F",Tasks[[#This Row],[_Pred2Text]]&amp;"F"),FIND("S",Tasks[[#This Row],[_Pred2Text]]&amp;"S"),FIND("+",Tasks[[#This Row],[_Pred2Text]]&amp;"+"),FIND("-",Tasks[[#This Row],[_Pred2Text]]&amp;"-"))-1)),""))</f>
        <v/>
      </c>
      <c r="DA17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9" s="43" t="str">
        <f aca="false">IF(Tasks[[#This Row],[_Pred2Text]]="","",TRIM(MID(SUBSTITUTE(SUBSTITUTE(SUBSTITUTE(UPPER(Tasks[[#This Row],[_Predecessors]]),";",",")," ",""),",",REPT(" ",99)),199,99)))</f>
        <v/>
      </c>
      <c r="DD179" s="43" t="str">
        <f aca="false">IF(Tasks[[#This Row],[_Pred3Text]]="","",IFERROR(VALUE(LEFT(Tasks[[#This Row],[_Pred3Text]],MIN(FIND("F",Tasks[[#This Row],[_Pred3Text]]&amp;"F"),FIND("S",Tasks[[#This Row],[_Pred3Text]]&amp;"S"),FIND("+",Tasks[[#This Row],[_Pred3Text]]&amp;"+"),FIND("-",Tasks[[#This Row],[_Pred3Text]]&amp;"-"))-1)),""))</f>
        <v/>
      </c>
      <c r="DE17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9" s="43" t="str">
        <f aca="false">IF(Tasks[[#This Row],[_Pred3Text]]="","",TRIM(MID(SUBSTITUTE(SUBSTITUTE(SUBSTITUTE(UPPER(Tasks[[#This Row],[_Predecessors]]),";",",")," ",""),",",REPT(" ",99)),298,99)))</f>
        <v/>
      </c>
      <c r="DH179" s="43" t="str">
        <f aca="false">IF(Tasks[[#This Row],[_Pred4Text]]="","",IFERROR(VALUE(LEFT(Tasks[[#This Row],[_Pred4Text]],MIN(FIND("F",Tasks[[#This Row],[_Pred4Text]]&amp;"F"),FIND("S",Tasks[[#This Row],[_Pred4Text]]&amp;"S"),FIND("+",Tasks[[#This Row],[_Pred4Text]]&amp;"+"),FIND("-",Tasks[[#This Row],[_Pred4Text]]&amp;"-"))-1)),""))</f>
        <v/>
      </c>
      <c r="DI17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9" s="43" t="str">
        <f aca="false">IF(OR(Tasks[[#This Row],[Task Name]]="",Tasks[[#This Row],[_Resources]]=""),"",TRIM(MID(SUBSTITUTE(Tasks[[#This Row],[_Resources]],",",REPT(" ",99)),1,99)))</f>
        <v/>
      </c>
      <c r="DL179" s="43" t="str">
        <f aca="false">IF(Tasks[[#This Row],[_Res1Text]]="","",TRIM(MID(SUBSTITUTE(Tasks[[#This Row],[_Resources]],",",REPT(" ",99)),100,99)))</f>
        <v/>
      </c>
      <c r="DM179" s="43" t="str">
        <f aca="false">IF(Tasks[[#This Row],[_Res2Text]]="","",TRIM(MID(SUBSTITUTE(Tasks[[#This Row],[_Resources]],",",REPT(" ",99)),199,99)))</f>
        <v/>
      </c>
      <c r="DN179" s="43" t="str">
        <f aca="false">IF(Tasks[[#This Row],[_Res3Text]]="","",TRIM(MID(SUBSTITUTE(Tasks[[#This Row],[_Resources]],",",REPT(" ",99)),298,99)))</f>
        <v/>
      </c>
      <c r="DO179" s="43" t="n">
        <f aca="false">IF(Tasks[[#This Row],[_Res1Text]]="",0,IFERROR(MATCH(TRIM(LEFT(Tasks[[#This Row],[_Res1Text]],FIND("[",Tasks[[#This Row],[_Res1Text]]&amp;"[")-1)),res_Name,0),IFERROR(MATCH(TRIM(LEFT(Tasks[[#This Row],[_Res1Text]],FIND("[",Tasks[[#This Row],[_Res1Text]]&amp;"[")-1)),res_Initials,0),0)))</f>
        <v>0</v>
      </c>
      <c r="DP179" s="43" t="n">
        <f aca="false">IF(Tasks[[#This Row],[_Res2Text]]="",0,IFERROR(MATCH(TRIM(LEFT(Tasks[[#This Row],[_Res2Text]],FIND("[",Tasks[[#This Row],[_Res2Text]]&amp;"[")-1)),res_Name,0),IFERROR(MATCH(TRIM(LEFT(Tasks[[#This Row],[_Res2Text]],FIND("[",Tasks[[#This Row],[_Res2Text]]&amp;"[")-1)),res_Initials,0),0)))</f>
        <v>0</v>
      </c>
      <c r="DQ179" s="43" t="n">
        <f aca="false">IF(Tasks[[#This Row],[_Res3Text]]="",0,IFERROR(MATCH(TRIM(LEFT(Tasks[[#This Row],[_Res3Text]],FIND("[",Tasks[[#This Row],[_Res3Text]]&amp;"[")-1)),res_Name,0),IFERROR(MATCH(TRIM(LEFT(Tasks[[#This Row],[_Res3Text]],FIND("[",Tasks[[#This Row],[_Res3Text]]&amp;"[")-1)),res_Initials,0),0)))</f>
        <v>0</v>
      </c>
      <c r="DR179" s="43" t="n">
        <f aca="false">IF(Tasks[[#This Row],[_Res4Text]]="",0,IFERROR(MATCH(TRIM(LEFT(Tasks[[#This Row],[_Res4Text]],FIND("[",Tasks[[#This Row],[_Res4Text]]&amp;"[")-1)),res_Name,0),IFERROR(MATCH(TRIM(LEFT(Tasks[[#This Row],[_Res4Text]],FIND("[",Tasks[[#This Row],[_Res4Text]]&amp;"[")-1)),res_Initials,0),0)))</f>
        <v>0</v>
      </c>
      <c r="DS179" s="43" t="str">
        <f aca="false">IF(Tasks[[#This Row],[_Res1Text]]="","",IF(Tasks[[#This Row],[_Res1Row]]&gt;0,INDEX(res_Name,Tasks[[#This Row],[_Res1Row]]),TRIM(LEFT(Tasks[[#This Row],[_Res1Text]],FIND("[",Tasks[[#This Row],[_Res1Text]]&amp;"[")-1))))</f>
        <v/>
      </c>
      <c r="DT17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9" s="43" t="n">
        <f aca="false">IF(NOT(Tasks[[#This Row],[_IsLeaf]]=1),0,(Tasks[[#This Row],[_Resource1]]&lt;&gt;"")+(Tasks[[#This Row],[_Res2]]&lt;&gt;"")+(Tasks[[#This Row],[_Res3]]&lt;&gt;"")+(Tasks[[#This Row],[_Res4]]&lt;&gt;""))</f>
        <v>0</v>
      </c>
      <c r="DV179" s="43" t="str">
        <f aca="false">IF(Tasks[[#This Row],[_Res2Text]]="","",IF(Tasks[[#This Row],[_Res2Row]]&gt;0,INDEX(res_Name,Tasks[[#This Row],[_Res2Row]]),TRIM(LEFT(Tasks[[#This Row],[_Res2Text]],FIND("[",Tasks[[#This Row],[_Res2Text]]&amp;"[")-1))))</f>
        <v/>
      </c>
      <c r="DW17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9" s="43" t="n">
        <f aca="false">IF(OR(NOT(Tasks[[#This Row],[_IsLeaf]]=1),Tasks[[#This Row],[_Res2Row]]=0),0,N(Tasks[[#This Row],[_Days]])*HoursPerDay*IF(Tasks[[#This Row],[_Res2Units]]="",DefaultUnits,Tasks[[#This Row],[_Res2Units]]))</f>
        <v>0</v>
      </c>
      <c r="DY179" s="43" t="n">
        <f aca="false">IF(AND(AND(Tasks[[#This Row],[_IsLeaf]]=1,Tasks[[#This Row],[_LeafTotalWork]]&gt;0),Tasks[[#This Row],[_Res2Work]]&gt;0),Tasks[[#This Row],[_Res2Work]]/(Tasks[[#This Row],[_FinishWorkday]]-Tasks[[#This Row],[_StartWorkday]]+1),0)</f>
        <v>0</v>
      </c>
      <c r="DZ179" s="43" t="n">
        <f aca="false">Tasks[[#This Row],[_Res2WorkPerWD]]*MAX(0,Tasks[[#This Row],[_StartWorkday]]-1)</f>
        <v>0</v>
      </c>
      <c r="EA179" s="43" t="n">
        <f aca="false">Tasks[[#This Row],[_Res2Work]]*Tasks[[#This Row],[_LeafProgress]]</f>
        <v>0</v>
      </c>
      <c r="EB179" s="43" t="str">
        <f aca="false">IF(Tasks[[#This Row],[_Res3Text]]="","",IF(Tasks[[#This Row],[_Res3Row]]&gt;0,INDEX(res_Name,Tasks[[#This Row],[_Res3Row]]),TRIM(LEFT(Tasks[[#This Row],[_Res3Text]],FIND("[",Tasks[[#This Row],[_Res3Text]]&amp;"[")-1))))</f>
        <v/>
      </c>
      <c r="EC17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9" s="43" t="n">
        <f aca="false">IF(OR(NOT(Tasks[[#This Row],[_IsLeaf]]=1),Tasks[[#This Row],[_Res3Row]]=0),0,N(Tasks[[#This Row],[_Days]])*HoursPerDay*IF(Tasks[[#This Row],[_Res3Units]]="",DefaultUnits,Tasks[[#This Row],[_Res3Units]]))</f>
        <v>0</v>
      </c>
      <c r="EE179" s="43" t="n">
        <f aca="false">IF(AND(AND(Tasks[[#This Row],[_IsLeaf]]=1,Tasks[[#This Row],[_LeafTotalWork]]&gt;0),Tasks[[#This Row],[_Res3Work]]&gt;0),Tasks[[#This Row],[_Res3Work]]/(Tasks[[#This Row],[_FinishWorkday]]-Tasks[[#This Row],[_StartWorkday]]+1),0)</f>
        <v>0</v>
      </c>
      <c r="EF179" s="43" t="n">
        <f aca="false">Tasks[[#This Row],[_Res3WorkPerWD]]*MAX(0,Tasks[[#This Row],[_StartWorkday]]-1)</f>
        <v>0</v>
      </c>
      <c r="EG179" s="43" t="n">
        <f aca="false">Tasks[[#This Row],[_Res3Work]]*Tasks[[#This Row],[_LeafProgress]]</f>
        <v>0</v>
      </c>
      <c r="EH179" s="43" t="str">
        <f aca="false">IF(Tasks[[#This Row],[_Res4Text]]="","",IF(Tasks[[#This Row],[_Res4Row]]&gt;0,INDEX(res_Name,Tasks[[#This Row],[_Res4Row]]),TRIM(LEFT(Tasks[[#This Row],[_Res4Text]],FIND("[",Tasks[[#This Row],[_Res4Text]]&amp;"[")-1))))</f>
        <v/>
      </c>
      <c r="EI17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9" s="43" t="n">
        <f aca="false">IF(OR(NOT(Tasks[[#This Row],[_IsLeaf]]=1),Tasks[[#This Row],[_Res4Row]]=0),0,N(Tasks[[#This Row],[_Days]])*HoursPerDay*IF(Tasks[[#This Row],[_Res4Units]]="",DefaultUnits,Tasks[[#This Row],[_Res4Units]]))</f>
        <v>0</v>
      </c>
      <c r="EK179" s="43" t="n">
        <f aca="false">IF(AND(AND(Tasks[[#This Row],[_IsLeaf]]=1,Tasks[[#This Row],[_LeafTotalWork]]&gt;0),Tasks[[#This Row],[_Res4Work]]&gt;0),Tasks[[#This Row],[_Res4Work]]/(Tasks[[#This Row],[_FinishWorkday]]-Tasks[[#This Row],[_StartWorkday]]+1),0)</f>
        <v>0</v>
      </c>
      <c r="EL179" s="43" t="n">
        <f aca="false">Tasks[[#This Row],[_Res4WorkPerWD]]*MAX(0,Tasks[[#This Row],[_StartWorkday]]-1)</f>
        <v>0</v>
      </c>
      <c r="EM179" s="43" t="n">
        <f aca="false">Tasks[[#This Row],[_Res4Work]]*Tasks[[#This Row],[_LeafProgress]]</f>
        <v>0</v>
      </c>
      <c r="EN179" s="43" t="n">
        <f aca="false">IF(ISNUMBER(Tasks[[#This Row],[% Complete]]),Tasks[[#This Row],[% Complete]],IF(Tasks[[#This Row],[Stage]]="",0,IFERROR(INDEX(stg_Pct,MATCH(Tasks[[#This Row],[Stage]],stg_Name,0)),0)))</f>
        <v>0</v>
      </c>
      <c r="EO179" s="43" t="n">
        <f aca="false">IF(NOT(Tasks[[#This Row],[_IsLeaf]]=1),0,IF(N(Tasks[[#This Row],[Actual Finish]])&gt;0,1,MIN(1,Tasks[[#This Row],[_Pct]])))</f>
        <v>0</v>
      </c>
      <c r="EP179" s="43" t="n">
        <f aca="false">IF(OR(NOT(Tasks[[#This Row],[_IsLeaf]]=1),Tasks[[#This Row],[_Res1Row]]=0),0,N(Tasks[[#This Row],[_Days]])*HoursPerDay*IF(Tasks[[#This Row],[_Units1]]="",DefaultUnits,Tasks[[#This Row],[_Units1]]))</f>
        <v>0</v>
      </c>
      <c r="EQ179" s="43" t="n">
        <f aca="false">Tasks[[#This Row],[_LeafWork]]+Tasks[[#This Row],[_Res2Work]]+Tasks[[#This Row],[_Res3Work]]+Tasks[[#This Row],[_Res4Work]]</f>
        <v>0</v>
      </c>
      <c r="ER17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9" s="43" t="n">
        <f aca="false">IF(NOT(Tasks[[#This Row],[_IsLeaf]]=1),0,MAX(_xlfn.MAXIFS(Tasks[_Row],Tasks[_Pred1UID],Tasks[[#This Row],[UID]]),_xlfn.MAXIFS(Tasks[_Row],Tasks[_Pred2UID],Tasks[[#This Row],[UID]]),_xlfn.MAXIFS(Tasks[_Row],Tasks[_Pred3UID],Tasks[[#This Row],[UID]]),_xlfn.MAXIFS(Tasks[_Row],Tasks[_Pred4UID],Tasks[[#This Row],[UID]])))</f>
        <v>0</v>
      </c>
      <c r="FA17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9" s="91" t="str">
        <f aca="false">IF(NOT(Tasks[[#This Row],[_IsLeaf]]=1),"",IF(N(Tasks[[#This Row],[_Days]])&lt;=0,Tasks[[#This Row],[_LeafLateFinish]],WORKDAY.INTL(Tasks[[#This Row],[_LeafLateFinish]],-(Tasks[[#This Row],[_Days]]-1),WorkWeek,Holidays)))</f>
        <v/>
      </c>
      <c r="FD17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9" s="90" t="b">
        <f aca="false">AND(Tasks[[#This Row],[_IsLeaf]]=1,Tasks[[#This Row],[_LeafProgress]]&lt;1,N(Tasks[[#This Row],[_LeafTotalSlack]])&lt;=CriticalSlackDays)</f>
        <v>0</v>
      </c>
      <c r="FF179" s="43" t="n">
        <f aca="false">IF(AND(Tasks[[#This Row],[_IsLeaf]]=1,Tasks[[#This Row],[_ConstraintCode]]=1,Tasks[[#This Row],[Mode]]&lt;&gt;"Manual",N(Tasks[[#This Row],[Actual Start]])=0),MAX(0,N(Tasks[[#This Row],[Free Slack]])),0)</f>
        <v>0</v>
      </c>
      <c r="FG179" s="91" t="str">
        <f aca="false">IF(NOT(Tasks[[#This Row],[_IsLeaf]]=1),"",IF(Tasks[[#This Row],[_AlapShift]]=0,Tasks[[#This Row],[_LeafCalcStart]],WORKDAY.INTL(Tasks[[#This Row],[_LeafCalcStart]],Tasks[[#This Row],[_AlapShift]],WorkWeek,Holidays)))</f>
        <v/>
      </c>
      <c r="FH179" s="91" t="str">
        <f aca="false">IF(NOT(Tasks[[#This Row],[_IsLeaf]]=1),"",IF(Tasks[[#This Row],[_AlapShift]]=0,Tasks[[#This Row],[_LeafCalcFinish]],WORKDAY.INTL(Tasks[[#This Row],[_LeafCalcFinish]],Tasks[[#This Row],[_AlapShift]],WorkWeek,Holidays)))</f>
        <v/>
      </c>
      <c r="FI179" s="91" t="str">
        <f aca="false">IF(NOT(Tasks[[#This Row],[_IsLeaf]]=1),"",IF(Tasks[[#This Row],[_AlapShift]]=0,Tasks[[#This Row],[_LeafFcstStart]],WORKDAY.INTL(Tasks[[#This Row],[_LeafFcstStart]],Tasks[[#This Row],[_AlapShift]],WorkWeek,Holidays)))</f>
        <v/>
      </c>
      <c r="FJ179" s="91" t="str">
        <f aca="false">IF(NOT(Tasks[[#This Row],[_IsLeaf]]=1),"",IF(Tasks[[#This Row],[_AlapShift]]=0,Tasks[[#This Row],[_LeafFcstFinish]],WORKDAY.INTL(Tasks[[#This Row],[_LeafFcstFinish]],Tasks[[#This Row],[_AlapShift]],WorkWeek,Holidays)))</f>
        <v/>
      </c>
      <c r="FK179" s="91" t="str">
        <f aca="false">IF(Tasks[[#This Row],[Task Name]]="","",IF(Tasks[[#This Row],[_IsSummary]],MIN(INDEX(Tasks[_ShownCalcStart],Tasks[[#This Row],[_Row]]+1):INDEX(Tasks[_ShownCalcStart],Tasks[[#This Row],[_Row]]+Tasks[[#This Row],[_Descendants]])),Tasks[[#This Row],[_ShownCalcStart]]))</f>
        <v/>
      </c>
      <c r="FL179" s="91" t="str">
        <f aca="false">IF(Tasks[[#This Row],[Task Name]]="","",IF(Tasks[[#This Row],[_IsSummary]],MAX(INDEX(Tasks[_ShownCalcFinish],Tasks[[#This Row],[_Row]]+1):INDEX(Tasks[_ShownCalcFinish],Tasks[[#This Row],[_Row]]+Tasks[[#This Row],[_Descendants]])),Tasks[[#This Row],[_ShownCalcFinish]]))</f>
        <v/>
      </c>
      <c r="FM17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9" s="43" t="n">
        <f aca="false">IF(AND(Tasks[[#This Row],[_IsLeaf]]=1,Tasks[[#This Row],[_LeafTotalWork]]&gt;0),NETWORKDAYS.INTL(ProjectStart,Tasks[[#This Row],[_ShownFcstStart]],WorkWeek,Holidays),0)</f>
        <v>0</v>
      </c>
      <c r="FZ179" s="43" t="n">
        <f aca="false">IF(AND(Tasks[[#This Row],[_IsLeaf]]=1,Tasks[[#This Row],[_LeafTotalWork]]&gt;0),MAX(Tasks[[#This Row],[_StartWorkday]],NETWORKDAYS.INTL(ProjectStart,Tasks[[#This Row],[_ShownFcstFinish]],WorkWeek,Holidays)),0)</f>
        <v>0</v>
      </c>
      <c r="GA179" s="43" t="n">
        <f aca="false">IF(AND(Tasks[[#This Row],[_IsLeaf]]=1,Tasks[[#This Row],[_LeafTotalWork]]&gt;0),Tasks[[#This Row],[_LeafWork]]/(Tasks[[#This Row],[_FinishWorkday]]-Tasks[[#This Row],[_StartWorkday]]+1),0)</f>
        <v>0</v>
      </c>
      <c r="GB179" s="43" t="n">
        <f aca="false">Tasks[[#This Row],[_WorkPerWorkday]]*(Tasks[[#This Row],[_StartWorkday]]-1)</f>
        <v>-0</v>
      </c>
      <c r="GC179" s="43" t="n">
        <f aca="false">IF(Tasks[[#This Row],[_IsLeaf]]=1,MAX(N(Tasks[[#This Row],[_Days]]),0.1),0)</f>
        <v>0</v>
      </c>
      <c r="GD179" s="43" t="n">
        <f aca="false">Tasks[[#This Row],[_WeightDur]]*Tasks[[#This Row],[_LeafProgress]]</f>
        <v>0</v>
      </c>
      <c r="GE179" s="43" t="n">
        <f aca="false">Tasks[[#This Row],[_WeightDur]]*Tasks[[#This Row],[_PlannedPct]]</f>
        <v>0</v>
      </c>
      <c r="GF17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9" s="43" t="str">
        <f aca="false">IF(AND(Tasks[[#This Row],[_IsLeaf]]=1,N(Tasks[[#This Row],[_Days]])=0,Tasks[[#This Row],[_LeafProgress]]&lt;1),Tasks[[#This Row],[_ShownFcstFinish]]+Tasks[[#This Row],[_Row]]/100000,"")</f>
        <v/>
      </c>
      <c r="GH17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9" s="43" t="str">
        <f aca="false">IF(Tasks[[#This Row],[Task Name]]="","",LEFT(Tasks[[#This Row],[WBS]],FIND(".",Tasks[[#This Row],[WBS]]&amp;".")-1))</f>
        <v/>
      </c>
      <c r="GJ179" s="43" t="str">
        <f aca="false">IF(AND(Tasks[[#This Row],[Task Name]]&lt;&gt;"",Tasks[[#This Row],[_Level]]=1),Tasks[[#This Row],[_Row]],"")</f>
        <v/>
      </c>
      <c r="GK179" s="43" t="str">
        <f aca="false">IF(AND(Tasks[[#This Row],[_IsLeaf]]=1,N(Tasks[[#This Row],[_Days]])=0),Tasks[[#This Row],[Planned Finish]]+Tasks[[#This Row],[_Row]]/100000,"")</f>
        <v/>
      </c>
      <c r="GL179" s="43" t="str">
        <f aca="false">IF(AND(Tasks[[#This Row],[_IsLeaf]]=1,Tasks[[#This Row],[_LeafProgress]]&lt;1,OR(N(Tasks[[#This Row],[Finish Var]])&gt;0,Tasks[[#This Row],[Status]]="Late Start")),MAX(0,Tasks[[#This Row],[Finish Var]])+1-Tasks[[#This Row],[_Row]]/1000000,"")</f>
        <v/>
      </c>
      <c r="GM179" s="43" t="str">
        <f aca="false">IF(AND(Tasks[[#This Row],[_IsLeaf]]=1,N(Tasks[[#This Row],[Actual Start]])=0,Tasks[[#This Row],[_ShownFcstStart]]&gt;=StatusDate,Tasks[[#This Row],[_ShownFcstStart]]&lt;=LookaheadEnd),Tasks[[#This Row],[_ShownFcstStart]]+Tasks[[#This Row],[_Row]]/100000,"")</f>
        <v/>
      </c>
      <c r="GN179" s="43" t="str">
        <f aca="false">IF(AND(Tasks[[#This Row],[_IsLeaf]]=1,Tasks[[#This Row],[_LeafProgress]]&lt;1,Tasks[[#This Row],[_ShownFcstFinish]]&gt;=StatusDate,Tasks[[#This Row],[_ShownFcstFinish]]&lt;=LookaheadEnd),Tasks[[#This Row],[_ShownFcstFinish]]+Tasks[[#This Row],[_Row]]/100000,"")</f>
        <v/>
      </c>
      <c r="GO179" s="43" t="str">
        <f aca="false">IF(Tasks[[#This Row],[_LeafCritical]],Tasks[[#This Row],[_ShownFcstStart]]+Tasks[[#This Row],[_Row]]/100000,"")</f>
        <v/>
      </c>
      <c r="GP179" s="43" t="n">
        <f aca="false">Tasks[[#This Row],[_LeafWork]]*Tasks[[#This Row],[_LeafProgress]]</f>
        <v>0</v>
      </c>
      <c r="GQ179" s="91" t="str">
        <f aca="false">IF(AND(Tasks[[#This Row],[_IsLeaf]]=1,Tasks[[#This Row],[_LeafProgress]]&gt;=1),IF(N(Tasks[[#This Row],[Actual Finish]])&gt;0,Tasks[[#This Row],[Actual Finish]],Tasks[[#This Row],[_ShownFcstFinish]]),"")</f>
        <v/>
      </c>
      <c r="GR179" s="43" t="n">
        <f aca="false">IF(Tasks[[#This Row],[_IsLeaf]]=1,N(Tasks[[#This Row],[Story Points]]),0)</f>
        <v>0</v>
      </c>
      <c r="GS179" s="43" t="str">
        <f aca="false">""</f>
        <v/>
      </c>
      <c r="GT179" s="90" t="b">
        <f aca="false">IF(Tasks[[#This Row],[Task Name]]="",FALSE(),AND(Tasks[[#This Row],[_IsLeaf]]=1,N(Tasks[[#This Row],[_Days]])=0))</f>
        <v>0</v>
      </c>
      <c r="GU179" s="91" t="n">
        <f aca="false">IF(Tasks[[#This Row],[Task Name]]="",0,IF(AND(Tasks[[#This Row],[_IsLeaf]]=1,NOT(Tasks[[#This Row],[_IsMilestone]]),N(Tasks[[#This Row],[Progress]])&gt;0),Tasks[[#This Row],[Start]],0))</f>
        <v>0</v>
      </c>
      <c r="GV179" s="91" t="n">
        <f aca="false">IF(Tasks[[#This Row],[_DoneFrom]]=0,0,IF(Tasks[[#This Row],[Progress]]&gt;=1,Tasks[[#This Row],[Finish]],MAX(Tasks[[#This Row],[_DoneFrom]],Tasks[[#This Row],[Start]]+ROUND((Tasks[[#This Row],[Finish]]-Tasks[[#This Row],[Start]]+1)*Tasks[[#This Row],[Progress]],0)-1)))</f>
        <v>0</v>
      </c>
      <c r="GW179" s="91" t="n">
        <f aca="false">IF(Tasks[[#This Row],[Task Name]]="",0,IF(OR(NOT(Tasks[[#This Row],[_IsLeaf]]=1),Tasks[[#This Row],[_IsMilestone]],N(Tasks[[#This Row],[Progress]])&gt;=1),0,IF(Tasks[[#This Row],[_DoneTo]]&gt;0,Tasks[[#This Row],[_DoneTo]]+1,Tasks[[#This Row],[Start]])))</f>
        <v>0</v>
      </c>
      <c r="GX179" s="91" t="n">
        <f aca="false">IF(Tasks[[#This Row],[_RemFrom]]=0,0,Tasks[[#This Row],[Finish]])</f>
        <v>0</v>
      </c>
      <c r="GY179" s="90" t="b">
        <f aca="false">IF(Tasks[[#This Row],[Task Name]]="",FALSE(),OR(NOT(BaselineSet),N(Tasks[[#This Row],[Baseline Start]])&gt;0))</f>
        <v>0</v>
      </c>
      <c r="GZ17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9" s="92" t="str">
        <f aca="false">IF(Tasks[[#This Row],[_IsLeaf]]=1,Tasks[[#This Row],[_Row]],"")</f>
        <v/>
      </c>
      <c r="HD179" s="92" t="str">
        <f aca="false">IFERROR(INDEX(Tasks[UID],SMALL(Tasks[_PickKey],Tasks[[#This Row],[_Row]]))&amp;" "&amp;INDEX(Tasks[Task Name],SMALL(Tasks[_PickKey],Tasks[[#This Row],[_Row]])),"")</f>
        <v/>
      </c>
      <c r="HE179" s="43" t="str">
        <f aca="false">IF(Tasks[[#This Row],[Task Name]]="","",IF(Tasks[[#This Row],[_IsSummary]],NETWORKDAYS.INTL(Tasks[[#This Row],[Start]],Tasks[[#This Row],[Finish]],WorkWeek,Holidays),N(Tasks[[#This Row],[_Days]])))</f>
        <v/>
      </c>
      <c r="HF179" s="43" t="n">
        <f aca="false">IF(Tasks[[#This Row],[Expected]]="",0,((Tasks[[#This Row],[Pessimistic]]-Tasks[[#This Row],[Optimistic]])/6)^2)</f>
        <v>0</v>
      </c>
      <c r="HG179" s="43" t="n">
        <f aca="false">IF(Tasks[[#This Row],[Expected]]="",0,Tasks[[#This Row],[Expected]]-N(Tasks[[#This Row],[_Days]]))</f>
        <v>0</v>
      </c>
    </row>
    <row r="180" customFormat="false" ht="15" hidden="false" customHeight="false" outlineLevel="0" collapsed="false">
      <c r="A180" s="21" t="str">
        <f aca="false">IF(Tasks[[#This Row],[Task Name]]="","",COUNTA(Tasks[[#Headers],[Task Name]]:Tasks[[#This Row],[Task Name]])-1)</f>
        <v/>
      </c>
      <c r="B180" s="22" t="n">
        <v>188</v>
      </c>
      <c r="C180" s="22"/>
      <c r="D180" s="23"/>
      <c r="E180" s="22"/>
      <c r="F180" s="23"/>
      <c r="G180" s="22"/>
      <c r="H180" s="22"/>
      <c r="I180" s="23"/>
      <c r="J180" s="22"/>
      <c r="K180" s="22"/>
      <c r="L180" s="23"/>
      <c r="M180" s="22"/>
      <c r="N180" s="22"/>
      <c r="O180" s="23"/>
      <c r="P180" s="22"/>
      <c r="Q180" s="22"/>
      <c r="R180" s="23"/>
      <c r="S180" s="23"/>
      <c r="T180" s="84"/>
      <c r="U180" s="23"/>
      <c r="V180" s="84"/>
      <c r="W180" s="23"/>
      <c r="X180" s="84"/>
      <c r="Y180" s="23"/>
      <c r="Z180" s="84"/>
      <c r="AA180" s="23"/>
      <c r="AB180" s="23"/>
      <c r="AC180" s="7"/>
      <c r="AD180" s="7"/>
      <c r="AE180" s="63" t="str">
        <f aca="false">IF(Tasks[[#This Row],[Task Name]]="","",IF(Tasks[[#This Row],[_IsSummary]],MIN(INDEX(Tasks[_ShownFcstStart],Tasks[[#This Row],[_Row]]+1):INDEX(Tasks[_ShownFcstStart],Tasks[[#This Row],[_Row]]+Tasks[[#This Row],[_Descendants]])),Tasks[[#This Row],[_ShownFcstStart]]))</f>
        <v/>
      </c>
      <c r="AF180" s="63" t="str">
        <f aca="false">IF(Tasks[[#This Row],[Task Name]]="","",IF(Tasks[[#This Row],[_IsSummary]],MAX(INDEX(Tasks[_ShownFcstFinish],Tasks[[#This Row],[_Row]]+1):INDEX(Tasks[_ShownFcstFinish],Tasks[[#This Row],[_Row]]+Tasks[[#This Row],[_Descendants]])),Tasks[[#This Row],[_ShownFcstFinish]]))</f>
        <v/>
      </c>
      <c r="AG180" s="21" t="str">
        <f aca="false">""</f>
        <v/>
      </c>
      <c r="AH180" s="23"/>
      <c r="AI1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0" s="7"/>
      <c r="AK180" s="22"/>
      <c r="AL180" s="23"/>
      <c r="AM180" s="7"/>
      <c r="AN180" s="47" t="str">
        <f aca="false">IF(Tasks[[#This Row],[Task Name]]="","",IF(Tasks[[#This Row],[Finish]]&gt;=Tasks[[#This Row],[Planned Finish]],NETWORKDAYS.INTL(Tasks[[#This Row],[Planned Finish]],Tasks[[#This Row],[Finish]],WorkWeek,Holidays)-1,1-NETWORKDAYS.INTL(Tasks[[#This Row],[Finish]],Tasks[[#This Row],[Planned Finish]],WorkWeek,Holidays)))</f>
        <v/>
      </c>
      <c r="AO180" s="21" t="str">
        <f aca="false">IF(Tasks[[#This Row],[Task Name]]="","",IF(Tasks[[#This Row],[Progress]]&gt;=1,"Complete",IF(OR(N(Tasks[[#This Row],[Actual Start]])&gt;0,Tasks[[#This Row],[Progress]]&gt;0),IF(Tasks[[#This Row],[Finish Var]]&gt;0,"Behind","In Progress"),IF(Tasks[[#This Row],[Planned Start]]&lt;StatusDate,"Late Start","Not Started"))))</f>
        <v/>
      </c>
      <c r="AP180" s="21" t="str">
        <f aca="false">IF(Tasks[[#This Row],[Task Name]]="","",IF(IF(Tasks[[#This Row],[_IsSummary]],COUNTIF(INDEX(Tasks[_LeafCritical],Tasks[[#This Row],[_Row]]+1):INDEX(Tasks[_LeafCritical],Tasks[[#This Row],[_Row]]+Tasks[[#This Row],[_Descendants]]),TRUE())&gt;0,Tasks[[#This Row],[_LeafCritical]]),"Yes",""))</f>
        <v/>
      </c>
      <c r="AQ180" s="63" t="str">
        <f aca="false">IF(Tasks[[#This Row],[Task Name]]="","",IF(N(Tasks[[#This Row],[Baseline Start]])&gt;0,Tasks[[#This Row],[Baseline Start]],Tasks[[#This Row],[_CalcStart]]))</f>
        <v/>
      </c>
      <c r="AR180" s="63" t="str">
        <f aca="false">IF(Tasks[[#This Row],[Task Name]]="","",IF(N(Tasks[[#This Row],[Baseline Finish]])&gt;0,Tasks[[#This Row],[Baseline Finish]],Tasks[[#This Row],[_CalcFinish]]))</f>
        <v/>
      </c>
      <c r="AS180" s="47" t="str">
        <f aca="false">IF(Tasks[[#This Row],[Task Name]]="","",IF(Tasks[[#This Row],[Start]]&gt;=Tasks[[#This Row],[Planned Start]],NETWORKDAYS.INTL(Tasks[[#This Row],[Planned Start]],Tasks[[#This Row],[Start]],WorkWeek,Holidays)-1,1-NETWORKDAYS.INTL(Tasks[[#This Row],[Start]],Tasks[[#This Row],[Planned Start]],WorkWeek,Holidays)))</f>
        <v/>
      </c>
      <c r="AT180" s="63" t="str">
        <f aca="false">IF(Tasks[[#This Row],[Task Name]]="","",IF(Tasks[[#This Row],[_IsSummary]],MIN(INDEX(Tasks[_LeafLateStart],Tasks[[#This Row],[_Row]]+1):INDEX(Tasks[_LeafLateStart],Tasks[[#This Row],[_Row]]+Tasks[[#This Row],[_Descendants]])),Tasks[[#This Row],[_LeafLateStart]]))</f>
        <v/>
      </c>
      <c r="AU180" s="63" t="str">
        <f aca="false">IF(Tasks[[#This Row],[Task Name]]="","",IF(Tasks[[#This Row],[_IsSummary]],MAX(INDEX(Tasks[_LeafLateFinish],Tasks[[#This Row],[_Row]]+1):INDEX(Tasks[_LeafLateFinish],Tasks[[#This Row],[_Row]]+Tasks[[#This Row],[_Descendants]])),Tasks[[#This Row],[_LeafLateFinish]]))</f>
        <v/>
      </c>
      <c r="AV180" s="47" t="str">
        <f aca="false">IF(Tasks[[#This Row],[Task Name]]="","",IF(Tasks[[#This Row],[_IsSummary]],MIN(INDEX(Tasks[_LeafTotalSlack],Tasks[[#This Row],[_Row]]+1):INDEX(Tasks[_LeafTotalSlack],Tasks[[#This Row],[_Row]]+Tasks[[#This Row],[_Descendants]])),Tasks[[#This Row],[_LeafTotalSlack]]))</f>
        <v/>
      </c>
      <c r="AW1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5"/>
      <c r="BA18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1" t="str">
        <f aca="false">IF(Tasks[[#This Row],[Task Name]]="","",IF(Tasks[[#This Row],[_Level]]&lt;=OutlineShowLevel,"Yes","No"))</f>
        <v/>
      </c>
      <c r="BE180" s="86" t="str">
        <f aca="false">IF(Tasks[[#This Row],[Task Name]]="","",IF(Tasks[[#This Row],[_IsSummary]],SUM(INDEX(Tasks[_LeafTotalWork],Tasks[[#This Row],[_Row]]+1):INDEX(Tasks[_LeafTotalWork],Tasks[[#This Row],[_Row]]+Tasks[[#This Row],[_Descendants]])),Tasks[[#This Row],[_LeafTotalWork]]))</f>
        <v/>
      </c>
      <c r="BF180" s="23"/>
      <c r="BG1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0" s="21" t="str">
        <f aca="false">""</f>
        <v/>
      </c>
      <c r="BI180" s="87"/>
      <c r="BJ180" s="22"/>
      <c r="BK180" s="47" t="str">
        <f aca="false">IF(OR(Tasks[[#This Row],[Task Name]]="",Tasks[[#This Row],[Baseline Duration]]=""),"",Tasks[[#This Row],[_SpanDays]]-N(Tasks[[#This Row],[Baseline Duration]]))</f>
        <v/>
      </c>
      <c r="BL180" s="86" t="str">
        <f aca="false">IF(OR(Tasks[[#This Row],[Task Name]]="",Tasks[[#This Row],[Baseline Work]]=""),"",Tasks[[#This Row],[Work]]-N(Tasks[[#This Row],[Baseline Work]]))</f>
        <v/>
      </c>
      <c r="BM180" s="63" t="str">
        <f aca="false">IF(Tasks[[#This Row],[Task Name]]="","",IF(OR(TakeBaseline="Yes",N(Tasks[[#This Row],[Baseline Start]])=0),Tasks[[#This Row],[Start]],Tasks[[#This Row],[Baseline Start]]))</f>
        <v/>
      </c>
      <c r="BN180" s="63" t="str">
        <f aca="false">IF(Tasks[[#This Row],[Task Name]]="","",IF(OR(TakeBaseline="Yes",N(Tasks[[#This Row],[Baseline Finish]])=0),Tasks[[#This Row],[Finish]],Tasks[[#This Row],[Baseline Finish]]))</f>
        <v/>
      </c>
      <c r="BO180" s="21" t="str">
        <f aca="false">IF(Tasks[[#This Row],[Task Name]]="","",IF(OR(TakeBaseline="Yes",N(Tasks[[#This Row],[Baseline Duration]])=0),Tasks[[#This Row],[_SpanDays]],Tasks[[#This Row],[Baseline Duration]]))</f>
        <v/>
      </c>
      <c r="BP180" s="86" t="str">
        <f aca="false">IF(Tasks[[#This Row],[Task Name]]="","",IF(OR(TakeBaseline="Yes",N(Tasks[[#This Row],[Baseline Work]])=0),Tasks[[#This Row],[Work]],Tasks[[#This Row],[Baseline Work]]))</f>
        <v/>
      </c>
      <c r="BQ180" s="7"/>
      <c r="BR180" s="7"/>
      <c r="BS180" s="22"/>
      <c r="BT180" s="88"/>
      <c r="BU180" s="23"/>
      <c r="BV180" s="23"/>
      <c r="BW180" s="23"/>
      <c r="BX180" s="89" t="str">
        <f aca="false">IF(AND(Tasks[[#This Row],[_IsLeaf]]=1,ISNUMBER(Tasks[[#This Row],[Optimistic]]),ISNUMBER(Tasks[[#This Row],[Pessimistic]])),ROUND((Tasks[[#This Row],[Optimistic]]+4*N(Tasks[[#This Row],[_Days]])+Tasks[[#This Row],[Pessimistic]])/6,1),"")</f>
        <v/>
      </c>
      <c r="BY180" s="87"/>
      <c r="BZ180" s="87"/>
      <c r="CA180" s="22"/>
      <c r="CB180" s="43" t="str">
        <f aca="false">IF(Tasks[[#This Row],[Task Name]]="","",MAX(1,N(Tasks[[#This Row],[Level]])))</f>
        <v/>
      </c>
      <c r="CC180" s="43" t="n">
        <f aca="false">ROW()-ROW(Tasks[[#Headers],[ID]])</f>
        <v>175</v>
      </c>
      <c r="CD180" s="43" t="n">
        <f aca="false">IF(OR(Tasks[[#This Row],[Task Name]]="",Tasks[[#This Row],[_Level]]&lt;=1),0,IFERROR(LOOKUP(2,1/(Tasks[[#Headers],[_Level]]:Tasks[[#This Row],[_Level]]=Tasks[[#This Row],[_Level]]-1),ROW(Tasks[[#Headers],[_Level]]:Tasks[[#This Row],[_Level]])),0))</f>
        <v>0</v>
      </c>
      <c r="CE180" s="43" t="n">
        <f aca="false">IFERROR(N(INDEX(Tasks[_Level],Tasks[[#This Row],[_Row]]+1)),0)</f>
        <v>0</v>
      </c>
      <c r="CF180" s="90" t="b">
        <f aca="false">AND(Tasks[[#This Row],[Task Name]]&lt;&gt;"",Tasks[[#This Row],[_NextLevel]]&gt;Tasks[[#This Row],[_Level]])</f>
        <v>0</v>
      </c>
      <c r="CG180" s="43" t="n">
        <f aca="false">IF(Tasks[[#This Row],[_IsSummary]],COUNTIF(Tasks[WBS],Tasks[[#This Row],[WBS]]&amp;".*"),0)</f>
        <v>0</v>
      </c>
      <c r="CH180" s="43" t="n">
        <f aca="false">IF(AND(Tasks[[#This Row],[Task Name]]&lt;&gt;"",NOT(Tasks[[#This Row],[_IsSummary]])),1,0)</f>
        <v>0</v>
      </c>
      <c r="CI180" s="43" t="n">
        <f aca="false">IF(N(Tasks[[#This Row],[_Pred1UID]])=0,0,IFERROR(MATCH(Tasks[[#This Row],[_Pred1UID]],Tasks[UID],0),-1))</f>
        <v>0</v>
      </c>
      <c r="CJ180" s="43" t="n">
        <f aca="false">IF(N(Tasks[[#This Row],[_Pred2UID]])=0,0,IFERROR(MATCH(Tasks[[#This Row],[_Pred2UID]],Tasks[UID],0),-1))</f>
        <v>0</v>
      </c>
      <c r="CK180" s="43" t="n">
        <f aca="false">IF(N(Tasks[[#This Row],[_Pred3UID]])=0,0,IFERROR(MATCH(Tasks[[#This Row],[_Pred3UID]],Tasks[UID],0),-1))</f>
        <v>0</v>
      </c>
      <c r="CL180" s="43" t="n">
        <f aca="false">IF(N(Tasks[[#This Row],[_Pred4UID]])=0,0,IFERROR(MATCH(Tasks[[#This Row],[_Pred4UID]],Tasks[UID],0),-1))</f>
        <v>0</v>
      </c>
      <c r="CM18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0" s="91" t="n">
        <f aca="false">IF(OR(Tasks[[#This Row],[_ConstraintCode]]=2,Tasks[[#This Row],[_ConstraintCode]]=3,Tasks[[#This Row],[_ConstraintCode]]=4,Tasks[[#This Row],[_ConstraintCode]]=6),Tasks[[#This Row],[_ConstraintStart]],0)</f>
        <v>0</v>
      </c>
      <c r="CP180" s="91" t="n">
        <f aca="false">IF(OR(Tasks[[#This Row],[_ConstraintCode]]=2,Tasks[[#This Row],[_ConstraintCode]]=3,Tasks[[#This Row],[_ConstraintCode]]=5,Tasks[[#This Row],[_ConstraintCode]]=7),Tasks[[#This Row],[_ConstraintStart]],2958465)</f>
        <v>2958465</v>
      </c>
      <c r="CQ18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0" s="91" t="str">
        <f aca="false">IF(NOT(Tasks[[#This Row],[_IsLeaf]]=1),"",IF(N(Tasks[[#This Row],[_Days]])&lt;=0,Tasks[[#This Row],[_LeafCalcStart]],WORKDAY.INTL(Tasks[[#This Row],[_LeafCalcStart]],Tasks[[#This Row],[_Days]]-1,WorkWeek,Holidays)))</f>
        <v/>
      </c>
      <c r="CS18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0" s="43" t="str">
        <f aca="false">IF(Tasks[[#This Row],[_Predecessors]]="","",TRIM(MID(SUBSTITUTE(SUBSTITUTE(SUBSTITUTE(UPPER(Tasks[[#This Row],[_Predecessors]]),";",",")," ",""),",",REPT(" ",99)),1,99)))</f>
        <v/>
      </c>
      <c r="CV180" s="43" t="str">
        <f aca="false">IF(Tasks[[#This Row],[_Pred1Text]]="","",IFERROR(VALUE(LEFT(Tasks[[#This Row],[_Pred1Text]],MIN(FIND("F",Tasks[[#This Row],[_Pred1Text]]&amp;"F"),FIND("S",Tasks[[#This Row],[_Pred1Text]]&amp;"S"),FIND("+",Tasks[[#This Row],[_Pred1Text]]&amp;"+"),FIND("-",Tasks[[#This Row],[_Pred1Text]]&amp;"-"))-1)),""))</f>
        <v/>
      </c>
      <c r="CW18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0" s="43" t="str">
        <f aca="false">IF(Tasks[[#This Row],[_Pred1Text]]="","",TRIM(MID(SUBSTITUTE(SUBSTITUTE(SUBSTITUTE(UPPER(Tasks[[#This Row],[_Predecessors]]),";",",")," ",""),",",REPT(" ",99)),100,99)))</f>
        <v/>
      </c>
      <c r="CZ180" s="43" t="str">
        <f aca="false">IF(Tasks[[#This Row],[_Pred2Text]]="","",IFERROR(VALUE(LEFT(Tasks[[#This Row],[_Pred2Text]],MIN(FIND("F",Tasks[[#This Row],[_Pred2Text]]&amp;"F"),FIND("S",Tasks[[#This Row],[_Pred2Text]]&amp;"S"),FIND("+",Tasks[[#This Row],[_Pred2Text]]&amp;"+"),FIND("-",Tasks[[#This Row],[_Pred2Text]]&amp;"-"))-1)),""))</f>
        <v/>
      </c>
      <c r="DA18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0" s="43" t="str">
        <f aca="false">IF(Tasks[[#This Row],[_Pred2Text]]="","",TRIM(MID(SUBSTITUTE(SUBSTITUTE(SUBSTITUTE(UPPER(Tasks[[#This Row],[_Predecessors]]),";",",")," ",""),",",REPT(" ",99)),199,99)))</f>
        <v/>
      </c>
      <c r="DD180" s="43" t="str">
        <f aca="false">IF(Tasks[[#This Row],[_Pred3Text]]="","",IFERROR(VALUE(LEFT(Tasks[[#This Row],[_Pred3Text]],MIN(FIND("F",Tasks[[#This Row],[_Pred3Text]]&amp;"F"),FIND("S",Tasks[[#This Row],[_Pred3Text]]&amp;"S"),FIND("+",Tasks[[#This Row],[_Pred3Text]]&amp;"+"),FIND("-",Tasks[[#This Row],[_Pred3Text]]&amp;"-"))-1)),""))</f>
        <v/>
      </c>
      <c r="DE18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0" s="43" t="str">
        <f aca="false">IF(Tasks[[#This Row],[_Pred3Text]]="","",TRIM(MID(SUBSTITUTE(SUBSTITUTE(SUBSTITUTE(UPPER(Tasks[[#This Row],[_Predecessors]]),";",",")," ",""),",",REPT(" ",99)),298,99)))</f>
        <v/>
      </c>
      <c r="DH180" s="43" t="str">
        <f aca="false">IF(Tasks[[#This Row],[_Pred4Text]]="","",IFERROR(VALUE(LEFT(Tasks[[#This Row],[_Pred4Text]],MIN(FIND("F",Tasks[[#This Row],[_Pred4Text]]&amp;"F"),FIND("S",Tasks[[#This Row],[_Pred4Text]]&amp;"S"),FIND("+",Tasks[[#This Row],[_Pred4Text]]&amp;"+"),FIND("-",Tasks[[#This Row],[_Pred4Text]]&amp;"-"))-1)),""))</f>
        <v/>
      </c>
      <c r="DI18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0" s="43" t="str">
        <f aca="false">IF(OR(Tasks[[#This Row],[Task Name]]="",Tasks[[#This Row],[_Resources]]=""),"",TRIM(MID(SUBSTITUTE(Tasks[[#This Row],[_Resources]],",",REPT(" ",99)),1,99)))</f>
        <v/>
      </c>
      <c r="DL180" s="43" t="str">
        <f aca="false">IF(Tasks[[#This Row],[_Res1Text]]="","",TRIM(MID(SUBSTITUTE(Tasks[[#This Row],[_Resources]],",",REPT(" ",99)),100,99)))</f>
        <v/>
      </c>
      <c r="DM180" s="43" t="str">
        <f aca="false">IF(Tasks[[#This Row],[_Res2Text]]="","",TRIM(MID(SUBSTITUTE(Tasks[[#This Row],[_Resources]],",",REPT(" ",99)),199,99)))</f>
        <v/>
      </c>
      <c r="DN180" s="43" t="str">
        <f aca="false">IF(Tasks[[#This Row],[_Res3Text]]="","",TRIM(MID(SUBSTITUTE(Tasks[[#This Row],[_Resources]],",",REPT(" ",99)),298,99)))</f>
        <v/>
      </c>
      <c r="DO180" s="43" t="n">
        <f aca="false">IF(Tasks[[#This Row],[_Res1Text]]="",0,IFERROR(MATCH(TRIM(LEFT(Tasks[[#This Row],[_Res1Text]],FIND("[",Tasks[[#This Row],[_Res1Text]]&amp;"[")-1)),res_Name,0),IFERROR(MATCH(TRIM(LEFT(Tasks[[#This Row],[_Res1Text]],FIND("[",Tasks[[#This Row],[_Res1Text]]&amp;"[")-1)),res_Initials,0),0)))</f>
        <v>0</v>
      </c>
      <c r="DP180" s="43" t="n">
        <f aca="false">IF(Tasks[[#This Row],[_Res2Text]]="",0,IFERROR(MATCH(TRIM(LEFT(Tasks[[#This Row],[_Res2Text]],FIND("[",Tasks[[#This Row],[_Res2Text]]&amp;"[")-1)),res_Name,0),IFERROR(MATCH(TRIM(LEFT(Tasks[[#This Row],[_Res2Text]],FIND("[",Tasks[[#This Row],[_Res2Text]]&amp;"[")-1)),res_Initials,0),0)))</f>
        <v>0</v>
      </c>
      <c r="DQ180" s="43" t="n">
        <f aca="false">IF(Tasks[[#This Row],[_Res3Text]]="",0,IFERROR(MATCH(TRIM(LEFT(Tasks[[#This Row],[_Res3Text]],FIND("[",Tasks[[#This Row],[_Res3Text]]&amp;"[")-1)),res_Name,0),IFERROR(MATCH(TRIM(LEFT(Tasks[[#This Row],[_Res3Text]],FIND("[",Tasks[[#This Row],[_Res3Text]]&amp;"[")-1)),res_Initials,0),0)))</f>
        <v>0</v>
      </c>
      <c r="DR180" s="43" t="n">
        <f aca="false">IF(Tasks[[#This Row],[_Res4Text]]="",0,IFERROR(MATCH(TRIM(LEFT(Tasks[[#This Row],[_Res4Text]],FIND("[",Tasks[[#This Row],[_Res4Text]]&amp;"[")-1)),res_Name,0),IFERROR(MATCH(TRIM(LEFT(Tasks[[#This Row],[_Res4Text]],FIND("[",Tasks[[#This Row],[_Res4Text]]&amp;"[")-1)),res_Initials,0),0)))</f>
        <v>0</v>
      </c>
      <c r="DS180" s="43" t="str">
        <f aca="false">IF(Tasks[[#This Row],[_Res1Text]]="","",IF(Tasks[[#This Row],[_Res1Row]]&gt;0,INDEX(res_Name,Tasks[[#This Row],[_Res1Row]]),TRIM(LEFT(Tasks[[#This Row],[_Res1Text]],FIND("[",Tasks[[#This Row],[_Res1Text]]&amp;"[")-1))))</f>
        <v/>
      </c>
      <c r="DT18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0" s="43" t="n">
        <f aca="false">IF(NOT(Tasks[[#This Row],[_IsLeaf]]=1),0,(Tasks[[#This Row],[_Resource1]]&lt;&gt;"")+(Tasks[[#This Row],[_Res2]]&lt;&gt;"")+(Tasks[[#This Row],[_Res3]]&lt;&gt;"")+(Tasks[[#This Row],[_Res4]]&lt;&gt;""))</f>
        <v>0</v>
      </c>
      <c r="DV180" s="43" t="str">
        <f aca="false">IF(Tasks[[#This Row],[_Res2Text]]="","",IF(Tasks[[#This Row],[_Res2Row]]&gt;0,INDEX(res_Name,Tasks[[#This Row],[_Res2Row]]),TRIM(LEFT(Tasks[[#This Row],[_Res2Text]],FIND("[",Tasks[[#This Row],[_Res2Text]]&amp;"[")-1))))</f>
        <v/>
      </c>
      <c r="DW18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0" s="43" t="n">
        <f aca="false">IF(OR(NOT(Tasks[[#This Row],[_IsLeaf]]=1),Tasks[[#This Row],[_Res2Row]]=0),0,N(Tasks[[#This Row],[_Days]])*HoursPerDay*IF(Tasks[[#This Row],[_Res2Units]]="",DefaultUnits,Tasks[[#This Row],[_Res2Units]]))</f>
        <v>0</v>
      </c>
      <c r="DY180" s="43" t="n">
        <f aca="false">IF(AND(AND(Tasks[[#This Row],[_IsLeaf]]=1,Tasks[[#This Row],[_LeafTotalWork]]&gt;0),Tasks[[#This Row],[_Res2Work]]&gt;0),Tasks[[#This Row],[_Res2Work]]/(Tasks[[#This Row],[_FinishWorkday]]-Tasks[[#This Row],[_StartWorkday]]+1),0)</f>
        <v>0</v>
      </c>
      <c r="DZ180" s="43" t="n">
        <f aca="false">Tasks[[#This Row],[_Res2WorkPerWD]]*MAX(0,Tasks[[#This Row],[_StartWorkday]]-1)</f>
        <v>0</v>
      </c>
      <c r="EA180" s="43" t="n">
        <f aca="false">Tasks[[#This Row],[_Res2Work]]*Tasks[[#This Row],[_LeafProgress]]</f>
        <v>0</v>
      </c>
      <c r="EB180" s="43" t="str">
        <f aca="false">IF(Tasks[[#This Row],[_Res3Text]]="","",IF(Tasks[[#This Row],[_Res3Row]]&gt;0,INDEX(res_Name,Tasks[[#This Row],[_Res3Row]]),TRIM(LEFT(Tasks[[#This Row],[_Res3Text]],FIND("[",Tasks[[#This Row],[_Res3Text]]&amp;"[")-1))))</f>
        <v/>
      </c>
      <c r="EC18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0" s="43" t="n">
        <f aca="false">IF(OR(NOT(Tasks[[#This Row],[_IsLeaf]]=1),Tasks[[#This Row],[_Res3Row]]=0),0,N(Tasks[[#This Row],[_Days]])*HoursPerDay*IF(Tasks[[#This Row],[_Res3Units]]="",DefaultUnits,Tasks[[#This Row],[_Res3Units]]))</f>
        <v>0</v>
      </c>
      <c r="EE180" s="43" t="n">
        <f aca="false">IF(AND(AND(Tasks[[#This Row],[_IsLeaf]]=1,Tasks[[#This Row],[_LeafTotalWork]]&gt;0),Tasks[[#This Row],[_Res3Work]]&gt;0),Tasks[[#This Row],[_Res3Work]]/(Tasks[[#This Row],[_FinishWorkday]]-Tasks[[#This Row],[_StartWorkday]]+1),0)</f>
        <v>0</v>
      </c>
      <c r="EF180" s="43" t="n">
        <f aca="false">Tasks[[#This Row],[_Res3WorkPerWD]]*MAX(0,Tasks[[#This Row],[_StartWorkday]]-1)</f>
        <v>0</v>
      </c>
      <c r="EG180" s="43" t="n">
        <f aca="false">Tasks[[#This Row],[_Res3Work]]*Tasks[[#This Row],[_LeafProgress]]</f>
        <v>0</v>
      </c>
      <c r="EH180" s="43" t="str">
        <f aca="false">IF(Tasks[[#This Row],[_Res4Text]]="","",IF(Tasks[[#This Row],[_Res4Row]]&gt;0,INDEX(res_Name,Tasks[[#This Row],[_Res4Row]]),TRIM(LEFT(Tasks[[#This Row],[_Res4Text]],FIND("[",Tasks[[#This Row],[_Res4Text]]&amp;"[")-1))))</f>
        <v/>
      </c>
      <c r="EI18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0" s="43" t="n">
        <f aca="false">IF(OR(NOT(Tasks[[#This Row],[_IsLeaf]]=1),Tasks[[#This Row],[_Res4Row]]=0),0,N(Tasks[[#This Row],[_Days]])*HoursPerDay*IF(Tasks[[#This Row],[_Res4Units]]="",DefaultUnits,Tasks[[#This Row],[_Res4Units]]))</f>
        <v>0</v>
      </c>
      <c r="EK180" s="43" t="n">
        <f aca="false">IF(AND(AND(Tasks[[#This Row],[_IsLeaf]]=1,Tasks[[#This Row],[_LeafTotalWork]]&gt;0),Tasks[[#This Row],[_Res4Work]]&gt;0),Tasks[[#This Row],[_Res4Work]]/(Tasks[[#This Row],[_FinishWorkday]]-Tasks[[#This Row],[_StartWorkday]]+1),0)</f>
        <v>0</v>
      </c>
      <c r="EL180" s="43" t="n">
        <f aca="false">Tasks[[#This Row],[_Res4WorkPerWD]]*MAX(0,Tasks[[#This Row],[_StartWorkday]]-1)</f>
        <v>0</v>
      </c>
      <c r="EM180" s="43" t="n">
        <f aca="false">Tasks[[#This Row],[_Res4Work]]*Tasks[[#This Row],[_LeafProgress]]</f>
        <v>0</v>
      </c>
      <c r="EN180" s="43" t="n">
        <f aca="false">IF(ISNUMBER(Tasks[[#This Row],[% Complete]]),Tasks[[#This Row],[% Complete]],IF(Tasks[[#This Row],[Stage]]="",0,IFERROR(INDEX(stg_Pct,MATCH(Tasks[[#This Row],[Stage]],stg_Name,0)),0)))</f>
        <v>0</v>
      </c>
      <c r="EO180" s="43" t="n">
        <f aca="false">IF(NOT(Tasks[[#This Row],[_IsLeaf]]=1),0,IF(N(Tasks[[#This Row],[Actual Finish]])&gt;0,1,MIN(1,Tasks[[#This Row],[_Pct]])))</f>
        <v>0</v>
      </c>
      <c r="EP180" s="43" t="n">
        <f aca="false">IF(OR(NOT(Tasks[[#This Row],[_IsLeaf]]=1),Tasks[[#This Row],[_Res1Row]]=0),0,N(Tasks[[#This Row],[_Days]])*HoursPerDay*IF(Tasks[[#This Row],[_Units1]]="",DefaultUnits,Tasks[[#This Row],[_Units1]]))</f>
        <v>0</v>
      </c>
      <c r="EQ180" s="43" t="n">
        <f aca="false">Tasks[[#This Row],[_LeafWork]]+Tasks[[#This Row],[_Res2Work]]+Tasks[[#This Row],[_Res3Work]]+Tasks[[#This Row],[_Res4Work]]</f>
        <v>0</v>
      </c>
      <c r="ER18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0" s="43" t="n">
        <f aca="false">IF(NOT(Tasks[[#This Row],[_IsLeaf]]=1),0,MAX(_xlfn.MAXIFS(Tasks[_Row],Tasks[_Pred1UID],Tasks[[#This Row],[UID]]),_xlfn.MAXIFS(Tasks[_Row],Tasks[_Pred2UID],Tasks[[#This Row],[UID]]),_xlfn.MAXIFS(Tasks[_Row],Tasks[_Pred3UID],Tasks[[#This Row],[UID]]),_xlfn.MAXIFS(Tasks[_Row],Tasks[_Pred4UID],Tasks[[#This Row],[UID]])))</f>
        <v>0</v>
      </c>
      <c r="FA18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0" s="91" t="str">
        <f aca="false">IF(NOT(Tasks[[#This Row],[_IsLeaf]]=1),"",IF(N(Tasks[[#This Row],[_Days]])&lt;=0,Tasks[[#This Row],[_LeafLateFinish]],WORKDAY.INTL(Tasks[[#This Row],[_LeafLateFinish]],-(Tasks[[#This Row],[_Days]]-1),WorkWeek,Holidays)))</f>
        <v/>
      </c>
      <c r="FD18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0" s="90" t="b">
        <f aca="false">AND(Tasks[[#This Row],[_IsLeaf]]=1,Tasks[[#This Row],[_LeafProgress]]&lt;1,N(Tasks[[#This Row],[_LeafTotalSlack]])&lt;=CriticalSlackDays)</f>
        <v>0</v>
      </c>
      <c r="FF180" s="43" t="n">
        <f aca="false">IF(AND(Tasks[[#This Row],[_IsLeaf]]=1,Tasks[[#This Row],[_ConstraintCode]]=1,Tasks[[#This Row],[Mode]]&lt;&gt;"Manual",N(Tasks[[#This Row],[Actual Start]])=0),MAX(0,N(Tasks[[#This Row],[Free Slack]])),0)</f>
        <v>0</v>
      </c>
      <c r="FG180" s="91" t="str">
        <f aca="false">IF(NOT(Tasks[[#This Row],[_IsLeaf]]=1),"",IF(Tasks[[#This Row],[_AlapShift]]=0,Tasks[[#This Row],[_LeafCalcStart]],WORKDAY.INTL(Tasks[[#This Row],[_LeafCalcStart]],Tasks[[#This Row],[_AlapShift]],WorkWeek,Holidays)))</f>
        <v/>
      </c>
      <c r="FH180" s="91" t="str">
        <f aca="false">IF(NOT(Tasks[[#This Row],[_IsLeaf]]=1),"",IF(Tasks[[#This Row],[_AlapShift]]=0,Tasks[[#This Row],[_LeafCalcFinish]],WORKDAY.INTL(Tasks[[#This Row],[_LeafCalcFinish]],Tasks[[#This Row],[_AlapShift]],WorkWeek,Holidays)))</f>
        <v/>
      </c>
      <c r="FI180" s="91" t="str">
        <f aca="false">IF(NOT(Tasks[[#This Row],[_IsLeaf]]=1),"",IF(Tasks[[#This Row],[_AlapShift]]=0,Tasks[[#This Row],[_LeafFcstStart]],WORKDAY.INTL(Tasks[[#This Row],[_LeafFcstStart]],Tasks[[#This Row],[_AlapShift]],WorkWeek,Holidays)))</f>
        <v/>
      </c>
      <c r="FJ180" s="91" t="str">
        <f aca="false">IF(NOT(Tasks[[#This Row],[_IsLeaf]]=1),"",IF(Tasks[[#This Row],[_AlapShift]]=0,Tasks[[#This Row],[_LeafFcstFinish]],WORKDAY.INTL(Tasks[[#This Row],[_LeafFcstFinish]],Tasks[[#This Row],[_AlapShift]],WorkWeek,Holidays)))</f>
        <v/>
      </c>
      <c r="FK180" s="91" t="str">
        <f aca="false">IF(Tasks[[#This Row],[Task Name]]="","",IF(Tasks[[#This Row],[_IsSummary]],MIN(INDEX(Tasks[_ShownCalcStart],Tasks[[#This Row],[_Row]]+1):INDEX(Tasks[_ShownCalcStart],Tasks[[#This Row],[_Row]]+Tasks[[#This Row],[_Descendants]])),Tasks[[#This Row],[_ShownCalcStart]]))</f>
        <v/>
      </c>
      <c r="FL180" s="91" t="str">
        <f aca="false">IF(Tasks[[#This Row],[Task Name]]="","",IF(Tasks[[#This Row],[_IsSummary]],MAX(INDEX(Tasks[_ShownCalcFinish],Tasks[[#This Row],[_Row]]+1):INDEX(Tasks[_ShownCalcFinish],Tasks[[#This Row],[_Row]]+Tasks[[#This Row],[_Descendants]])),Tasks[[#This Row],[_ShownCalcFinish]]))</f>
        <v/>
      </c>
      <c r="FM18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0" s="43" t="n">
        <f aca="false">IF(AND(Tasks[[#This Row],[_IsLeaf]]=1,Tasks[[#This Row],[_LeafTotalWork]]&gt;0),NETWORKDAYS.INTL(ProjectStart,Tasks[[#This Row],[_ShownFcstStart]],WorkWeek,Holidays),0)</f>
        <v>0</v>
      </c>
      <c r="FZ180" s="43" t="n">
        <f aca="false">IF(AND(Tasks[[#This Row],[_IsLeaf]]=1,Tasks[[#This Row],[_LeafTotalWork]]&gt;0),MAX(Tasks[[#This Row],[_StartWorkday]],NETWORKDAYS.INTL(ProjectStart,Tasks[[#This Row],[_ShownFcstFinish]],WorkWeek,Holidays)),0)</f>
        <v>0</v>
      </c>
      <c r="GA180" s="43" t="n">
        <f aca="false">IF(AND(Tasks[[#This Row],[_IsLeaf]]=1,Tasks[[#This Row],[_LeafTotalWork]]&gt;0),Tasks[[#This Row],[_LeafWork]]/(Tasks[[#This Row],[_FinishWorkday]]-Tasks[[#This Row],[_StartWorkday]]+1),0)</f>
        <v>0</v>
      </c>
      <c r="GB180" s="43" t="n">
        <f aca="false">Tasks[[#This Row],[_WorkPerWorkday]]*(Tasks[[#This Row],[_StartWorkday]]-1)</f>
        <v>-0</v>
      </c>
      <c r="GC180" s="43" t="n">
        <f aca="false">IF(Tasks[[#This Row],[_IsLeaf]]=1,MAX(N(Tasks[[#This Row],[_Days]]),0.1),0)</f>
        <v>0</v>
      </c>
      <c r="GD180" s="43" t="n">
        <f aca="false">Tasks[[#This Row],[_WeightDur]]*Tasks[[#This Row],[_LeafProgress]]</f>
        <v>0</v>
      </c>
      <c r="GE180" s="43" t="n">
        <f aca="false">Tasks[[#This Row],[_WeightDur]]*Tasks[[#This Row],[_PlannedPct]]</f>
        <v>0</v>
      </c>
      <c r="GF18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0" s="43" t="str">
        <f aca="false">IF(AND(Tasks[[#This Row],[_IsLeaf]]=1,N(Tasks[[#This Row],[_Days]])=0,Tasks[[#This Row],[_LeafProgress]]&lt;1),Tasks[[#This Row],[_ShownFcstFinish]]+Tasks[[#This Row],[_Row]]/100000,"")</f>
        <v/>
      </c>
      <c r="GH18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0" s="43" t="str">
        <f aca="false">IF(Tasks[[#This Row],[Task Name]]="","",LEFT(Tasks[[#This Row],[WBS]],FIND(".",Tasks[[#This Row],[WBS]]&amp;".")-1))</f>
        <v/>
      </c>
      <c r="GJ180" s="43" t="str">
        <f aca="false">IF(AND(Tasks[[#This Row],[Task Name]]&lt;&gt;"",Tasks[[#This Row],[_Level]]=1),Tasks[[#This Row],[_Row]],"")</f>
        <v/>
      </c>
      <c r="GK180" s="43" t="str">
        <f aca="false">IF(AND(Tasks[[#This Row],[_IsLeaf]]=1,N(Tasks[[#This Row],[_Days]])=0),Tasks[[#This Row],[Planned Finish]]+Tasks[[#This Row],[_Row]]/100000,"")</f>
        <v/>
      </c>
      <c r="GL180" s="43" t="str">
        <f aca="false">IF(AND(Tasks[[#This Row],[_IsLeaf]]=1,Tasks[[#This Row],[_LeafProgress]]&lt;1,OR(N(Tasks[[#This Row],[Finish Var]])&gt;0,Tasks[[#This Row],[Status]]="Late Start")),MAX(0,Tasks[[#This Row],[Finish Var]])+1-Tasks[[#This Row],[_Row]]/1000000,"")</f>
        <v/>
      </c>
      <c r="GM180" s="43" t="str">
        <f aca="false">IF(AND(Tasks[[#This Row],[_IsLeaf]]=1,N(Tasks[[#This Row],[Actual Start]])=0,Tasks[[#This Row],[_ShownFcstStart]]&gt;=StatusDate,Tasks[[#This Row],[_ShownFcstStart]]&lt;=LookaheadEnd),Tasks[[#This Row],[_ShownFcstStart]]+Tasks[[#This Row],[_Row]]/100000,"")</f>
        <v/>
      </c>
      <c r="GN180" s="43" t="str">
        <f aca="false">IF(AND(Tasks[[#This Row],[_IsLeaf]]=1,Tasks[[#This Row],[_LeafProgress]]&lt;1,Tasks[[#This Row],[_ShownFcstFinish]]&gt;=StatusDate,Tasks[[#This Row],[_ShownFcstFinish]]&lt;=LookaheadEnd),Tasks[[#This Row],[_ShownFcstFinish]]+Tasks[[#This Row],[_Row]]/100000,"")</f>
        <v/>
      </c>
      <c r="GO180" s="43" t="str">
        <f aca="false">IF(Tasks[[#This Row],[_LeafCritical]],Tasks[[#This Row],[_ShownFcstStart]]+Tasks[[#This Row],[_Row]]/100000,"")</f>
        <v/>
      </c>
      <c r="GP180" s="43" t="n">
        <f aca="false">Tasks[[#This Row],[_LeafWork]]*Tasks[[#This Row],[_LeafProgress]]</f>
        <v>0</v>
      </c>
      <c r="GQ180" s="91" t="str">
        <f aca="false">IF(AND(Tasks[[#This Row],[_IsLeaf]]=1,Tasks[[#This Row],[_LeafProgress]]&gt;=1),IF(N(Tasks[[#This Row],[Actual Finish]])&gt;0,Tasks[[#This Row],[Actual Finish]],Tasks[[#This Row],[_ShownFcstFinish]]),"")</f>
        <v/>
      </c>
      <c r="GR180" s="43" t="n">
        <f aca="false">IF(Tasks[[#This Row],[_IsLeaf]]=1,N(Tasks[[#This Row],[Story Points]]),0)</f>
        <v>0</v>
      </c>
      <c r="GS180" s="43" t="str">
        <f aca="false">""</f>
        <v/>
      </c>
      <c r="GT180" s="90" t="b">
        <f aca="false">IF(Tasks[[#This Row],[Task Name]]="",FALSE(),AND(Tasks[[#This Row],[_IsLeaf]]=1,N(Tasks[[#This Row],[_Days]])=0))</f>
        <v>0</v>
      </c>
      <c r="GU180" s="91" t="n">
        <f aca="false">IF(Tasks[[#This Row],[Task Name]]="",0,IF(AND(Tasks[[#This Row],[_IsLeaf]]=1,NOT(Tasks[[#This Row],[_IsMilestone]]),N(Tasks[[#This Row],[Progress]])&gt;0),Tasks[[#This Row],[Start]],0))</f>
        <v>0</v>
      </c>
      <c r="GV180" s="91" t="n">
        <f aca="false">IF(Tasks[[#This Row],[_DoneFrom]]=0,0,IF(Tasks[[#This Row],[Progress]]&gt;=1,Tasks[[#This Row],[Finish]],MAX(Tasks[[#This Row],[_DoneFrom]],Tasks[[#This Row],[Start]]+ROUND((Tasks[[#This Row],[Finish]]-Tasks[[#This Row],[Start]]+1)*Tasks[[#This Row],[Progress]],0)-1)))</f>
        <v>0</v>
      </c>
      <c r="GW180" s="91" t="n">
        <f aca="false">IF(Tasks[[#This Row],[Task Name]]="",0,IF(OR(NOT(Tasks[[#This Row],[_IsLeaf]]=1),Tasks[[#This Row],[_IsMilestone]],N(Tasks[[#This Row],[Progress]])&gt;=1),0,IF(Tasks[[#This Row],[_DoneTo]]&gt;0,Tasks[[#This Row],[_DoneTo]]+1,Tasks[[#This Row],[Start]])))</f>
        <v>0</v>
      </c>
      <c r="GX180" s="91" t="n">
        <f aca="false">IF(Tasks[[#This Row],[_RemFrom]]=0,0,Tasks[[#This Row],[Finish]])</f>
        <v>0</v>
      </c>
      <c r="GY180" s="90" t="b">
        <f aca="false">IF(Tasks[[#This Row],[Task Name]]="",FALSE(),OR(NOT(BaselineSet),N(Tasks[[#This Row],[Baseline Start]])&gt;0))</f>
        <v>0</v>
      </c>
      <c r="GZ18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0" s="92" t="str">
        <f aca="false">IF(Tasks[[#This Row],[_IsLeaf]]=1,Tasks[[#This Row],[_Row]],"")</f>
        <v/>
      </c>
      <c r="HD180" s="92" t="str">
        <f aca="false">IFERROR(INDEX(Tasks[UID],SMALL(Tasks[_PickKey],Tasks[[#This Row],[_Row]]))&amp;" "&amp;INDEX(Tasks[Task Name],SMALL(Tasks[_PickKey],Tasks[[#This Row],[_Row]])),"")</f>
        <v/>
      </c>
      <c r="HE180" s="43" t="str">
        <f aca="false">IF(Tasks[[#This Row],[Task Name]]="","",IF(Tasks[[#This Row],[_IsSummary]],NETWORKDAYS.INTL(Tasks[[#This Row],[Start]],Tasks[[#This Row],[Finish]],WorkWeek,Holidays),N(Tasks[[#This Row],[_Days]])))</f>
        <v/>
      </c>
      <c r="HF180" s="43" t="n">
        <f aca="false">IF(Tasks[[#This Row],[Expected]]="",0,((Tasks[[#This Row],[Pessimistic]]-Tasks[[#This Row],[Optimistic]])/6)^2)</f>
        <v>0</v>
      </c>
      <c r="HG180" s="43" t="n">
        <f aca="false">IF(Tasks[[#This Row],[Expected]]="",0,Tasks[[#This Row],[Expected]]-N(Tasks[[#This Row],[_Days]]))</f>
        <v>0</v>
      </c>
    </row>
    <row r="181" customFormat="false" ht="15" hidden="false" customHeight="false" outlineLevel="0" collapsed="false">
      <c r="A181" s="21" t="str">
        <f aca="false">IF(Tasks[[#This Row],[Task Name]]="","",COUNTA(Tasks[[#Headers],[Task Name]]:Tasks[[#This Row],[Task Name]])-1)</f>
        <v/>
      </c>
      <c r="B181" s="22" t="n">
        <v>189</v>
      </c>
      <c r="C181" s="22"/>
      <c r="D181" s="23"/>
      <c r="E181" s="22"/>
      <c r="F181" s="23"/>
      <c r="G181" s="22"/>
      <c r="H181" s="22"/>
      <c r="I181" s="23"/>
      <c r="J181" s="22"/>
      <c r="K181" s="22"/>
      <c r="L181" s="23"/>
      <c r="M181" s="22"/>
      <c r="N181" s="22"/>
      <c r="O181" s="23"/>
      <c r="P181" s="22"/>
      <c r="Q181" s="22"/>
      <c r="R181" s="23"/>
      <c r="S181" s="23"/>
      <c r="T181" s="84"/>
      <c r="U181" s="23"/>
      <c r="V181" s="84"/>
      <c r="W181" s="23"/>
      <c r="X181" s="84"/>
      <c r="Y181" s="23"/>
      <c r="Z181" s="84"/>
      <c r="AA181" s="23"/>
      <c r="AB181" s="23"/>
      <c r="AC181" s="7"/>
      <c r="AD181" s="7"/>
      <c r="AE181" s="63" t="str">
        <f aca="false">IF(Tasks[[#This Row],[Task Name]]="","",IF(Tasks[[#This Row],[_IsSummary]],MIN(INDEX(Tasks[_ShownFcstStart],Tasks[[#This Row],[_Row]]+1):INDEX(Tasks[_ShownFcstStart],Tasks[[#This Row],[_Row]]+Tasks[[#This Row],[_Descendants]])),Tasks[[#This Row],[_ShownFcstStart]]))</f>
        <v/>
      </c>
      <c r="AF181" s="63" t="str">
        <f aca="false">IF(Tasks[[#This Row],[Task Name]]="","",IF(Tasks[[#This Row],[_IsSummary]],MAX(INDEX(Tasks[_ShownFcstFinish],Tasks[[#This Row],[_Row]]+1):INDEX(Tasks[_ShownFcstFinish],Tasks[[#This Row],[_Row]]+Tasks[[#This Row],[_Descendants]])),Tasks[[#This Row],[_ShownFcstFinish]]))</f>
        <v/>
      </c>
      <c r="AG181" s="21" t="str">
        <f aca="false">""</f>
        <v/>
      </c>
      <c r="AH181" s="23"/>
      <c r="AI1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1" s="7"/>
      <c r="AK181" s="22"/>
      <c r="AL181" s="23"/>
      <c r="AM181" s="7"/>
      <c r="AN181" s="47" t="str">
        <f aca="false">IF(Tasks[[#This Row],[Task Name]]="","",IF(Tasks[[#This Row],[Finish]]&gt;=Tasks[[#This Row],[Planned Finish]],NETWORKDAYS.INTL(Tasks[[#This Row],[Planned Finish]],Tasks[[#This Row],[Finish]],WorkWeek,Holidays)-1,1-NETWORKDAYS.INTL(Tasks[[#This Row],[Finish]],Tasks[[#This Row],[Planned Finish]],WorkWeek,Holidays)))</f>
        <v/>
      </c>
      <c r="AO181" s="21" t="str">
        <f aca="false">IF(Tasks[[#This Row],[Task Name]]="","",IF(Tasks[[#This Row],[Progress]]&gt;=1,"Complete",IF(OR(N(Tasks[[#This Row],[Actual Start]])&gt;0,Tasks[[#This Row],[Progress]]&gt;0),IF(Tasks[[#This Row],[Finish Var]]&gt;0,"Behind","In Progress"),IF(Tasks[[#This Row],[Planned Start]]&lt;StatusDate,"Late Start","Not Started"))))</f>
        <v/>
      </c>
      <c r="AP181" s="21" t="str">
        <f aca="false">IF(Tasks[[#This Row],[Task Name]]="","",IF(IF(Tasks[[#This Row],[_IsSummary]],COUNTIF(INDEX(Tasks[_LeafCritical],Tasks[[#This Row],[_Row]]+1):INDEX(Tasks[_LeafCritical],Tasks[[#This Row],[_Row]]+Tasks[[#This Row],[_Descendants]]),TRUE())&gt;0,Tasks[[#This Row],[_LeafCritical]]),"Yes",""))</f>
        <v/>
      </c>
      <c r="AQ181" s="63" t="str">
        <f aca="false">IF(Tasks[[#This Row],[Task Name]]="","",IF(N(Tasks[[#This Row],[Baseline Start]])&gt;0,Tasks[[#This Row],[Baseline Start]],Tasks[[#This Row],[_CalcStart]]))</f>
        <v/>
      </c>
      <c r="AR181" s="63" t="str">
        <f aca="false">IF(Tasks[[#This Row],[Task Name]]="","",IF(N(Tasks[[#This Row],[Baseline Finish]])&gt;0,Tasks[[#This Row],[Baseline Finish]],Tasks[[#This Row],[_CalcFinish]]))</f>
        <v/>
      </c>
      <c r="AS181" s="47" t="str">
        <f aca="false">IF(Tasks[[#This Row],[Task Name]]="","",IF(Tasks[[#This Row],[Start]]&gt;=Tasks[[#This Row],[Planned Start]],NETWORKDAYS.INTL(Tasks[[#This Row],[Planned Start]],Tasks[[#This Row],[Start]],WorkWeek,Holidays)-1,1-NETWORKDAYS.INTL(Tasks[[#This Row],[Start]],Tasks[[#This Row],[Planned Start]],WorkWeek,Holidays)))</f>
        <v/>
      </c>
      <c r="AT181" s="63" t="str">
        <f aca="false">IF(Tasks[[#This Row],[Task Name]]="","",IF(Tasks[[#This Row],[_IsSummary]],MIN(INDEX(Tasks[_LeafLateStart],Tasks[[#This Row],[_Row]]+1):INDEX(Tasks[_LeafLateStart],Tasks[[#This Row],[_Row]]+Tasks[[#This Row],[_Descendants]])),Tasks[[#This Row],[_LeafLateStart]]))</f>
        <v/>
      </c>
      <c r="AU181" s="63" t="str">
        <f aca="false">IF(Tasks[[#This Row],[Task Name]]="","",IF(Tasks[[#This Row],[_IsSummary]],MAX(INDEX(Tasks[_LeafLateFinish],Tasks[[#This Row],[_Row]]+1):INDEX(Tasks[_LeafLateFinish],Tasks[[#This Row],[_Row]]+Tasks[[#This Row],[_Descendants]])),Tasks[[#This Row],[_LeafLateFinish]]))</f>
        <v/>
      </c>
      <c r="AV181" s="47" t="str">
        <f aca="false">IF(Tasks[[#This Row],[Task Name]]="","",IF(Tasks[[#This Row],[_IsSummary]],MIN(INDEX(Tasks[_LeafTotalSlack],Tasks[[#This Row],[_Row]]+1):INDEX(Tasks[_LeafTotalSlack],Tasks[[#This Row],[_Row]]+Tasks[[#This Row],[_Descendants]])),Tasks[[#This Row],[_LeafTotalSlack]]))</f>
        <v/>
      </c>
      <c r="AW1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5"/>
      <c r="BA18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1" t="str">
        <f aca="false">IF(Tasks[[#This Row],[Task Name]]="","",IF(Tasks[[#This Row],[_Level]]&lt;=OutlineShowLevel,"Yes","No"))</f>
        <v/>
      </c>
      <c r="BE181" s="86" t="str">
        <f aca="false">IF(Tasks[[#This Row],[Task Name]]="","",IF(Tasks[[#This Row],[_IsSummary]],SUM(INDEX(Tasks[_LeafTotalWork],Tasks[[#This Row],[_Row]]+1):INDEX(Tasks[_LeafTotalWork],Tasks[[#This Row],[_Row]]+Tasks[[#This Row],[_Descendants]])),Tasks[[#This Row],[_LeafTotalWork]]))</f>
        <v/>
      </c>
      <c r="BF181" s="23"/>
      <c r="BG1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1" s="21" t="str">
        <f aca="false">""</f>
        <v/>
      </c>
      <c r="BI181" s="87"/>
      <c r="BJ181" s="22"/>
      <c r="BK181" s="47" t="str">
        <f aca="false">IF(OR(Tasks[[#This Row],[Task Name]]="",Tasks[[#This Row],[Baseline Duration]]=""),"",Tasks[[#This Row],[_SpanDays]]-N(Tasks[[#This Row],[Baseline Duration]]))</f>
        <v/>
      </c>
      <c r="BL181" s="86" t="str">
        <f aca="false">IF(OR(Tasks[[#This Row],[Task Name]]="",Tasks[[#This Row],[Baseline Work]]=""),"",Tasks[[#This Row],[Work]]-N(Tasks[[#This Row],[Baseline Work]]))</f>
        <v/>
      </c>
      <c r="BM181" s="63" t="str">
        <f aca="false">IF(Tasks[[#This Row],[Task Name]]="","",IF(OR(TakeBaseline="Yes",N(Tasks[[#This Row],[Baseline Start]])=0),Tasks[[#This Row],[Start]],Tasks[[#This Row],[Baseline Start]]))</f>
        <v/>
      </c>
      <c r="BN181" s="63" t="str">
        <f aca="false">IF(Tasks[[#This Row],[Task Name]]="","",IF(OR(TakeBaseline="Yes",N(Tasks[[#This Row],[Baseline Finish]])=0),Tasks[[#This Row],[Finish]],Tasks[[#This Row],[Baseline Finish]]))</f>
        <v/>
      </c>
      <c r="BO181" s="21" t="str">
        <f aca="false">IF(Tasks[[#This Row],[Task Name]]="","",IF(OR(TakeBaseline="Yes",N(Tasks[[#This Row],[Baseline Duration]])=0),Tasks[[#This Row],[_SpanDays]],Tasks[[#This Row],[Baseline Duration]]))</f>
        <v/>
      </c>
      <c r="BP181" s="86" t="str">
        <f aca="false">IF(Tasks[[#This Row],[Task Name]]="","",IF(OR(TakeBaseline="Yes",N(Tasks[[#This Row],[Baseline Work]])=0),Tasks[[#This Row],[Work]],Tasks[[#This Row],[Baseline Work]]))</f>
        <v/>
      </c>
      <c r="BQ181" s="7"/>
      <c r="BR181" s="7"/>
      <c r="BS181" s="22"/>
      <c r="BT181" s="88"/>
      <c r="BU181" s="23"/>
      <c r="BV181" s="23"/>
      <c r="BW181" s="23"/>
      <c r="BX181" s="89" t="str">
        <f aca="false">IF(AND(Tasks[[#This Row],[_IsLeaf]]=1,ISNUMBER(Tasks[[#This Row],[Optimistic]]),ISNUMBER(Tasks[[#This Row],[Pessimistic]])),ROUND((Tasks[[#This Row],[Optimistic]]+4*N(Tasks[[#This Row],[_Days]])+Tasks[[#This Row],[Pessimistic]])/6,1),"")</f>
        <v/>
      </c>
      <c r="BY181" s="87"/>
      <c r="BZ181" s="87"/>
      <c r="CA181" s="22"/>
      <c r="CB181" s="43" t="str">
        <f aca="false">IF(Tasks[[#This Row],[Task Name]]="","",MAX(1,N(Tasks[[#This Row],[Level]])))</f>
        <v/>
      </c>
      <c r="CC181" s="43" t="n">
        <f aca="false">ROW()-ROW(Tasks[[#Headers],[ID]])</f>
        <v>176</v>
      </c>
      <c r="CD181" s="43" t="n">
        <f aca="false">IF(OR(Tasks[[#This Row],[Task Name]]="",Tasks[[#This Row],[_Level]]&lt;=1),0,IFERROR(LOOKUP(2,1/(Tasks[[#Headers],[_Level]]:Tasks[[#This Row],[_Level]]=Tasks[[#This Row],[_Level]]-1),ROW(Tasks[[#Headers],[_Level]]:Tasks[[#This Row],[_Level]])),0))</f>
        <v>0</v>
      </c>
      <c r="CE181" s="43" t="n">
        <f aca="false">IFERROR(N(INDEX(Tasks[_Level],Tasks[[#This Row],[_Row]]+1)),0)</f>
        <v>0</v>
      </c>
      <c r="CF181" s="90" t="b">
        <f aca="false">AND(Tasks[[#This Row],[Task Name]]&lt;&gt;"",Tasks[[#This Row],[_NextLevel]]&gt;Tasks[[#This Row],[_Level]])</f>
        <v>0</v>
      </c>
      <c r="CG181" s="43" t="n">
        <f aca="false">IF(Tasks[[#This Row],[_IsSummary]],COUNTIF(Tasks[WBS],Tasks[[#This Row],[WBS]]&amp;".*"),0)</f>
        <v>0</v>
      </c>
      <c r="CH181" s="43" t="n">
        <f aca="false">IF(AND(Tasks[[#This Row],[Task Name]]&lt;&gt;"",NOT(Tasks[[#This Row],[_IsSummary]])),1,0)</f>
        <v>0</v>
      </c>
      <c r="CI181" s="43" t="n">
        <f aca="false">IF(N(Tasks[[#This Row],[_Pred1UID]])=0,0,IFERROR(MATCH(Tasks[[#This Row],[_Pred1UID]],Tasks[UID],0),-1))</f>
        <v>0</v>
      </c>
      <c r="CJ181" s="43" t="n">
        <f aca="false">IF(N(Tasks[[#This Row],[_Pred2UID]])=0,0,IFERROR(MATCH(Tasks[[#This Row],[_Pred2UID]],Tasks[UID],0),-1))</f>
        <v>0</v>
      </c>
      <c r="CK181" s="43" t="n">
        <f aca="false">IF(N(Tasks[[#This Row],[_Pred3UID]])=0,0,IFERROR(MATCH(Tasks[[#This Row],[_Pred3UID]],Tasks[UID],0),-1))</f>
        <v>0</v>
      </c>
      <c r="CL181" s="43" t="n">
        <f aca="false">IF(N(Tasks[[#This Row],[_Pred4UID]])=0,0,IFERROR(MATCH(Tasks[[#This Row],[_Pred4UID]],Tasks[UID],0),-1))</f>
        <v>0</v>
      </c>
      <c r="CM18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1" s="91" t="n">
        <f aca="false">IF(OR(Tasks[[#This Row],[_ConstraintCode]]=2,Tasks[[#This Row],[_ConstraintCode]]=3,Tasks[[#This Row],[_ConstraintCode]]=4,Tasks[[#This Row],[_ConstraintCode]]=6),Tasks[[#This Row],[_ConstraintStart]],0)</f>
        <v>0</v>
      </c>
      <c r="CP181" s="91" t="n">
        <f aca="false">IF(OR(Tasks[[#This Row],[_ConstraintCode]]=2,Tasks[[#This Row],[_ConstraintCode]]=3,Tasks[[#This Row],[_ConstraintCode]]=5,Tasks[[#This Row],[_ConstraintCode]]=7),Tasks[[#This Row],[_ConstraintStart]],2958465)</f>
        <v>2958465</v>
      </c>
      <c r="CQ18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1" s="91" t="str">
        <f aca="false">IF(NOT(Tasks[[#This Row],[_IsLeaf]]=1),"",IF(N(Tasks[[#This Row],[_Days]])&lt;=0,Tasks[[#This Row],[_LeafCalcStart]],WORKDAY.INTL(Tasks[[#This Row],[_LeafCalcStart]],Tasks[[#This Row],[_Days]]-1,WorkWeek,Holidays)))</f>
        <v/>
      </c>
      <c r="CS18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1" s="43" t="str">
        <f aca="false">IF(Tasks[[#This Row],[_Predecessors]]="","",TRIM(MID(SUBSTITUTE(SUBSTITUTE(SUBSTITUTE(UPPER(Tasks[[#This Row],[_Predecessors]]),";",",")," ",""),",",REPT(" ",99)),1,99)))</f>
        <v/>
      </c>
      <c r="CV181" s="43" t="str">
        <f aca="false">IF(Tasks[[#This Row],[_Pred1Text]]="","",IFERROR(VALUE(LEFT(Tasks[[#This Row],[_Pred1Text]],MIN(FIND("F",Tasks[[#This Row],[_Pred1Text]]&amp;"F"),FIND("S",Tasks[[#This Row],[_Pred1Text]]&amp;"S"),FIND("+",Tasks[[#This Row],[_Pred1Text]]&amp;"+"),FIND("-",Tasks[[#This Row],[_Pred1Text]]&amp;"-"))-1)),""))</f>
        <v/>
      </c>
      <c r="CW18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1" s="43" t="str">
        <f aca="false">IF(Tasks[[#This Row],[_Pred1Text]]="","",TRIM(MID(SUBSTITUTE(SUBSTITUTE(SUBSTITUTE(UPPER(Tasks[[#This Row],[_Predecessors]]),";",",")," ",""),",",REPT(" ",99)),100,99)))</f>
        <v/>
      </c>
      <c r="CZ181" s="43" t="str">
        <f aca="false">IF(Tasks[[#This Row],[_Pred2Text]]="","",IFERROR(VALUE(LEFT(Tasks[[#This Row],[_Pred2Text]],MIN(FIND("F",Tasks[[#This Row],[_Pred2Text]]&amp;"F"),FIND("S",Tasks[[#This Row],[_Pred2Text]]&amp;"S"),FIND("+",Tasks[[#This Row],[_Pred2Text]]&amp;"+"),FIND("-",Tasks[[#This Row],[_Pred2Text]]&amp;"-"))-1)),""))</f>
        <v/>
      </c>
      <c r="DA18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1" s="43" t="str">
        <f aca="false">IF(Tasks[[#This Row],[_Pred2Text]]="","",TRIM(MID(SUBSTITUTE(SUBSTITUTE(SUBSTITUTE(UPPER(Tasks[[#This Row],[_Predecessors]]),";",",")," ",""),",",REPT(" ",99)),199,99)))</f>
        <v/>
      </c>
      <c r="DD181" s="43" t="str">
        <f aca="false">IF(Tasks[[#This Row],[_Pred3Text]]="","",IFERROR(VALUE(LEFT(Tasks[[#This Row],[_Pred3Text]],MIN(FIND("F",Tasks[[#This Row],[_Pred3Text]]&amp;"F"),FIND("S",Tasks[[#This Row],[_Pred3Text]]&amp;"S"),FIND("+",Tasks[[#This Row],[_Pred3Text]]&amp;"+"),FIND("-",Tasks[[#This Row],[_Pred3Text]]&amp;"-"))-1)),""))</f>
        <v/>
      </c>
      <c r="DE18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1" s="43" t="str">
        <f aca="false">IF(Tasks[[#This Row],[_Pred3Text]]="","",TRIM(MID(SUBSTITUTE(SUBSTITUTE(SUBSTITUTE(UPPER(Tasks[[#This Row],[_Predecessors]]),";",",")," ",""),",",REPT(" ",99)),298,99)))</f>
        <v/>
      </c>
      <c r="DH181" s="43" t="str">
        <f aca="false">IF(Tasks[[#This Row],[_Pred4Text]]="","",IFERROR(VALUE(LEFT(Tasks[[#This Row],[_Pred4Text]],MIN(FIND("F",Tasks[[#This Row],[_Pred4Text]]&amp;"F"),FIND("S",Tasks[[#This Row],[_Pred4Text]]&amp;"S"),FIND("+",Tasks[[#This Row],[_Pred4Text]]&amp;"+"),FIND("-",Tasks[[#This Row],[_Pred4Text]]&amp;"-"))-1)),""))</f>
        <v/>
      </c>
      <c r="DI18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1" s="43" t="str">
        <f aca="false">IF(OR(Tasks[[#This Row],[Task Name]]="",Tasks[[#This Row],[_Resources]]=""),"",TRIM(MID(SUBSTITUTE(Tasks[[#This Row],[_Resources]],",",REPT(" ",99)),1,99)))</f>
        <v/>
      </c>
      <c r="DL181" s="43" t="str">
        <f aca="false">IF(Tasks[[#This Row],[_Res1Text]]="","",TRIM(MID(SUBSTITUTE(Tasks[[#This Row],[_Resources]],",",REPT(" ",99)),100,99)))</f>
        <v/>
      </c>
      <c r="DM181" s="43" t="str">
        <f aca="false">IF(Tasks[[#This Row],[_Res2Text]]="","",TRIM(MID(SUBSTITUTE(Tasks[[#This Row],[_Resources]],",",REPT(" ",99)),199,99)))</f>
        <v/>
      </c>
      <c r="DN181" s="43" t="str">
        <f aca="false">IF(Tasks[[#This Row],[_Res3Text]]="","",TRIM(MID(SUBSTITUTE(Tasks[[#This Row],[_Resources]],",",REPT(" ",99)),298,99)))</f>
        <v/>
      </c>
      <c r="DO181" s="43" t="n">
        <f aca="false">IF(Tasks[[#This Row],[_Res1Text]]="",0,IFERROR(MATCH(TRIM(LEFT(Tasks[[#This Row],[_Res1Text]],FIND("[",Tasks[[#This Row],[_Res1Text]]&amp;"[")-1)),res_Name,0),IFERROR(MATCH(TRIM(LEFT(Tasks[[#This Row],[_Res1Text]],FIND("[",Tasks[[#This Row],[_Res1Text]]&amp;"[")-1)),res_Initials,0),0)))</f>
        <v>0</v>
      </c>
      <c r="DP181" s="43" t="n">
        <f aca="false">IF(Tasks[[#This Row],[_Res2Text]]="",0,IFERROR(MATCH(TRIM(LEFT(Tasks[[#This Row],[_Res2Text]],FIND("[",Tasks[[#This Row],[_Res2Text]]&amp;"[")-1)),res_Name,0),IFERROR(MATCH(TRIM(LEFT(Tasks[[#This Row],[_Res2Text]],FIND("[",Tasks[[#This Row],[_Res2Text]]&amp;"[")-1)),res_Initials,0),0)))</f>
        <v>0</v>
      </c>
      <c r="DQ181" s="43" t="n">
        <f aca="false">IF(Tasks[[#This Row],[_Res3Text]]="",0,IFERROR(MATCH(TRIM(LEFT(Tasks[[#This Row],[_Res3Text]],FIND("[",Tasks[[#This Row],[_Res3Text]]&amp;"[")-1)),res_Name,0),IFERROR(MATCH(TRIM(LEFT(Tasks[[#This Row],[_Res3Text]],FIND("[",Tasks[[#This Row],[_Res3Text]]&amp;"[")-1)),res_Initials,0),0)))</f>
        <v>0</v>
      </c>
      <c r="DR181" s="43" t="n">
        <f aca="false">IF(Tasks[[#This Row],[_Res4Text]]="",0,IFERROR(MATCH(TRIM(LEFT(Tasks[[#This Row],[_Res4Text]],FIND("[",Tasks[[#This Row],[_Res4Text]]&amp;"[")-1)),res_Name,0),IFERROR(MATCH(TRIM(LEFT(Tasks[[#This Row],[_Res4Text]],FIND("[",Tasks[[#This Row],[_Res4Text]]&amp;"[")-1)),res_Initials,0),0)))</f>
        <v>0</v>
      </c>
      <c r="DS181" s="43" t="str">
        <f aca="false">IF(Tasks[[#This Row],[_Res1Text]]="","",IF(Tasks[[#This Row],[_Res1Row]]&gt;0,INDEX(res_Name,Tasks[[#This Row],[_Res1Row]]),TRIM(LEFT(Tasks[[#This Row],[_Res1Text]],FIND("[",Tasks[[#This Row],[_Res1Text]]&amp;"[")-1))))</f>
        <v/>
      </c>
      <c r="DT18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1" s="43" t="n">
        <f aca="false">IF(NOT(Tasks[[#This Row],[_IsLeaf]]=1),0,(Tasks[[#This Row],[_Resource1]]&lt;&gt;"")+(Tasks[[#This Row],[_Res2]]&lt;&gt;"")+(Tasks[[#This Row],[_Res3]]&lt;&gt;"")+(Tasks[[#This Row],[_Res4]]&lt;&gt;""))</f>
        <v>0</v>
      </c>
      <c r="DV181" s="43" t="str">
        <f aca="false">IF(Tasks[[#This Row],[_Res2Text]]="","",IF(Tasks[[#This Row],[_Res2Row]]&gt;0,INDEX(res_Name,Tasks[[#This Row],[_Res2Row]]),TRIM(LEFT(Tasks[[#This Row],[_Res2Text]],FIND("[",Tasks[[#This Row],[_Res2Text]]&amp;"[")-1))))</f>
        <v/>
      </c>
      <c r="DW18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1" s="43" t="n">
        <f aca="false">IF(OR(NOT(Tasks[[#This Row],[_IsLeaf]]=1),Tasks[[#This Row],[_Res2Row]]=0),0,N(Tasks[[#This Row],[_Days]])*HoursPerDay*IF(Tasks[[#This Row],[_Res2Units]]="",DefaultUnits,Tasks[[#This Row],[_Res2Units]]))</f>
        <v>0</v>
      </c>
      <c r="DY181" s="43" t="n">
        <f aca="false">IF(AND(AND(Tasks[[#This Row],[_IsLeaf]]=1,Tasks[[#This Row],[_LeafTotalWork]]&gt;0),Tasks[[#This Row],[_Res2Work]]&gt;0),Tasks[[#This Row],[_Res2Work]]/(Tasks[[#This Row],[_FinishWorkday]]-Tasks[[#This Row],[_StartWorkday]]+1),0)</f>
        <v>0</v>
      </c>
      <c r="DZ181" s="43" t="n">
        <f aca="false">Tasks[[#This Row],[_Res2WorkPerWD]]*MAX(0,Tasks[[#This Row],[_StartWorkday]]-1)</f>
        <v>0</v>
      </c>
      <c r="EA181" s="43" t="n">
        <f aca="false">Tasks[[#This Row],[_Res2Work]]*Tasks[[#This Row],[_LeafProgress]]</f>
        <v>0</v>
      </c>
      <c r="EB181" s="43" t="str">
        <f aca="false">IF(Tasks[[#This Row],[_Res3Text]]="","",IF(Tasks[[#This Row],[_Res3Row]]&gt;0,INDEX(res_Name,Tasks[[#This Row],[_Res3Row]]),TRIM(LEFT(Tasks[[#This Row],[_Res3Text]],FIND("[",Tasks[[#This Row],[_Res3Text]]&amp;"[")-1))))</f>
        <v/>
      </c>
      <c r="EC18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1" s="43" t="n">
        <f aca="false">IF(OR(NOT(Tasks[[#This Row],[_IsLeaf]]=1),Tasks[[#This Row],[_Res3Row]]=0),0,N(Tasks[[#This Row],[_Days]])*HoursPerDay*IF(Tasks[[#This Row],[_Res3Units]]="",DefaultUnits,Tasks[[#This Row],[_Res3Units]]))</f>
        <v>0</v>
      </c>
      <c r="EE181" s="43" t="n">
        <f aca="false">IF(AND(AND(Tasks[[#This Row],[_IsLeaf]]=1,Tasks[[#This Row],[_LeafTotalWork]]&gt;0),Tasks[[#This Row],[_Res3Work]]&gt;0),Tasks[[#This Row],[_Res3Work]]/(Tasks[[#This Row],[_FinishWorkday]]-Tasks[[#This Row],[_StartWorkday]]+1),0)</f>
        <v>0</v>
      </c>
      <c r="EF181" s="43" t="n">
        <f aca="false">Tasks[[#This Row],[_Res3WorkPerWD]]*MAX(0,Tasks[[#This Row],[_StartWorkday]]-1)</f>
        <v>0</v>
      </c>
      <c r="EG181" s="43" t="n">
        <f aca="false">Tasks[[#This Row],[_Res3Work]]*Tasks[[#This Row],[_LeafProgress]]</f>
        <v>0</v>
      </c>
      <c r="EH181" s="43" t="str">
        <f aca="false">IF(Tasks[[#This Row],[_Res4Text]]="","",IF(Tasks[[#This Row],[_Res4Row]]&gt;0,INDEX(res_Name,Tasks[[#This Row],[_Res4Row]]),TRIM(LEFT(Tasks[[#This Row],[_Res4Text]],FIND("[",Tasks[[#This Row],[_Res4Text]]&amp;"[")-1))))</f>
        <v/>
      </c>
      <c r="EI18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1" s="43" t="n">
        <f aca="false">IF(OR(NOT(Tasks[[#This Row],[_IsLeaf]]=1),Tasks[[#This Row],[_Res4Row]]=0),0,N(Tasks[[#This Row],[_Days]])*HoursPerDay*IF(Tasks[[#This Row],[_Res4Units]]="",DefaultUnits,Tasks[[#This Row],[_Res4Units]]))</f>
        <v>0</v>
      </c>
      <c r="EK181" s="43" t="n">
        <f aca="false">IF(AND(AND(Tasks[[#This Row],[_IsLeaf]]=1,Tasks[[#This Row],[_LeafTotalWork]]&gt;0),Tasks[[#This Row],[_Res4Work]]&gt;0),Tasks[[#This Row],[_Res4Work]]/(Tasks[[#This Row],[_FinishWorkday]]-Tasks[[#This Row],[_StartWorkday]]+1),0)</f>
        <v>0</v>
      </c>
      <c r="EL181" s="43" t="n">
        <f aca="false">Tasks[[#This Row],[_Res4WorkPerWD]]*MAX(0,Tasks[[#This Row],[_StartWorkday]]-1)</f>
        <v>0</v>
      </c>
      <c r="EM181" s="43" t="n">
        <f aca="false">Tasks[[#This Row],[_Res4Work]]*Tasks[[#This Row],[_LeafProgress]]</f>
        <v>0</v>
      </c>
      <c r="EN181" s="43" t="n">
        <f aca="false">IF(ISNUMBER(Tasks[[#This Row],[% Complete]]),Tasks[[#This Row],[% Complete]],IF(Tasks[[#This Row],[Stage]]="",0,IFERROR(INDEX(stg_Pct,MATCH(Tasks[[#This Row],[Stage]],stg_Name,0)),0)))</f>
        <v>0</v>
      </c>
      <c r="EO181" s="43" t="n">
        <f aca="false">IF(NOT(Tasks[[#This Row],[_IsLeaf]]=1),0,IF(N(Tasks[[#This Row],[Actual Finish]])&gt;0,1,MIN(1,Tasks[[#This Row],[_Pct]])))</f>
        <v>0</v>
      </c>
      <c r="EP181" s="43" t="n">
        <f aca="false">IF(OR(NOT(Tasks[[#This Row],[_IsLeaf]]=1),Tasks[[#This Row],[_Res1Row]]=0),0,N(Tasks[[#This Row],[_Days]])*HoursPerDay*IF(Tasks[[#This Row],[_Units1]]="",DefaultUnits,Tasks[[#This Row],[_Units1]]))</f>
        <v>0</v>
      </c>
      <c r="EQ181" s="43" t="n">
        <f aca="false">Tasks[[#This Row],[_LeafWork]]+Tasks[[#This Row],[_Res2Work]]+Tasks[[#This Row],[_Res3Work]]+Tasks[[#This Row],[_Res4Work]]</f>
        <v>0</v>
      </c>
      <c r="ER18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1" s="43" t="n">
        <f aca="false">IF(NOT(Tasks[[#This Row],[_IsLeaf]]=1),0,MAX(_xlfn.MAXIFS(Tasks[_Row],Tasks[_Pred1UID],Tasks[[#This Row],[UID]]),_xlfn.MAXIFS(Tasks[_Row],Tasks[_Pred2UID],Tasks[[#This Row],[UID]]),_xlfn.MAXIFS(Tasks[_Row],Tasks[_Pred3UID],Tasks[[#This Row],[UID]]),_xlfn.MAXIFS(Tasks[_Row],Tasks[_Pred4UID],Tasks[[#This Row],[UID]])))</f>
        <v>0</v>
      </c>
      <c r="FA18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1" s="91" t="str">
        <f aca="false">IF(NOT(Tasks[[#This Row],[_IsLeaf]]=1),"",IF(N(Tasks[[#This Row],[_Days]])&lt;=0,Tasks[[#This Row],[_LeafLateFinish]],WORKDAY.INTL(Tasks[[#This Row],[_LeafLateFinish]],-(Tasks[[#This Row],[_Days]]-1),WorkWeek,Holidays)))</f>
        <v/>
      </c>
      <c r="FD18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1" s="90" t="b">
        <f aca="false">AND(Tasks[[#This Row],[_IsLeaf]]=1,Tasks[[#This Row],[_LeafProgress]]&lt;1,N(Tasks[[#This Row],[_LeafTotalSlack]])&lt;=CriticalSlackDays)</f>
        <v>0</v>
      </c>
      <c r="FF181" s="43" t="n">
        <f aca="false">IF(AND(Tasks[[#This Row],[_IsLeaf]]=1,Tasks[[#This Row],[_ConstraintCode]]=1,Tasks[[#This Row],[Mode]]&lt;&gt;"Manual",N(Tasks[[#This Row],[Actual Start]])=0),MAX(0,N(Tasks[[#This Row],[Free Slack]])),0)</f>
        <v>0</v>
      </c>
      <c r="FG181" s="91" t="str">
        <f aca="false">IF(NOT(Tasks[[#This Row],[_IsLeaf]]=1),"",IF(Tasks[[#This Row],[_AlapShift]]=0,Tasks[[#This Row],[_LeafCalcStart]],WORKDAY.INTL(Tasks[[#This Row],[_LeafCalcStart]],Tasks[[#This Row],[_AlapShift]],WorkWeek,Holidays)))</f>
        <v/>
      </c>
      <c r="FH181" s="91" t="str">
        <f aca="false">IF(NOT(Tasks[[#This Row],[_IsLeaf]]=1),"",IF(Tasks[[#This Row],[_AlapShift]]=0,Tasks[[#This Row],[_LeafCalcFinish]],WORKDAY.INTL(Tasks[[#This Row],[_LeafCalcFinish]],Tasks[[#This Row],[_AlapShift]],WorkWeek,Holidays)))</f>
        <v/>
      </c>
      <c r="FI181" s="91" t="str">
        <f aca="false">IF(NOT(Tasks[[#This Row],[_IsLeaf]]=1),"",IF(Tasks[[#This Row],[_AlapShift]]=0,Tasks[[#This Row],[_LeafFcstStart]],WORKDAY.INTL(Tasks[[#This Row],[_LeafFcstStart]],Tasks[[#This Row],[_AlapShift]],WorkWeek,Holidays)))</f>
        <v/>
      </c>
      <c r="FJ181" s="91" t="str">
        <f aca="false">IF(NOT(Tasks[[#This Row],[_IsLeaf]]=1),"",IF(Tasks[[#This Row],[_AlapShift]]=0,Tasks[[#This Row],[_LeafFcstFinish]],WORKDAY.INTL(Tasks[[#This Row],[_LeafFcstFinish]],Tasks[[#This Row],[_AlapShift]],WorkWeek,Holidays)))</f>
        <v/>
      </c>
      <c r="FK181" s="91" t="str">
        <f aca="false">IF(Tasks[[#This Row],[Task Name]]="","",IF(Tasks[[#This Row],[_IsSummary]],MIN(INDEX(Tasks[_ShownCalcStart],Tasks[[#This Row],[_Row]]+1):INDEX(Tasks[_ShownCalcStart],Tasks[[#This Row],[_Row]]+Tasks[[#This Row],[_Descendants]])),Tasks[[#This Row],[_ShownCalcStart]]))</f>
        <v/>
      </c>
      <c r="FL181" s="91" t="str">
        <f aca="false">IF(Tasks[[#This Row],[Task Name]]="","",IF(Tasks[[#This Row],[_IsSummary]],MAX(INDEX(Tasks[_ShownCalcFinish],Tasks[[#This Row],[_Row]]+1):INDEX(Tasks[_ShownCalcFinish],Tasks[[#This Row],[_Row]]+Tasks[[#This Row],[_Descendants]])),Tasks[[#This Row],[_ShownCalcFinish]]))</f>
        <v/>
      </c>
      <c r="FM18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1" s="43" t="n">
        <f aca="false">IF(AND(Tasks[[#This Row],[_IsLeaf]]=1,Tasks[[#This Row],[_LeafTotalWork]]&gt;0),NETWORKDAYS.INTL(ProjectStart,Tasks[[#This Row],[_ShownFcstStart]],WorkWeek,Holidays),0)</f>
        <v>0</v>
      </c>
      <c r="FZ181" s="43" t="n">
        <f aca="false">IF(AND(Tasks[[#This Row],[_IsLeaf]]=1,Tasks[[#This Row],[_LeafTotalWork]]&gt;0),MAX(Tasks[[#This Row],[_StartWorkday]],NETWORKDAYS.INTL(ProjectStart,Tasks[[#This Row],[_ShownFcstFinish]],WorkWeek,Holidays)),0)</f>
        <v>0</v>
      </c>
      <c r="GA181" s="43" t="n">
        <f aca="false">IF(AND(Tasks[[#This Row],[_IsLeaf]]=1,Tasks[[#This Row],[_LeafTotalWork]]&gt;0),Tasks[[#This Row],[_LeafWork]]/(Tasks[[#This Row],[_FinishWorkday]]-Tasks[[#This Row],[_StartWorkday]]+1),0)</f>
        <v>0</v>
      </c>
      <c r="GB181" s="43" t="n">
        <f aca="false">Tasks[[#This Row],[_WorkPerWorkday]]*(Tasks[[#This Row],[_StartWorkday]]-1)</f>
        <v>-0</v>
      </c>
      <c r="GC181" s="43" t="n">
        <f aca="false">IF(Tasks[[#This Row],[_IsLeaf]]=1,MAX(N(Tasks[[#This Row],[_Days]]),0.1),0)</f>
        <v>0</v>
      </c>
      <c r="GD181" s="43" t="n">
        <f aca="false">Tasks[[#This Row],[_WeightDur]]*Tasks[[#This Row],[_LeafProgress]]</f>
        <v>0</v>
      </c>
      <c r="GE181" s="43" t="n">
        <f aca="false">Tasks[[#This Row],[_WeightDur]]*Tasks[[#This Row],[_PlannedPct]]</f>
        <v>0</v>
      </c>
      <c r="GF18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1" s="43" t="str">
        <f aca="false">IF(AND(Tasks[[#This Row],[_IsLeaf]]=1,N(Tasks[[#This Row],[_Days]])=0,Tasks[[#This Row],[_LeafProgress]]&lt;1),Tasks[[#This Row],[_ShownFcstFinish]]+Tasks[[#This Row],[_Row]]/100000,"")</f>
        <v/>
      </c>
      <c r="GH18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1" s="43" t="str">
        <f aca="false">IF(Tasks[[#This Row],[Task Name]]="","",LEFT(Tasks[[#This Row],[WBS]],FIND(".",Tasks[[#This Row],[WBS]]&amp;".")-1))</f>
        <v/>
      </c>
      <c r="GJ181" s="43" t="str">
        <f aca="false">IF(AND(Tasks[[#This Row],[Task Name]]&lt;&gt;"",Tasks[[#This Row],[_Level]]=1),Tasks[[#This Row],[_Row]],"")</f>
        <v/>
      </c>
      <c r="GK181" s="43" t="str">
        <f aca="false">IF(AND(Tasks[[#This Row],[_IsLeaf]]=1,N(Tasks[[#This Row],[_Days]])=0),Tasks[[#This Row],[Planned Finish]]+Tasks[[#This Row],[_Row]]/100000,"")</f>
        <v/>
      </c>
      <c r="GL181" s="43" t="str">
        <f aca="false">IF(AND(Tasks[[#This Row],[_IsLeaf]]=1,Tasks[[#This Row],[_LeafProgress]]&lt;1,OR(N(Tasks[[#This Row],[Finish Var]])&gt;0,Tasks[[#This Row],[Status]]="Late Start")),MAX(0,Tasks[[#This Row],[Finish Var]])+1-Tasks[[#This Row],[_Row]]/1000000,"")</f>
        <v/>
      </c>
      <c r="GM181" s="43" t="str">
        <f aca="false">IF(AND(Tasks[[#This Row],[_IsLeaf]]=1,N(Tasks[[#This Row],[Actual Start]])=0,Tasks[[#This Row],[_ShownFcstStart]]&gt;=StatusDate,Tasks[[#This Row],[_ShownFcstStart]]&lt;=LookaheadEnd),Tasks[[#This Row],[_ShownFcstStart]]+Tasks[[#This Row],[_Row]]/100000,"")</f>
        <v/>
      </c>
      <c r="GN181" s="43" t="str">
        <f aca="false">IF(AND(Tasks[[#This Row],[_IsLeaf]]=1,Tasks[[#This Row],[_LeafProgress]]&lt;1,Tasks[[#This Row],[_ShownFcstFinish]]&gt;=StatusDate,Tasks[[#This Row],[_ShownFcstFinish]]&lt;=LookaheadEnd),Tasks[[#This Row],[_ShownFcstFinish]]+Tasks[[#This Row],[_Row]]/100000,"")</f>
        <v/>
      </c>
      <c r="GO181" s="43" t="str">
        <f aca="false">IF(Tasks[[#This Row],[_LeafCritical]],Tasks[[#This Row],[_ShownFcstStart]]+Tasks[[#This Row],[_Row]]/100000,"")</f>
        <v/>
      </c>
      <c r="GP181" s="43" t="n">
        <f aca="false">Tasks[[#This Row],[_LeafWork]]*Tasks[[#This Row],[_LeafProgress]]</f>
        <v>0</v>
      </c>
      <c r="GQ181" s="91" t="str">
        <f aca="false">IF(AND(Tasks[[#This Row],[_IsLeaf]]=1,Tasks[[#This Row],[_LeafProgress]]&gt;=1),IF(N(Tasks[[#This Row],[Actual Finish]])&gt;0,Tasks[[#This Row],[Actual Finish]],Tasks[[#This Row],[_ShownFcstFinish]]),"")</f>
        <v/>
      </c>
      <c r="GR181" s="43" t="n">
        <f aca="false">IF(Tasks[[#This Row],[_IsLeaf]]=1,N(Tasks[[#This Row],[Story Points]]),0)</f>
        <v>0</v>
      </c>
      <c r="GS181" s="43" t="str">
        <f aca="false">""</f>
        <v/>
      </c>
      <c r="GT181" s="90" t="b">
        <f aca="false">IF(Tasks[[#This Row],[Task Name]]="",FALSE(),AND(Tasks[[#This Row],[_IsLeaf]]=1,N(Tasks[[#This Row],[_Days]])=0))</f>
        <v>0</v>
      </c>
      <c r="GU181" s="91" t="n">
        <f aca="false">IF(Tasks[[#This Row],[Task Name]]="",0,IF(AND(Tasks[[#This Row],[_IsLeaf]]=1,NOT(Tasks[[#This Row],[_IsMilestone]]),N(Tasks[[#This Row],[Progress]])&gt;0),Tasks[[#This Row],[Start]],0))</f>
        <v>0</v>
      </c>
      <c r="GV181" s="91" t="n">
        <f aca="false">IF(Tasks[[#This Row],[_DoneFrom]]=0,0,IF(Tasks[[#This Row],[Progress]]&gt;=1,Tasks[[#This Row],[Finish]],MAX(Tasks[[#This Row],[_DoneFrom]],Tasks[[#This Row],[Start]]+ROUND((Tasks[[#This Row],[Finish]]-Tasks[[#This Row],[Start]]+1)*Tasks[[#This Row],[Progress]],0)-1)))</f>
        <v>0</v>
      </c>
      <c r="GW181" s="91" t="n">
        <f aca="false">IF(Tasks[[#This Row],[Task Name]]="",0,IF(OR(NOT(Tasks[[#This Row],[_IsLeaf]]=1),Tasks[[#This Row],[_IsMilestone]],N(Tasks[[#This Row],[Progress]])&gt;=1),0,IF(Tasks[[#This Row],[_DoneTo]]&gt;0,Tasks[[#This Row],[_DoneTo]]+1,Tasks[[#This Row],[Start]])))</f>
        <v>0</v>
      </c>
      <c r="GX181" s="91" t="n">
        <f aca="false">IF(Tasks[[#This Row],[_RemFrom]]=0,0,Tasks[[#This Row],[Finish]])</f>
        <v>0</v>
      </c>
      <c r="GY181" s="90" t="b">
        <f aca="false">IF(Tasks[[#This Row],[Task Name]]="",FALSE(),OR(NOT(BaselineSet),N(Tasks[[#This Row],[Baseline Start]])&gt;0))</f>
        <v>0</v>
      </c>
      <c r="GZ18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1" s="92" t="str">
        <f aca="false">IF(Tasks[[#This Row],[_IsLeaf]]=1,Tasks[[#This Row],[_Row]],"")</f>
        <v/>
      </c>
      <c r="HD181" s="92" t="str">
        <f aca="false">IFERROR(INDEX(Tasks[UID],SMALL(Tasks[_PickKey],Tasks[[#This Row],[_Row]]))&amp;" "&amp;INDEX(Tasks[Task Name],SMALL(Tasks[_PickKey],Tasks[[#This Row],[_Row]])),"")</f>
        <v/>
      </c>
      <c r="HE181" s="43" t="str">
        <f aca="false">IF(Tasks[[#This Row],[Task Name]]="","",IF(Tasks[[#This Row],[_IsSummary]],NETWORKDAYS.INTL(Tasks[[#This Row],[Start]],Tasks[[#This Row],[Finish]],WorkWeek,Holidays),N(Tasks[[#This Row],[_Days]])))</f>
        <v/>
      </c>
      <c r="HF181" s="43" t="n">
        <f aca="false">IF(Tasks[[#This Row],[Expected]]="",0,((Tasks[[#This Row],[Pessimistic]]-Tasks[[#This Row],[Optimistic]])/6)^2)</f>
        <v>0</v>
      </c>
      <c r="HG181" s="43" t="n">
        <f aca="false">IF(Tasks[[#This Row],[Expected]]="",0,Tasks[[#This Row],[Expected]]-N(Tasks[[#This Row],[_Days]]))</f>
        <v>0</v>
      </c>
    </row>
    <row r="182" customFormat="false" ht="15" hidden="false" customHeight="false" outlineLevel="0" collapsed="false">
      <c r="A182" s="21" t="str">
        <f aca="false">IF(Tasks[[#This Row],[Task Name]]="","",COUNTA(Tasks[[#Headers],[Task Name]]:Tasks[[#This Row],[Task Name]])-1)</f>
        <v/>
      </c>
      <c r="B182" s="22" t="n">
        <v>190</v>
      </c>
      <c r="C182" s="22"/>
      <c r="D182" s="23"/>
      <c r="E182" s="22"/>
      <c r="F182" s="23"/>
      <c r="G182" s="22"/>
      <c r="H182" s="22"/>
      <c r="I182" s="23"/>
      <c r="J182" s="22"/>
      <c r="K182" s="22"/>
      <c r="L182" s="23"/>
      <c r="M182" s="22"/>
      <c r="N182" s="22"/>
      <c r="O182" s="23"/>
      <c r="P182" s="22"/>
      <c r="Q182" s="22"/>
      <c r="R182" s="23"/>
      <c r="S182" s="23"/>
      <c r="T182" s="84"/>
      <c r="U182" s="23"/>
      <c r="V182" s="84"/>
      <c r="W182" s="23"/>
      <c r="X182" s="84"/>
      <c r="Y182" s="23"/>
      <c r="Z182" s="84"/>
      <c r="AA182" s="23"/>
      <c r="AB182" s="23"/>
      <c r="AC182" s="7"/>
      <c r="AD182" s="7"/>
      <c r="AE182" s="63" t="str">
        <f aca="false">IF(Tasks[[#This Row],[Task Name]]="","",IF(Tasks[[#This Row],[_IsSummary]],MIN(INDEX(Tasks[_ShownFcstStart],Tasks[[#This Row],[_Row]]+1):INDEX(Tasks[_ShownFcstStart],Tasks[[#This Row],[_Row]]+Tasks[[#This Row],[_Descendants]])),Tasks[[#This Row],[_ShownFcstStart]]))</f>
        <v/>
      </c>
      <c r="AF182" s="63" t="str">
        <f aca="false">IF(Tasks[[#This Row],[Task Name]]="","",IF(Tasks[[#This Row],[_IsSummary]],MAX(INDEX(Tasks[_ShownFcstFinish],Tasks[[#This Row],[_Row]]+1):INDEX(Tasks[_ShownFcstFinish],Tasks[[#This Row],[_Row]]+Tasks[[#This Row],[_Descendants]])),Tasks[[#This Row],[_ShownFcstFinish]]))</f>
        <v/>
      </c>
      <c r="AG182" s="21" t="str">
        <f aca="false">""</f>
        <v/>
      </c>
      <c r="AH182" s="23"/>
      <c r="AI1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2" s="7"/>
      <c r="AK182" s="22"/>
      <c r="AL182" s="23"/>
      <c r="AM182" s="7"/>
      <c r="AN182" s="47" t="str">
        <f aca="false">IF(Tasks[[#This Row],[Task Name]]="","",IF(Tasks[[#This Row],[Finish]]&gt;=Tasks[[#This Row],[Planned Finish]],NETWORKDAYS.INTL(Tasks[[#This Row],[Planned Finish]],Tasks[[#This Row],[Finish]],WorkWeek,Holidays)-1,1-NETWORKDAYS.INTL(Tasks[[#This Row],[Finish]],Tasks[[#This Row],[Planned Finish]],WorkWeek,Holidays)))</f>
        <v/>
      </c>
      <c r="AO182" s="21" t="str">
        <f aca="false">IF(Tasks[[#This Row],[Task Name]]="","",IF(Tasks[[#This Row],[Progress]]&gt;=1,"Complete",IF(OR(N(Tasks[[#This Row],[Actual Start]])&gt;0,Tasks[[#This Row],[Progress]]&gt;0),IF(Tasks[[#This Row],[Finish Var]]&gt;0,"Behind","In Progress"),IF(Tasks[[#This Row],[Planned Start]]&lt;StatusDate,"Late Start","Not Started"))))</f>
        <v/>
      </c>
      <c r="AP182" s="21" t="str">
        <f aca="false">IF(Tasks[[#This Row],[Task Name]]="","",IF(IF(Tasks[[#This Row],[_IsSummary]],COUNTIF(INDEX(Tasks[_LeafCritical],Tasks[[#This Row],[_Row]]+1):INDEX(Tasks[_LeafCritical],Tasks[[#This Row],[_Row]]+Tasks[[#This Row],[_Descendants]]),TRUE())&gt;0,Tasks[[#This Row],[_LeafCritical]]),"Yes",""))</f>
        <v/>
      </c>
      <c r="AQ182" s="63" t="str">
        <f aca="false">IF(Tasks[[#This Row],[Task Name]]="","",IF(N(Tasks[[#This Row],[Baseline Start]])&gt;0,Tasks[[#This Row],[Baseline Start]],Tasks[[#This Row],[_CalcStart]]))</f>
        <v/>
      </c>
      <c r="AR182" s="63" t="str">
        <f aca="false">IF(Tasks[[#This Row],[Task Name]]="","",IF(N(Tasks[[#This Row],[Baseline Finish]])&gt;0,Tasks[[#This Row],[Baseline Finish]],Tasks[[#This Row],[_CalcFinish]]))</f>
        <v/>
      </c>
      <c r="AS182" s="47" t="str">
        <f aca="false">IF(Tasks[[#This Row],[Task Name]]="","",IF(Tasks[[#This Row],[Start]]&gt;=Tasks[[#This Row],[Planned Start]],NETWORKDAYS.INTL(Tasks[[#This Row],[Planned Start]],Tasks[[#This Row],[Start]],WorkWeek,Holidays)-1,1-NETWORKDAYS.INTL(Tasks[[#This Row],[Start]],Tasks[[#This Row],[Planned Start]],WorkWeek,Holidays)))</f>
        <v/>
      </c>
      <c r="AT182" s="63" t="str">
        <f aca="false">IF(Tasks[[#This Row],[Task Name]]="","",IF(Tasks[[#This Row],[_IsSummary]],MIN(INDEX(Tasks[_LeafLateStart],Tasks[[#This Row],[_Row]]+1):INDEX(Tasks[_LeafLateStart],Tasks[[#This Row],[_Row]]+Tasks[[#This Row],[_Descendants]])),Tasks[[#This Row],[_LeafLateStart]]))</f>
        <v/>
      </c>
      <c r="AU182" s="63" t="str">
        <f aca="false">IF(Tasks[[#This Row],[Task Name]]="","",IF(Tasks[[#This Row],[_IsSummary]],MAX(INDEX(Tasks[_LeafLateFinish],Tasks[[#This Row],[_Row]]+1):INDEX(Tasks[_LeafLateFinish],Tasks[[#This Row],[_Row]]+Tasks[[#This Row],[_Descendants]])),Tasks[[#This Row],[_LeafLateFinish]]))</f>
        <v/>
      </c>
      <c r="AV182" s="47" t="str">
        <f aca="false">IF(Tasks[[#This Row],[Task Name]]="","",IF(Tasks[[#This Row],[_IsSummary]],MIN(INDEX(Tasks[_LeafTotalSlack],Tasks[[#This Row],[_Row]]+1):INDEX(Tasks[_LeafTotalSlack],Tasks[[#This Row],[_Row]]+Tasks[[#This Row],[_Descendants]])),Tasks[[#This Row],[_LeafTotalSlack]]))</f>
        <v/>
      </c>
      <c r="AW1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5"/>
      <c r="BA18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1" t="str">
        <f aca="false">IF(Tasks[[#This Row],[Task Name]]="","",IF(Tasks[[#This Row],[_Level]]&lt;=OutlineShowLevel,"Yes","No"))</f>
        <v/>
      </c>
      <c r="BE182" s="86" t="str">
        <f aca="false">IF(Tasks[[#This Row],[Task Name]]="","",IF(Tasks[[#This Row],[_IsSummary]],SUM(INDEX(Tasks[_LeafTotalWork],Tasks[[#This Row],[_Row]]+1):INDEX(Tasks[_LeafTotalWork],Tasks[[#This Row],[_Row]]+Tasks[[#This Row],[_Descendants]])),Tasks[[#This Row],[_LeafTotalWork]]))</f>
        <v/>
      </c>
      <c r="BF182" s="23"/>
      <c r="BG1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2" s="21" t="str">
        <f aca="false">""</f>
        <v/>
      </c>
      <c r="BI182" s="87"/>
      <c r="BJ182" s="22"/>
      <c r="BK182" s="47" t="str">
        <f aca="false">IF(OR(Tasks[[#This Row],[Task Name]]="",Tasks[[#This Row],[Baseline Duration]]=""),"",Tasks[[#This Row],[_SpanDays]]-N(Tasks[[#This Row],[Baseline Duration]]))</f>
        <v/>
      </c>
      <c r="BL182" s="86" t="str">
        <f aca="false">IF(OR(Tasks[[#This Row],[Task Name]]="",Tasks[[#This Row],[Baseline Work]]=""),"",Tasks[[#This Row],[Work]]-N(Tasks[[#This Row],[Baseline Work]]))</f>
        <v/>
      </c>
      <c r="BM182" s="63" t="str">
        <f aca="false">IF(Tasks[[#This Row],[Task Name]]="","",IF(OR(TakeBaseline="Yes",N(Tasks[[#This Row],[Baseline Start]])=0),Tasks[[#This Row],[Start]],Tasks[[#This Row],[Baseline Start]]))</f>
        <v/>
      </c>
      <c r="BN182" s="63" t="str">
        <f aca="false">IF(Tasks[[#This Row],[Task Name]]="","",IF(OR(TakeBaseline="Yes",N(Tasks[[#This Row],[Baseline Finish]])=0),Tasks[[#This Row],[Finish]],Tasks[[#This Row],[Baseline Finish]]))</f>
        <v/>
      </c>
      <c r="BO182" s="21" t="str">
        <f aca="false">IF(Tasks[[#This Row],[Task Name]]="","",IF(OR(TakeBaseline="Yes",N(Tasks[[#This Row],[Baseline Duration]])=0),Tasks[[#This Row],[_SpanDays]],Tasks[[#This Row],[Baseline Duration]]))</f>
        <v/>
      </c>
      <c r="BP182" s="86" t="str">
        <f aca="false">IF(Tasks[[#This Row],[Task Name]]="","",IF(OR(TakeBaseline="Yes",N(Tasks[[#This Row],[Baseline Work]])=0),Tasks[[#This Row],[Work]],Tasks[[#This Row],[Baseline Work]]))</f>
        <v/>
      </c>
      <c r="BQ182" s="7"/>
      <c r="BR182" s="7"/>
      <c r="BS182" s="22"/>
      <c r="BT182" s="88"/>
      <c r="BU182" s="23"/>
      <c r="BV182" s="23"/>
      <c r="BW182" s="23"/>
      <c r="BX182" s="89" t="str">
        <f aca="false">IF(AND(Tasks[[#This Row],[_IsLeaf]]=1,ISNUMBER(Tasks[[#This Row],[Optimistic]]),ISNUMBER(Tasks[[#This Row],[Pessimistic]])),ROUND((Tasks[[#This Row],[Optimistic]]+4*N(Tasks[[#This Row],[_Days]])+Tasks[[#This Row],[Pessimistic]])/6,1),"")</f>
        <v/>
      </c>
      <c r="BY182" s="87"/>
      <c r="BZ182" s="87"/>
      <c r="CA182" s="22"/>
      <c r="CB182" s="43" t="str">
        <f aca="false">IF(Tasks[[#This Row],[Task Name]]="","",MAX(1,N(Tasks[[#This Row],[Level]])))</f>
        <v/>
      </c>
      <c r="CC182" s="43" t="n">
        <f aca="false">ROW()-ROW(Tasks[[#Headers],[ID]])</f>
        <v>177</v>
      </c>
      <c r="CD182" s="43" t="n">
        <f aca="false">IF(OR(Tasks[[#This Row],[Task Name]]="",Tasks[[#This Row],[_Level]]&lt;=1),0,IFERROR(LOOKUP(2,1/(Tasks[[#Headers],[_Level]]:Tasks[[#This Row],[_Level]]=Tasks[[#This Row],[_Level]]-1),ROW(Tasks[[#Headers],[_Level]]:Tasks[[#This Row],[_Level]])),0))</f>
        <v>0</v>
      </c>
      <c r="CE182" s="43" t="n">
        <f aca="false">IFERROR(N(INDEX(Tasks[_Level],Tasks[[#This Row],[_Row]]+1)),0)</f>
        <v>0</v>
      </c>
      <c r="CF182" s="90" t="b">
        <f aca="false">AND(Tasks[[#This Row],[Task Name]]&lt;&gt;"",Tasks[[#This Row],[_NextLevel]]&gt;Tasks[[#This Row],[_Level]])</f>
        <v>0</v>
      </c>
      <c r="CG182" s="43" t="n">
        <f aca="false">IF(Tasks[[#This Row],[_IsSummary]],COUNTIF(Tasks[WBS],Tasks[[#This Row],[WBS]]&amp;".*"),0)</f>
        <v>0</v>
      </c>
      <c r="CH182" s="43" t="n">
        <f aca="false">IF(AND(Tasks[[#This Row],[Task Name]]&lt;&gt;"",NOT(Tasks[[#This Row],[_IsSummary]])),1,0)</f>
        <v>0</v>
      </c>
      <c r="CI182" s="43" t="n">
        <f aca="false">IF(N(Tasks[[#This Row],[_Pred1UID]])=0,0,IFERROR(MATCH(Tasks[[#This Row],[_Pred1UID]],Tasks[UID],0),-1))</f>
        <v>0</v>
      </c>
      <c r="CJ182" s="43" t="n">
        <f aca="false">IF(N(Tasks[[#This Row],[_Pred2UID]])=0,0,IFERROR(MATCH(Tasks[[#This Row],[_Pred2UID]],Tasks[UID],0),-1))</f>
        <v>0</v>
      </c>
      <c r="CK182" s="43" t="n">
        <f aca="false">IF(N(Tasks[[#This Row],[_Pred3UID]])=0,0,IFERROR(MATCH(Tasks[[#This Row],[_Pred3UID]],Tasks[UID],0),-1))</f>
        <v>0</v>
      </c>
      <c r="CL182" s="43" t="n">
        <f aca="false">IF(N(Tasks[[#This Row],[_Pred4UID]])=0,0,IFERROR(MATCH(Tasks[[#This Row],[_Pred4UID]],Tasks[UID],0),-1))</f>
        <v>0</v>
      </c>
      <c r="CM18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2" s="91" t="n">
        <f aca="false">IF(OR(Tasks[[#This Row],[_ConstraintCode]]=2,Tasks[[#This Row],[_ConstraintCode]]=3,Tasks[[#This Row],[_ConstraintCode]]=4,Tasks[[#This Row],[_ConstraintCode]]=6),Tasks[[#This Row],[_ConstraintStart]],0)</f>
        <v>0</v>
      </c>
      <c r="CP182" s="91" t="n">
        <f aca="false">IF(OR(Tasks[[#This Row],[_ConstraintCode]]=2,Tasks[[#This Row],[_ConstraintCode]]=3,Tasks[[#This Row],[_ConstraintCode]]=5,Tasks[[#This Row],[_ConstraintCode]]=7),Tasks[[#This Row],[_ConstraintStart]],2958465)</f>
        <v>2958465</v>
      </c>
      <c r="CQ18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2" s="91" t="str">
        <f aca="false">IF(NOT(Tasks[[#This Row],[_IsLeaf]]=1),"",IF(N(Tasks[[#This Row],[_Days]])&lt;=0,Tasks[[#This Row],[_LeafCalcStart]],WORKDAY.INTL(Tasks[[#This Row],[_LeafCalcStart]],Tasks[[#This Row],[_Days]]-1,WorkWeek,Holidays)))</f>
        <v/>
      </c>
      <c r="CS18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2" s="43" t="str">
        <f aca="false">IF(Tasks[[#This Row],[_Predecessors]]="","",TRIM(MID(SUBSTITUTE(SUBSTITUTE(SUBSTITUTE(UPPER(Tasks[[#This Row],[_Predecessors]]),";",",")," ",""),",",REPT(" ",99)),1,99)))</f>
        <v/>
      </c>
      <c r="CV182" s="43" t="str">
        <f aca="false">IF(Tasks[[#This Row],[_Pred1Text]]="","",IFERROR(VALUE(LEFT(Tasks[[#This Row],[_Pred1Text]],MIN(FIND("F",Tasks[[#This Row],[_Pred1Text]]&amp;"F"),FIND("S",Tasks[[#This Row],[_Pred1Text]]&amp;"S"),FIND("+",Tasks[[#This Row],[_Pred1Text]]&amp;"+"),FIND("-",Tasks[[#This Row],[_Pred1Text]]&amp;"-"))-1)),""))</f>
        <v/>
      </c>
      <c r="CW18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2" s="43" t="str">
        <f aca="false">IF(Tasks[[#This Row],[_Pred1Text]]="","",TRIM(MID(SUBSTITUTE(SUBSTITUTE(SUBSTITUTE(UPPER(Tasks[[#This Row],[_Predecessors]]),";",",")," ",""),",",REPT(" ",99)),100,99)))</f>
        <v/>
      </c>
      <c r="CZ182" s="43" t="str">
        <f aca="false">IF(Tasks[[#This Row],[_Pred2Text]]="","",IFERROR(VALUE(LEFT(Tasks[[#This Row],[_Pred2Text]],MIN(FIND("F",Tasks[[#This Row],[_Pred2Text]]&amp;"F"),FIND("S",Tasks[[#This Row],[_Pred2Text]]&amp;"S"),FIND("+",Tasks[[#This Row],[_Pred2Text]]&amp;"+"),FIND("-",Tasks[[#This Row],[_Pred2Text]]&amp;"-"))-1)),""))</f>
        <v/>
      </c>
      <c r="DA18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2" s="43" t="str">
        <f aca="false">IF(Tasks[[#This Row],[_Pred2Text]]="","",TRIM(MID(SUBSTITUTE(SUBSTITUTE(SUBSTITUTE(UPPER(Tasks[[#This Row],[_Predecessors]]),";",",")," ",""),",",REPT(" ",99)),199,99)))</f>
        <v/>
      </c>
      <c r="DD182" s="43" t="str">
        <f aca="false">IF(Tasks[[#This Row],[_Pred3Text]]="","",IFERROR(VALUE(LEFT(Tasks[[#This Row],[_Pred3Text]],MIN(FIND("F",Tasks[[#This Row],[_Pred3Text]]&amp;"F"),FIND("S",Tasks[[#This Row],[_Pred3Text]]&amp;"S"),FIND("+",Tasks[[#This Row],[_Pred3Text]]&amp;"+"),FIND("-",Tasks[[#This Row],[_Pred3Text]]&amp;"-"))-1)),""))</f>
        <v/>
      </c>
      <c r="DE18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2" s="43" t="str">
        <f aca="false">IF(Tasks[[#This Row],[_Pred3Text]]="","",TRIM(MID(SUBSTITUTE(SUBSTITUTE(SUBSTITUTE(UPPER(Tasks[[#This Row],[_Predecessors]]),";",",")," ",""),",",REPT(" ",99)),298,99)))</f>
        <v/>
      </c>
      <c r="DH182" s="43" t="str">
        <f aca="false">IF(Tasks[[#This Row],[_Pred4Text]]="","",IFERROR(VALUE(LEFT(Tasks[[#This Row],[_Pred4Text]],MIN(FIND("F",Tasks[[#This Row],[_Pred4Text]]&amp;"F"),FIND("S",Tasks[[#This Row],[_Pred4Text]]&amp;"S"),FIND("+",Tasks[[#This Row],[_Pred4Text]]&amp;"+"),FIND("-",Tasks[[#This Row],[_Pred4Text]]&amp;"-"))-1)),""))</f>
        <v/>
      </c>
      <c r="DI18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2" s="43" t="str">
        <f aca="false">IF(OR(Tasks[[#This Row],[Task Name]]="",Tasks[[#This Row],[_Resources]]=""),"",TRIM(MID(SUBSTITUTE(Tasks[[#This Row],[_Resources]],",",REPT(" ",99)),1,99)))</f>
        <v/>
      </c>
      <c r="DL182" s="43" t="str">
        <f aca="false">IF(Tasks[[#This Row],[_Res1Text]]="","",TRIM(MID(SUBSTITUTE(Tasks[[#This Row],[_Resources]],",",REPT(" ",99)),100,99)))</f>
        <v/>
      </c>
      <c r="DM182" s="43" t="str">
        <f aca="false">IF(Tasks[[#This Row],[_Res2Text]]="","",TRIM(MID(SUBSTITUTE(Tasks[[#This Row],[_Resources]],",",REPT(" ",99)),199,99)))</f>
        <v/>
      </c>
      <c r="DN182" s="43" t="str">
        <f aca="false">IF(Tasks[[#This Row],[_Res3Text]]="","",TRIM(MID(SUBSTITUTE(Tasks[[#This Row],[_Resources]],",",REPT(" ",99)),298,99)))</f>
        <v/>
      </c>
      <c r="DO182" s="43" t="n">
        <f aca="false">IF(Tasks[[#This Row],[_Res1Text]]="",0,IFERROR(MATCH(TRIM(LEFT(Tasks[[#This Row],[_Res1Text]],FIND("[",Tasks[[#This Row],[_Res1Text]]&amp;"[")-1)),res_Name,0),IFERROR(MATCH(TRIM(LEFT(Tasks[[#This Row],[_Res1Text]],FIND("[",Tasks[[#This Row],[_Res1Text]]&amp;"[")-1)),res_Initials,0),0)))</f>
        <v>0</v>
      </c>
      <c r="DP182" s="43" t="n">
        <f aca="false">IF(Tasks[[#This Row],[_Res2Text]]="",0,IFERROR(MATCH(TRIM(LEFT(Tasks[[#This Row],[_Res2Text]],FIND("[",Tasks[[#This Row],[_Res2Text]]&amp;"[")-1)),res_Name,0),IFERROR(MATCH(TRIM(LEFT(Tasks[[#This Row],[_Res2Text]],FIND("[",Tasks[[#This Row],[_Res2Text]]&amp;"[")-1)),res_Initials,0),0)))</f>
        <v>0</v>
      </c>
      <c r="DQ182" s="43" t="n">
        <f aca="false">IF(Tasks[[#This Row],[_Res3Text]]="",0,IFERROR(MATCH(TRIM(LEFT(Tasks[[#This Row],[_Res3Text]],FIND("[",Tasks[[#This Row],[_Res3Text]]&amp;"[")-1)),res_Name,0),IFERROR(MATCH(TRIM(LEFT(Tasks[[#This Row],[_Res3Text]],FIND("[",Tasks[[#This Row],[_Res3Text]]&amp;"[")-1)),res_Initials,0),0)))</f>
        <v>0</v>
      </c>
      <c r="DR182" s="43" t="n">
        <f aca="false">IF(Tasks[[#This Row],[_Res4Text]]="",0,IFERROR(MATCH(TRIM(LEFT(Tasks[[#This Row],[_Res4Text]],FIND("[",Tasks[[#This Row],[_Res4Text]]&amp;"[")-1)),res_Name,0),IFERROR(MATCH(TRIM(LEFT(Tasks[[#This Row],[_Res4Text]],FIND("[",Tasks[[#This Row],[_Res4Text]]&amp;"[")-1)),res_Initials,0),0)))</f>
        <v>0</v>
      </c>
      <c r="DS182" s="43" t="str">
        <f aca="false">IF(Tasks[[#This Row],[_Res1Text]]="","",IF(Tasks[[#This Row],[_Res1Row]]&gt;0,INDEX(res_Name,Tasks[[#This Row],[_Res1Row]]),TRIM(LEFT(Tasks[[#This Row],[_Res1Text]],FIND("[",Tasks[[#This Row],[_Res1Text]]&amp;"[")-1))))</f>
        <v/>
      </c>
      <c r="DT18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2" s="43" t="n">
        <f aca="false">IF(NOT(Tasks[[#This Row],[_IsLeaf]]=1),0,(Tasks[[#This Row],[_Resource1]]&lt;&gt;"")+(Tasks[[#This Row],[_Res2]]&lt;&gt;"")+(Tasks[[#This Row],[_Res3]]&lt;&gt;"")+(Tasks[[#This Row],[_Res4]]&lt;&gt;""))</f>
        <v>0</v>
      </c>
      <c r="DV182" s="43" t="str">
        <f aca="false">IF(Tasks[[#This Row],[_Res2Text]]="","",IF(Tasks[[#This Row],[_Res2Row]]&gt;0,INDEX(res_Name,Tasks[[#This Row],[_Res2Row]]),TRIM(LEFT(Tasks[[#This Row],[_Res2Text]],FIND("[",Tasks[[#This Row],[_Res2Text]]&amp;"[")-1))))</f>
        <v/>
      </c>
      <c r="DW18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2" s="43" t="n">
        <f aca="false">IF(OR(NOT(Tasks[[#This Row],[_IsLeaf]]=1),Tasks[[#This Row],[_Res2Row]]=0),0,N(Tasks[[#This Row],[_Days]])*HoursPerDay*IF(Tasks[[#This Row],[_Res2Units]]="",DefaultUnits,Tasks[[#This Row],[_Res2Units]]))</f>
        <v>0</v>
      </c>
      <c r="DY182" s="43" t="n">
        <f aca="false">IF(AND(AND(Tasks[[#This Row],[_IsLeaf]]=1,Tasks[[#This Row],[_LeafTotalWork]]&gt;0),Tasks[[#This Row],[_Res2Work]]&gt;0),Tasks[[#This Row],[_Res2Work]]/(Tasks[[#This Row],[_FinishWorkday]]-Tasks[[#This Row],[_StartWorkday]]+1),0)</f>
        <v>0</v>
      </c>
      <c r="DZ182" s="43" t="n">
        <f aca="false">Tasks[[#This Row],[_Res2WorkPerWD]]*MAX(0,Tasks[[#This Row],[_StartWorkday]]-1)</f>
        <v>0</v>
      </c>
      <c r="EA182" s="43" t="n">
        <f aca="false">Tasks[[#This Row],[_Res2Work]]*Tasks[[#This Row],[_LeafProgress]]</f>
        <v>0</v>
      </c>
      <c r="EB182" s="43" t="str">
        <f aca="false">IF(Tasks[[#This Row],[_Res3Text]]="","",IF(Tasks[[#This Row],[_Res3Row]]&gt;0,INDEX(res_Name,Tasks[[#This Row],[_Res3Row]]),TRIM(LEFT(Tasks[[#This Row],[_Res3Text]],FIND("[",Tasks[[#This Row],[_Res3Text]]&amp;"[")-1))))</f>
        <v/>
      </c>
      <c r="EC18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2" s="43" t="n">
        <f aca="false">IF(OR(NOT(Tasks[[#This Row],[_IsLeaf]]=1),Tasks[[#This Row],[_Res3Row]]=0),0,N(Tasks[[#This Row],[_Days]])*HoursPerDay*IF(Tasks[[#This Row],[_Res3Units]]="",DefaultUnits,Tasks[[#This Row],[_Res3Units]]))</f>
        <v>0</v>
      </c>
      <c r="EE182" s="43" t="n">
        <f aca="false">IF(AND(AND(Tasks[[#This Row],[_IsLeaf]]=1,Tasks[[#This Row],[_LeafTotalWork]]&gt;0),Tasks[[#This Row],[_Res3Work]]&gt;0),Tasks[[#This Row],[_Res3Work]]/(Tasks[[#This Row],[_FinishWorkday]]-Tasks[[#This Row],[_StartWorkday]]+1),0)</f>
        <v>0</v>
      </c>
      <c r="EF182" s="43" t="n">
        <f aca="false">Tasks[[#This Row],[_Res3WorkPerWD]]*MAX(0,Tasks[[#This Row],[_StartWorkday]]-1)</f>
        <v>0</v>
      </c>
      <c r="EG182" s="43" t="n">
        <f aca="false">Tasks[[#This Row],[_Res3Work]]*Tasks[[#This Row],[_LeafProgress]]</f>
        <v>0</v>
      </c>
      <c r="EH182" s="43" t="str">
        <f aca="false">IF(Tasks[[#This Row],[_Res4Text]]="","",IF(Tasks[[#This Row],[_Res4Row]]&gt;0,INDEX(res_Name,Tasks[[#This Row],[_Res4Row]]),TRIM(LEFT(Tasks[[#This Row],[_Res4Text]],FIND("[",Tasks[[#This Row],[_Res4Text]]&amp;"[")-1))))</f>
        <v/>
      </c>
      <c r="EI18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2" s="43" t="n">
        <f aca="false">IF(OR(NOT(Tasks[[#This Row],[_IsLeaf]]=1),Tasks[[#This Row],[_Res4Row]]=0),0,N(Tasks[[#This Row],[_Days]])*HoursPerDay*IF(Tasks[[#This Row],[_Res4Units]]="",DefaultUnits,Tasks[[#This Row],[_Res4Units]]))</f>
        <v>0</v>
      </c>
      <c r="EK182" s="43" t="n">
        <f aca="false">IF(AND(AND(Tasks[[#This Row],[_IsLeaf]]=1,Tasks[[#This Row],[_LeafTotalWork]]&gt;0),Tasks[[#This Row],[_Res4Work]]&gt;0),Tasks[[#This Row],[_Res4Work]]/(Tasks[[#This Row],[_FinishWorkday]]-Tasks[[#This Row],[_StartWorkday]]+1),0)</f>
        <v>0</v>
      </c>
      <c r="EL182" s="43" t="n">
        <f aca="false">Tasks[[#This Row],[_Res4WorkPerWD]]*MAX(0,Tasks[[#This Row],[_StartWorkday]]-1)</f>
        <v>0</v>
      </c>
      <c r="EM182" s="43" t="n">
        <f aca="false">Tasks[[#This Row],[_Res4Work]]*Tasks[[#This Row],[_LeafProgress]]</f>
        <v>0</v>
      </c>
      <c r="EN182" s="43" t="n">
        <f aca="false">IF(ISNUMBER(Tasks[[#This Row],[% Complete]]),Tasks[[#This Row],[% Complete]],IF(Tasks[[#This Row],[Stage]]="",0,IFERROR(INDEX(stg_Pct,MATCH(Tasks[[#This Row],[Stage]],stg_Name,0)),0)))</f>
        <v>0</v>
      </c>
      <c r="EO182" s="43" t="n">
        <f aca="false">IF(NOT(Tasks[[#This Row],[_IsLeaf]]=1),0,IF(N(Tasks[[#This Row],[Actual Finish]])&gt;0,1,MIN(1,Tasks[[#This Row],[_Pct]])))</f>
        <v>0</v>
      </c>
      <c r="EP182" s="43" t="n">
        <f aca="false">IF(OR(NOT(Tasks[[#This Row],[_IsLeaf]]=1),Tasks[[#This Row],[_Res1Row]]=0),0,N(Tasks[[#This Row],[_Days]])*HoursPerDay*IF(Tasks[[#This Row],[_Units1]]="",DefaultUnits,Tasks[[#This Row],[_Units1]]))</f>
        <v>0</v>
      </c>
      <c r="EQ182" s="43" t="n">
        <f aca="false">Tasks[[#This Row],[_LeafWork]]+Tasks[[#This Row],[_Res2Work]]+Tasks[[#This Row],[_Res3Work]]+Tasks[[#This Row],[_Res4Work]]</f>
        <v>0</v>
      </c>
      <c r="ER18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2" s="43" t="n">
        <f aca="false">IF(NOT(Tasks[[#This Row],[_IsLeaf]]=1),0,MAX(_xlfn.MAXIFS(Tasks[_Row],Tasks[_Pred1UID],Tasks[[#This Row],[UID]]),_xlfn.MAXIFS(Tasks[_Row],Tasks[_Pred2UID],Tasks[[#This Row],[UID]]),_xlfn.MAXIFS(Tasks[_Row],Tasks[_Pred3UID],Tasks[[#This Row],[UID]]),_xlfn.MAXIFS(Tasks[_Row],Tasks[_Pred4UID],Tasks[[#This Row],[UID]])))</f>
        <v>0</v>
      </c>
      <c r="FA18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2" s="91" t="str">
        <f aca="false">IF(NOT(Tasks[[#This Row],[_IsLeaf]]=1),"",IF(N(Tasks[[#This Row],[_Days]])&lt;=0,Tasks[[#This Row],[_LeafLateFinish]],WORKDAY.INTL(Tasks[[#This Row],[_LeafLateFinish]],-(Tasks[[#This Row],[_Days]]-1),WorkWeek,Holidays)))</f>
        <v/>
      </c>
      <c r="FD18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2" s="90" t="b">
        <f aca="false">AND(Tasks[[#This Row],[_IsLeaf]]=1,Tasks[[#This Row],[_LeafProgress]]&lt;1,N(Tasks[[#This Row],[_LeafTotalSlack]])&lt;=CriticalSlackDays)</f>
        <v>0</v>
      </c>
      <c r="FF182" s="43" t="n">
        <f aca="false">IF(AND(Tasks[[#This Row],[_IsLeaf]]=1,Tasks[[#This Row],[_ConstraintCode]]=1,Tasks[[#This Row],[Mode]]&lt;&gt;"Manual",N(Tasks[[#This Row],[Actual Start]])=0),MAX(0,N(Tasks[[#This Row],[Free Slack]])),0)</f>
        <v>0</v>
      </c>
      <c r="FG182" s="91" t="str">
        <f aca="false">IF(NOT(Tasks[[#This Row],[_IsLeaf]]=1),"",IF(Tasks[[#This Row],[_AlapShift]]=0,Tasks[[#This Row],[_LeafCalcStart]],WORKDAY.INTL(Tasks[[#This Row],[_LeafCalcStart]],Tasks[[#This Row],[_AlapShift]],WorkWeek,Holidays)))</f>
        <v/>
      </c>
      <c r="FH182" s="91" t="str">
        <f aca="false">IF(NOT(Tasks[[#This Row],[_IsLeaf]]=1),"",IF(Tasks[[#This Row],[_AlapShift]]=0,Tasks[[#This Row],[_LeafCalcFinish]],WORKDAY.INTL(Tasks[[#This Row],[_LeafCalcFinish]],Tasks[[#This Row],[_AlapShift]],WorkWeek,Holidays)))</f>
        <v/>
      </c>
      <c r="FI182" s="91" t="str">
        <f aca="false">IF(NOT(Tasks[[#This Row],[_IsLeaf]]=1),"",IF(Tasks[[#This Row],[_AlapShift]]=0,Tasks[[#This Row],[_LeafFcstStart]],WORKDAY.INTL(Tasks[[#This Row],[_LeafFcstStart]],Tasks[[#This Row],[_AlapShift]],WorkWeek,Holidays)))</f>
        <v/>
      </c>
      <c r="FJ182" s="91" t="str">
        <f aca="false">IF(NOT(Tasks[[#This Row],[_IsLeaf]]=1),"",IF(Tasks[[#This Row],[_AlapShift]]=0,Tasks[[#This Row],[_LeafFcstFinish]],WORKDAY.INTL(Tasks[[#This Row],[_LeafFcstFinish]],Tasks[[#This Row],[_AlapShift]],WorkWeek,Holidays)))</f>
        <v/>
      </c>
      <c r="FK182" s="91" t="str">
        <f aca="false">IF(Tasks[[#This Row],[Task Name]]="","",IF(Tasks[[#This Row],[_IsSummary]],MIN(INDEX(Tasks[_ShownCalcStart],Tasks[[#This Row],[_Row]]+1):INDEX(Tasks[_ShownCalcStart],Tasks[[#This Row],[_Row]]+Tasks[[#This Row],[_Descendants]])),Tasks[[#This Row],[_ShownCalcStart]]))</f>
        <v/>
      </c>
      <c r="FL182" s="91" t="str">
        <f aca="false">IF(Tasks[[#This Row],[Task Name]]="","",IF(Tasks[[#This Row],[_IsSummary]],MAX(INDEX(Tasks[_ShownCalcFinish],Tasks[[#This Row],[_Row]]+1):INDEX(Tasks[_ShownCalcFinish],Tasks[[#This Row],[_Row]]+Tasks[[#This Row],[_Descendants]])),Tasks[[#This Row],[_ShownCalcFinish]]))</f>
        <v/>
      </c>
      <c r="FM18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2" s="43" t="n">
        <f aca="false">IF(AND(Tasks[[#This Row],[_IsLeaf]]=1,Tasks[[#This Row],[_LeafTotalWork]]&gt;0),NETWORKDAYS.INTL(ProjectStart,Tasks[[#This Row],[_ShownFcstStart]],WorkWeek,Holidays),0)</f>
        <v>0</v>
      </c>
      <c r="FZ182" s="43" t="n">
        <f aca="false">IF(AND(Tasks[[#This Row],[_IsLeaf]]=1,Tasks[[#This Row],[_LeafTotalWork]]&gt;0),MAX(Tasks[[#This Row],[_StartWorkday]],NETWORKDAYS.INTL(ProjectStart,Tasks[[#This Row],[_ShownFcstFinish]],WorkWeek,Holidays)),0)</f>
        <v>0</v>
      </c>
      <c r="GA182" s="43" t="n">
        <f aca="false">IF(AND(Tasks[[#This Row],[_IsLeaf]]=1,Tasks[[#This Row],[_LeafTotalWork]]&gt;0),Tasks[[#This Row],[_LeafWork]]/(Tasks[[#This Row],[_FinishWorkday]]-Tasks[[#This Row],[_StartWorkday]]+1),0)</f>
        <v>0</v>
      </c>
      <c r="GB182" s="43" t="n">
        <f aca="false">Tasks[[#This Row],[_WorkPerWorkday]]*(Tasks[[#This Row],[_StartWorkday]]-1)</f>
        <v>-0</v>
      </c>
      <c r="GC182" s="43" t="n">
        <f aca="false">IF(Tasks[[#This Row],[_IsLeaf]]=1,MAX(N(Tasks[[#This Row],[_Days]]),0.1),0)</f>
        <v>0</v>
      </c>
      <c r="GD182" s="43" t="n">
        <f aca="false">Tasks[[#This Row],[_WeightDur]]*Tasks[[#This Row],[_LeafProgress]]</f>
        <v>0</v>
      </c>
      <c r="GE182" s="43" t="n">
        <f aca="false">Tasks[[#This Row],[_WeightDur]]*Tasks[[#This Row],[_PlannedPct]]</f>
        <v>0</v>
      </c>
      <c r="GF18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2" s="43" t="str">
        <f aca="false">IF(AND(Tasks[[#This Row],[_IsLeaf]]=1,N(Tasks[[#This Row],[_Days]])=0,Tasks[[#This Row],[_LeafProgress]]&lt;1),Tasks[[#This Row],[_ShownFcstFinish]]+Tasks[[#This Row],[_Row]]/100000,"")</f>
        <v/>
      </c>
      <c r="GH18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2" s="43" t="str">
        <f aca="false">IF(Tasks[[#This Row],[Task Name]]="","",LEFT(Tasks[[#This Row],[WBS]],FIND(".",Tasks[[#This Row],[WBS]]&amp;".")-1))</f>
        <v/>
      </c>
      <c r="GJ182" s="43" t="str">
        <f aca="false">IF(AND(Tasks[[#This Row],[Task Name]]&lt;&gt;"",Tasks[[#This Row],[_Level]]=1),Tasks[[#This Row],[_Row]],"")</f>
        <v/>
      </c>
      <c r="GK182" s="43" t="str">
        <f aca="false">IF(AND(Tasks[[#This Row],[_IsLeaf]]=1,N(Tasks[[#This Row],[_Days]])=0),Tasks[[#This Row],[Planned Finish]]+Tasks[[#This Row],[_Row]]/100000,"")</f>
        <v/>
      </c>
      <c r="GL182" s="43" t="str">
        <f aca="false">IF(AND(Tasks[[#This Row],[_IsLeaf]]=1,Tasks[[#This Row],[_LeafProgress]]&lt;1,OR(N(Tasks[[#This Row],[Finish Var]])&gt;0,Tasks[[#This Row],[Status]]="Late Start")),MAX(0,Tasks[[#This Row],[Finish Var]])+1-Tasks[[#This Row],[_Row]]/1000000,"")</f>
        <v/>
      </c>
      <c r="GM182" s="43" t="str">
        <f aca="false">IF(AND(Tasks[[#This Row],[_IsLeaf]]=1,N(Tasks[[#This Row],[Actual Start]])=0,Tasks[[#This Row],[_ShownFcstStart]]&gt;=StatusDate,Tasks[[#This Row],[_ShownFcstStart]]&lt;=LookaheadEnd),Tasks[[#This Row],[_ShownFcstStart]]+Tasks[[#This Row],[_Row]]/100000,"")</f>
        <v/>
      </c>
      <c r="GN182" s="43" t="str">
        <f aca="false">IF(AND(Tasks[[#This Row],[_IsLeaf]]=1,Tasks[[#This Row],[_LeafProgress]]&lt;1,Tasks[[#This Row],[_ShownFcstFinish]]&gt;=StatusDate,Tasks[[#This Row],[_ShownFcstFinish]]&lt;=LookaheadEnd),Tasks[[#This Row],[_ShownFcstFinish]]+Tasks[[#This Row],[_Row]]/100000,"")</f>
        <v/>
      </c>
      <c r="GO182" s="43" t="str">
        <f aca="false">IF(Tasks[[#This Row],[_LeafCritical]],Tasks[[#This Row],[_ShownFcstStart]]+Tasks[[#This Row],[_Row]]/100000,"")</f>
        <v/>
      </c>
      <c r="GP182" s="43" t="n">
        <f aca="false">Tasks[[#This Row],[_LeafWork]]*Tasks[[#This Row],[_LeafProgress]]</f>
        <v>0</v>
      </c>
      <c r="GQ182" s="91" t="str">
        <f aca="false">IF(AND(Tasks[[#This Row],[_IsLeaf]]=1,Tasks[[#This Row],[_LeafProgress]]&gt;=1),IF(N(Tasks[[#This Row],[Actual Finish]])&gt;0,Tasks[[#This Row],[Actual Finish]],Tasks[[#This Row],[_ShownFcstFinish]]),"")</f>
        <v/>
      </c>
      <c r="GR182" s="43" t="n">
        <f aca="false">IF(Tasks[[#This Row],[_IsLeaf]]=1,N(Tasks[[#This Row],[Story Points]]),0)</f>
        <v>0</v>
      </c>
      <c r="GS182" s="43" t="str">
        <f aca="false">""</f>
        <v/>
      </c>
      <c r="GT182" s="90" t="b">
        <f aca="false">IF(Tasks[[#This Row],[Task Name]]="",FALSE(),AND(Tasks[[#This Row],[_IsLeaf]]=1,N(Tasks[[#This Row],[_Days]])=0))</f>
        <v>0</v>
      </c>
      <c r="GU182" s="91" t="n">
        <f aca="false">IF(Tasks[[#This Row],[Task Name]]="",0,IF(AND(Tasks[[#This Row],[_IsLeaf]]=1,NOT(Tasks[[#This Row],[_IsMilestone]]),N(Tasks[[#This Row],[Progress]])&gt;0),Tasks[[#This Row],[Start]],0))</f>
        <v>0</v>
      </c>
      <c r="GV182" s="91" t="n">
        <f aca="false">IF(Tasks[[#This Row],[_DoneFrom]]=0,0,IF(Tasks[[#This Row],[Progress]]&gt;=1,Tasks[[#This Row],[Finish]],MAX(Tasks[[#This Row],[_DoneFrom]],Tasks[[#This Row],[Start]]+ROUND((Tasks[[#This Row],[Finish]]-Tasks[[#This Row],[Start]]+1)*Tasks[[#This Row],[Progress]],0)-1)))</f>
        <v>0</v>
      </c>
      <c r="GW182" s="91" t="n">
        <f aca="false">IF(Tasks[[#This Row],[Task Name]]="",0,IF(OR(NOT(Tasks[[#This Row],[_IsLeaf]]=1),Tasks[[#This Row],[_IsMilestone]],N(Tasks[[#This Row],[Progress]])&gt;=1),0,IF(Tasks[[#This Row],[_DoneTo]]&gt;0,Tasks[[#This Row],[_DoneTo]]+1,Tasks[[#This Row],[Start]])))</f>
        <v>0</v>
      </c>
      <c r="GX182" s="91" t="n">
        <f aca="false">IF(Tasks[[#This Row],[_RemFrom]]=0,0,Tasks[[#This Row],[Finish]])</f>
        <v>0</v>
      </c>
      <c r="GY182" s="90" t="b">
        <f aca="false">IF(Tasks[[#This Row],[Task Name]]="",FALSE(),OR(NOT(BaselineSet),N(Tasks[[#This Row],[Baseline Start]])&gt;0))</f>
        <v>0</v>
      </c>
      <c r="GZ18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2" s="92" t="str">
        <f aca="false">IF(Tasks[[#This Row],[_IsLeaf]]=1,Tasks[[#This Row],[_Row]],"")</f>
        <v/>
      </c>
      <c r="HD182" s="92" t="str">
        <f aca="false">IFERROR(INDEX(Tasks[UID],SMALL(Tasks[_PickKey],Tasks[[#This Row],[_Row]]))&amp;" "&amp;INDEX(Tasks[Task Name],SMALL(Tasks[_PickKey],Tasks[[#This Row],[_Row]])),"")</f>
        <v/>
      </c>
      <c r="HE182" s="43" t="str">
        <f aca="false">IF(Tasks[[#This Row],[Task Name]]="","",IF(Tasks[[#This Row],[_IsSummary]],NETWORKDAYS.INTL(Tasks[[#This Row],[Start]],Tasks[[#This Row],[Finish]],WorkWeek,Holidays),N(Tasks[[#This Row],[_Days]])))</f>
        <v/>
      </c>
      <c r="HF182" s="43" t="n">
        <f aca="false">IF(Tasks[[#This Row],[Expected]]="",0,((Tasks[[#This Row],[Pessimistic]]-Tasks[[#This Row],[Optimistic]])/6)^2)</f>
        <v>0</v>
      </c>
      <c r="HG182" s="43" t="n">
        <f aca="false">IF(Tasks[[#This Row],[Expected]]="",0,Tasks[[#This Row],[Expected]]-N(Tasks[[#This Row],[_Days]]))</f>
        <v>0</v>
      </c>
    </row>
    <row r="183" customFormat="false" ht="15" hidden="false" customHeight="false" outlineLevel="0" collapsed="false">
      <c r="A183" s="21" t="str">
        <f aca="false">IF(Tasks[[#This Row],[Task Name]]="","",COUNTA(Tasks[[#Headers],[Task Name]]:Tasks[[#This Row],[Task Name]])-1)</f>
        <v/>
      </c>
      <c r="B183" s="22" t="n">
        <v>191</v>
      </c>
      <c r="C183" s="22"/>
      <c r="D183" s="23"/>
      <c r="E183" s="22"/>
      <c r="F183" s="23"/>
      <c r="G183" s="22"/>
      <c r="H183" s="22"/>
      <c r="I183" s="23"/>
      <c r="J183" s="22"/>
      <c r="K183" s="22"/>
      <c r="L183" s="23"/>
      <c r="M183" s="22"/>
      <c r="N183" s="22"/>
      <c r="O183" s="23"/>
      <c r="P183" s="22"/>
      <c r="Q183" s="22"/>
      <c r="R183" s="23"/>
      <c r="S183" s="23"/>
      <c r="T183" s="84"/>
      <c r="U183" s="23"/>
      <c r="V183" s="84"/>
      <c r="W183" s="23"/>
      <c r="X183" s="84"/>
      <c r="Y183" s="23"/>
      <c r="Z183" s="84"/>
      <c r="AA183" s="23"/>
      <c r="AB183" s="23"/>
      <c r="AC183" s="7"/>
      <c r="AD183" s="7"/>
      <c r="AE183" s="63" t="str">
        <f aca="false">IF(Tasks[[#This Row],[Task Name]]="","",IF(Tasks[[#This Row],[_IsSummary]],MIN(INDEX(Tasks[_ShownFcstStart],Tasks[[#This Row],[_Row]]+1):INDEX(Tasks[_ShownFcstStart],Tasks[[#This Row],[_Row]]+Tasks[[#This Row],[_Descendants]])),Tasks[[#This Row],[_ShownFcstStart]]))</f>
        <v/>
      </c>
      <c r="AF183" s="63" t="str">
        <f aca="false">IF(Tasks[[#This Row],[Task Name]]="","",IF(Tasks[[#This Row],[_IsSummary]],MAX(INDEX(Tasks[_ShownFcstFinish],Tasks[[#This Row],[_Row]]+1):INDEX(Tasks[_ShownFcstFinish],Tasks[[#This Row],[_Row]]+Tasks[[#This Row],[_Descendants]])),Tasks[[#This Row],[_ShownFcstFinish]]))</f>
        <v/>
      </c>
      <c r="AG183" s="21" t="str">
        <f aca="false">""</f>
        <v/>
      </c>
      <c r="AH183" s="23"/>
      <c r="AI1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3" s="7"/>
      <c r="AK183" s="22"/>
      <c r="AL183" s="23"/>
      <c r="AM183" s="7"/>
      <c r="AN183" s="47" t="str">
        <f aca="false">IF(Tasks[[#This Row],[Task Name]]="","",IF(Tasks[[#This Row],[Finish]]&gt;=Tasks[[#This Row],[Planned Finish]],NETWORKDAYS.INTL(Tasks[[#This Row],[Planned Finish]],Tasks[[#This Row],[Finish]],WorkWeek,Holidays)-1,1-NETWORKDAYS.INTL(Tasks[[#This Row],[Finish]],Tasks[[#This Row],[Planned Finish]],WorkWeek,Holidays)))</f>
        <v/>
      </c>
      <c r="AO183" s="21" t="str">
        <f aca="false">IF(Tasks[[#This Row],[Task Name]]="","",IF(Tasks[[#This Row],[Progress]]&gt;=1,"Complete",IF(OR(N(Tasks[[#This Row],[Actual Start]])&gt;0,Tasks[[#This Row],[Progress]]&gt;0),IF(Tasks[[#This Row],[Finish Var]]&gt;0,"Behind","In Progress"),IF(Tasks[[#This Row],[Planned Start]]&lt;StatusDate,"Late Start","Not Started"))))</f>
        <v/>
      </c>
      <c r="AP183" s="21" t="str">
        <f aca="false">IF(Tasks[[#This Row],[Task Name]]="","",IF(IF(Tasks[[#This Row],[_IsSummary]],COUNTIF(INDEX(Tasks[_LeafCritical],Tasks[[#This Row],[_Row]]+1):INDEX(Tasks[_LeafCritical],Tasks[[#This Row],[_Row]]+Tasks[[#This Row],[_Descendants]]),TRUE())&gt;0,Tasks[[#This Row],[_LeafCritical]]),"Yes",""))</f>
        <v/>
      </c>
      <c r="AQ183" s="63" t="str">
        <f aca="false">IF(Tasks[[#This Row],[Task Name]]="","",IF(N(Tasks[[#This Row],[Baseline Start]])&gt;0,Tasks[[#This Row],[Baseline Start]],Tasks[[#This Row],[_CalcStart]]))</f>
        <v/>
      </c>
      <c r="AR183" s="63" t="str">
        <f aca="false">IF(Tasks[[#This Row],[Task Name]]="","",IF(N(Tasks[[#This Row],[Baseline Finish]])&gt;0,Tasks[[#This Row],[Baseline Finish]],Tasks[[#This Row],[_CalcFinish]]))</f>
        <v/>
      </c>
      <c r="AS183" s="47" t="str">
        <f aca="false">IF(Tasks[[#This Row],[Task Name]]="","",IF(Tasks[[#This Row],[Start]]&gt;=Tasks[[#This Row],[Planned Start]],NETWORKDAYS.INTL(Tasks[[#This Row],[Planned Start]],Tasks[[#This Row],[Start]],WorkWeek,Holidays)-1,1-NETWORKDAYS.INTL(Tasks[[#This Row],[Start]],Tasks[[#This Row],[Planned Start]],WorkWeek,Holidays)))</f>
        <v/>
      </c>
      <c r="AT183" s="63" t="str">
        <f aca="false">IF(Tasks[[#This Row],[Task Name]]="","",IF(Tasks[[#This Row],[_IsSummary]],MIN(INDEX(Tasks[_LeafLateStart],Tasks[[#This Row],[_Row]]+1):INDEX(Tasks[_LeafLateStart],Tasks[[#This Row],[_Row]]+Tasks[[#This Row],[_Descendants]])),Tasks[[#This Row],[_LeafLateStart]]))</f>
        <v/>
      </c>
      <c r="AU183" s="63" t="str">
        <f aca="false">IF(Tasks[[#This Row],[Task Name]]="","",IF(Tasks[[#This Row],[_IsSummary]],MAX(INDEX(Tasks[_LeafLateFinish],Tasks[[#This Row],[_Row]]+1):INDEX(Tasks[_LeafLateFinish],Tasks[[#This Row],[_Row]]+Tasks[[#This Row],[_Descendants]])),Tasks[[#This Row],[_LeafLateFinish]]))</f>
        <v/>
      </c>
      <c r="AV183" s="47" t="str">
        <f aca="false">IF(Tasks[[#This Row],[Task Name]]="","",IF(Tasks[[#This Row],[_IsSummary]],MIN(INDEX(Tasks[_LeafTotalSlack],Tasks[[#This Row],[_Row]]+1):INDEX(Tasks[_LeafTotalSlack],Tasks[[#This Row],[_Row]]+Tasks[[#This Row],[_Descendants]])),Tasks[[#This Row],[_LeafTotalSlack]]))</f>
        <v/>
      </c>
      <c r="AW1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5"/>
      <c r="BA18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1" t="str">
        <f aca="false">IF(Tasks[[#This Row],[Task Name]]="","",IF(Tasks[[#This Row],[_Level]]&lt;=OutlineShowLevel,"Yes","No"))</f>
        <v/>
      </c>
      <c r="BE183" s="86" t="str">
        <f aca="false">IF(Tasks[[#This Row],[Task Name]]="","",IF(Tasks[[#This Row],[_IsSummary]],SUM(INDEX(Tasks[_LeafTotalWork],Tasks[[#This Row],[_Row]]+1):INDEX(Tasks[_LeafTotalWork],Tasks[[#This Row],[_Row]]+Tasks[[#This Row],[_Descendants]])),Tasks[[#This Row],[_LeafTotalWork]]))</f>
        <v/>
      </c>
      <c r="BF183" s="23"/>
      <c r="BG1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3" s="21" t="str">
        <f aca="false">""</f>
        <v/>
      </c>
      <c r="BI183" s="87"/>
      <c r="BJ183" s="22"/>
      <c r="BK183" s="47" t="str">
        <f aca="false">IF(OR(Tasks[[#This Row],[Task Name]]="",Tasks[[#This Row],[Baseline Duration]]=""),"",Tasks[[#This Row],[_SpanDays]]-N(Tasks[[#This Row],[Baseline Duration]]))</f>
        <v/>
      </c>
      <c r="BL183" s="86" t="str">
        <f aca="false">IF(OR(Tasks[[#This Row],[Task Name]]="",Tasks[[#This Row],[Baseline Work]]=""),"",Tasks[[#This Row],[Work]]-N(Tasks[[#This Row],[Baseline Work]]))</f>
        <v/>
      </c>
      <c r="BM183" s="63" t="str">
        <f aca="false">IF(Tasks[[#This Row],[Task Name]]="","",IF(OR(TakeBaseline="Yes",N(Tasks[[#This Row],[Baseline Start]])=0),Tasks[[#This Row],[Start]],Tasks[[#This Row],[Baseline Start]]))</f>
        <v/>
      </c>
      <c r="BN183" s="63" t="str">
        <f aca="false">IF(Tasks[[#This Row],[Task Name]]="","",IF(OR(TakeBaseline="Yes",N(Tasks[[#This Row],[Baseline Finish]])=0),Tasks[[#This Row],[Finish]],Tasks[[#This Row],[Baseline Finish]]))</f>
        <v/>
      </c>
      <c r="BO183" s="21" t="str">
        <f aca="false">IF(Tasks[[#This Row],[Task Name]]="","",IF(OR(TakeBaseline="Yes",N(Tasks[[#This Row],[Baseline Duration]])=0),Tasks[[#This Row],[_SpanDays]],Tasks[[#This Row],[Baseline Duration]]))</f>
        <v/>
      </c>
      <c r="BP183" s="86" t="str">
        <f aca="false">IF(Tasks[[#This Row],[Task Name]]="","",IF(OR(TakeBaseline="Yes",N(Tasks[[#This Row],[Baseline Work]])=0),Tasks[[#This Row],[Work]],Tasks[[#This Row],[Baseline Work]]))</f>
        <v/>
      </c>
      <c r="BQ183" s="7"/>
      <c r="BR183" s="7"/>
      <c r="BS183" s="22"/>
      <c r="BT183" s="88"/>
      <c r="BU183" s="23"/>
      <c r="BV183" s="23"/>
      <c r="BW183" s="23"/>
      <c r="BX183" s="89" t="str">
        <f aca="false">IF(AND(Tasks[[#This Row],[_IsLeaf]]=1,ISNUMBER(Tasks[[#This Row],[Optimistic]]),ISNUMBER(Tasks[[#This Row],[Pessimistic]])),ROUND((Tasks[[#This Row],[Optimistic]]+4*N(Tasks[[#This Row],[_Days]])+Tasks[[#This Row],[Pessimistic]])/6,1),"")</f>
        <v/>
      </c>
      <c r="BY183" s="87"/>
      <c r="BZ183" s="87"/>
      <c r="CA183" s="22"/>
      <c r="CB183" s="43" t="str">
        <f aca="false">IF(Tasks[[#This Row],[Task Name]]="","",MAX(1,N(Tasks[[#This Row],[Level]])))</f>
        <v/>
      </c>
      <c r="CC183" s="43" t="n">
        <f aca="false">ROW()-ROW(Tasks[[#Headers],[ID]])</f>
        <v>178</v>
      </c>
      <c r="CD183" s="43" t="n">
        <f aca="false">IF(OR(Tasks[[#This Row],[Task Name]]="",Tasks[[#This Row],[_Level]]&lt;=1),0,IFERROR(LOOKUP(2,1/(Tasks[[#Headers],[_Level]]:Tasks[[#This Row],[_Level]]=Tasks[[#This Row],[_Level]]-1),ROW(Tasks[[#Headers],[_Level]]:Tasks[[#This Row],[_Level]])),0))</f>
        <v>0</v>
      </c>
      <c r="CE183" s="43" t="n">
        <f aca="false">IFERROR(N(INDEX(Tasks[_Level],Tasks[[#This Row],[_Row]]+1)),0)</f>
        <v>0</v>
      </c>
      <c r="CF183" s="90" t="b">
        <f aca="false">AND(Tasks[[#This Row],[Task Name]]&lt;&gt;"",Tasks[[#This Row],[_NextLevel]]&gt;Tasks[[#This Row],[_Level]])</f>
        <v>0</v>
      </c>
      <c r="CG183" s="43" t="n">
        <f aca="false">IF(Tasks[[#This Row],[_IsSummary]],COUNTIF(Tasks[WBS],Tasks[[#This Row],[WBS]]&amp;".*"),0)</f>
        <v>0</v>
      </c>
      <c r="CH183" s="43" t="n">
        <f aca="false">IF(AND(Tasks[[#This Row],[Task Name]]&lt;&gt;"",NOT(Tasks[[#This Row],[_IsSummary]])),1,0)</f>
        <v>0</v>
      </c>
      <c r="CI183" s="43" t="n">
        <f aca="false">IF(N(Tasks[[#This Row],[_Pred1UID]])=0,0,IFERROR(MATCH(Tasks[[#This Row],[_Pred1UID]],Tasks[UID],0),-1))</f>
        <v>0</v>
      </c>
      <c r="CJ183" s="43" t="n">
        <f aca="false">IF(N(Tasks[[#This Row],[_Pred2UID]])=0,0,IFERROR(MATCH(Tasks[[#This Row],[_Pred2UID]],Tasks[UID],0),-1))</f>
        <v>0</v>
      </c>
      <c r="CK183" s="43" t="n">
        <f aca="false">IF(N(Tasks[[#This Row],[_Pred3UID]])=0,0,IFERROR(MATCH(Tasks[[#This Row],[_Pred3UID]],Tasks[UID],0),-1))</f>
        <v>0</v>
      </c>
      <c r="CL183" s="43" t="n">
        <f aca="false">IF(N(Tasks[[#This Row],[_Pred4UID]])=0,0,IFERROR(MATCH(Tasks[[#This Row],[_Pred4UID]],Tasks[UID],0),-1))</f>
        <v>0</v>
      </c>
      <c r="CM18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3" s="91" t="n">
        <f aca="false">IF(OR(Tasks[[#This Row],[_ConstraintCode]]=2,Tasks[[#This Row],[_ConstraintCode]]=3,Tasks[[#This Row],[_ConstraintCode]]=4,Tasks[[#This Row],[_ConstraintCode]]=6),Tasks[[#This Row],[_ConstraintStart]],0)</f>
        <v>0</v>
      </c>
      <c r="CP183" s="91" t="n">
        <f aca="false">IF(OR(Tasks[[#This Row],[_ConstraintCode]]=2,Tasks[[#This Row],[_ConstraintCode]]=3,Tasks[[#This Row],[_ConstraintCode]]=5,Tasks[[#This Row],[_ConstraintCode]]=7),Tasks[[#This Row],[_ConstraintStart]],2958465)</f>
        <v>2958465</v>
      </c>
      <c r="CQ18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3" s="91" t="str">
        <f aca="false">IF(NOT(Tasks[[#This Row],[_IsLeaf]]=1),"",IF(N(Tasks[[#This Row],[_Days]])&lt;=0,Tasks[[#This Row],[_LeafCalcStart]],WORKDAY.INTL(Tasks[[#This Row],[_LeafCalcStart]],Tasks[[#This Row],[_Days]]-1,WorkWeek,Holidays)))</f>
        <v/>
      </c>
      <c r="CS18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3" s="43" t="str">
        <f aca="false">IF(Tasks[[#This Row],[_Predecessors]]="","",TRIM(MID(SUBSTITUTE(SUBSTITUTE(SUBSTITUTE(UPPER(Tasks[[#This Row],[_Predecessors]]),";",",")," ",""),",",REPT(" ",99)),1,99)))</f>
        <v/>
      </c>
      <c r="CV183" s="43" t="str">
        <f aca="false">IF(Tasks[[#This Row],[_Pred1Text]]="","",IFERROR(VALUE(LEFT(Tasks[[#This Row],[_Pred1Text]],MIN(FIND("F",Tasks[[#This Row],[_Pred1Text]]&amp;"F"),FIND("S",Tasks[[#This Row],[_Pred1Text]]&amp;"S"),FIND("+",Tasks[[#This Row],[_Pred1Text]]&amp;"+"),FIND("-",Tasks[[#This Row],[_Pred1Text]]&amp;"-"))-1)),""))</f>
        <v/>
      </c>
      <c r="CW18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3" s="43" t="str">
        <f aca="false">IF(Tasks[[#This Row],[_Pred1Text]]="","",TRIM(MID(SUBSTITUTE(SUBSTITUTE(SUBSTITUTE(UPPER(Tasks[[#This Row],[_Predecessors]]),";",",")," ",""),",",REPT(" ",99)),100,99)))</f>
        <v/>
      </c>
      <c r="CZ183" s="43" t="str">
        <f aca="false">IF(Tasks[[#This Row],[_Pred2Text]]="","",IFERROR(VALUE(LEFT(Tasks[[#This Row],[_Pred2Text]],MIN(FIND("F",Tasks[[#This Row],[_Pred2Text]]&amp;"F"),FIND("S",Tasks[[#This Row],[_Pred2Text]]&amp;"S"),FIND("+",Tasks[[#This Row],[_Pred2Text]]&amp;"+"),FIND("-",Tasks[[#This Row],[_Pred2Text]]&amp;"-"))-1)),""))</f>
        <v/>
      </c>
      <c r="DA18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3" s="43" t="str">
        <f aca="false">IF(Tasks[[#This Row],[_Pred2Text]]="","",TRIM(MID(SUBSTITUTE(SUBSTITUTE(SUBSTITUTE(UPPER(Tasks[[#This Row],[_Predecessors]]),";",",")," ",""),",",REPT(" ",99)),199,99)))</f>
        <v/>
      </c>
      <c r="DD183" s="43" t="str">
        <f aca="false">IF(Tasks[[#This Row],[_Pred3Text]]="","",IFERROR(VALUE(LEFT(Tasks[[#This Row],[_Pred3Text]],MIN(FIND("F",Tasks[[#This Row],[_Pred3Text]]&amp;"F"),FIND("S",Tasks[[#This Row],[_Pred3Text]]&amp;"S"),FIND("+",Tasks[[#This Row],[_Pred3Text]]&amp;"+"),FIND("-",Tasks[[#This Row],[_Pred3Text]]&amp;"-"))-1)),""))</f>
        <v/>
      </c>
      <c r="DE18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3" s="43" t="str">
        <f aca="false">IF(Tasks[[#This Row],[_Pred3Text]]="","",TRIM(MID(SUBSTITUTE(SUBSTITUTE(SUBSTITUTE(UPPER(Tasks[[#This Row],[_Predecessors]]),";",",")," ",""),",",REPT(" ",99)),298,99)))</f>
        <v/>
      </c>
      <c r="DH183" s="43" t="str">
        <f aca="false">IF(Tasks[[#This Row],[_Pred4Text]]="","",IFERROR(VALUE(LEFT(Tasks[[#This Row],[_Pred4Text]],MIN(FIND("F",Tasks[[#This Row],[_Pred4Text]]&amp;"F"),FIND("S",Tasks[[#This Row],[_Pred4Text]]&amp;"S"),FIND("+",Tasks[[#This Row],[_Pred4Text]]&amp;"+"),FIND("-",Tasks[[#This Row],[_Pred4Text]]&amp;"-"))-1)),""))</f>
        <v/>
      </c>
      <c r="DI18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3" s="43" t="str">
        <f aca="false">IF(OR(Tasks[[#This Row],[Task Name]]="",Tasks[[#This Row],[_Resources]]=""),"",TRIM(MID(SUBSTITUTE(Tasks[[#This Row],[_Resources]],",",REPT(" ",99)),1,99)))</f>
        <v/>
      </c>
      <c r="DL183" s="43" t="str">
        <f aca="false">IF(Tasks[[#This Row],[_Res1Text]]="","",TRIM(MID(SUBSTITUTE(Tasks[[#This Row],[_Resources]],",",REPT(" ",99)),100,99)))</f>
        <v/>
      </c>
      <c r="DM183" s="43" t="str">
        <f aca="false">IF(Tasks[[#This Row],[_Res2Text]]="","",TRIM(MID(SUBSTITUTE(Tasks[[#This Row],[_Resources]],",",REPT(" ",99)),199,99)))</f>
        <v/>
      </c>
      <c r="DN183" s="43" t="str">
        <f aca="false">IF(Tasks[[#This Row],[_Res3Text]]="","",TRIM(MID(SUBSTITUTE(Tasks[[#This Row],[_Resources]],",",REPT(" ",99)),298,99)))</f>
        <v/>
      </c>
      <c r="DO183" s="43" t="n">
        <f aca="false">IF(Tasks[[#This Row],[_Res1Text]]="",0,IFERROR(MATCH(TRIM(LEFT(Tasks[[#This Row],[_Res1Text]],FIND("[",Tasks[[#This Row],[_Res1Text]]&amp;"[")-1)),res_Name,0),IFERROR(MATCH(TRIM(LEFT(Tasks[[#This Row],[_Res1Text]],FIND("[",Tasks[[#This Row],[_Res1Text]]&amp;"[")-1)),res_Initials,0),0)))</f>
        <v>0</v>
      </c>
      <c r="DP183" s="43" t="n">
        <f aca="false">IF(Tasks[[#This Row],[_Res2Text]]="",0,IFERROR(MATCH(TRIM(LEFT(Tasks[[#This Row],[_Res2Text]],FIND("[",Tasks[[#This Row],[_Res2Text]]&amp;"[")-1)),res_Name,0),IFERROR(MATCH(TRIM(LEFT(Tasks[[#This Row],[_Res2Text]],FIND("[",Tasks[[#This Row],[_Res2Text]]&amp;"[")-1)),res_Initials,0),0)))</f>
        <v>0</v>
      </c>
      <c r="DQ183" s="43" t="n">
        <f aca="false">IF(Tasks[[#This Row],[_Res3Text]]="",0,IFERROR(MATCH(TRIM(LEFT(Tasks[[#This Row],[_Res3Text]],FIND("[",Tasks[[#This Row],[_Res3Text]]&amp;"[")-1)),res_Name,0),IFERROR(MATCH(TRIM(LEFT(Tasks[[#This Row],[_Res3Text]],FIND("[",Tasks[[#This Row],[_Res3Text]]&amp;"[")-1)),res_Initials,0),0)))</f>
        <v>0</v>
      </c>
      <c r="DR183" s="43" t="n">
        <f aca="false">IF(Tasks[[#This Row],[_Res4Text]]="",0,IFERROR(MATCH(TRIM(LEFT(Tasks[[#This Row],[_Res4Text]],FIND("[",Tasks[[#This Row],[_Res4Text]]&amp;"[")-1)),res_Name,0),IFERROR(MATCH(TRIM(LEFT(Tasks[[#This Row],[_Res4Text]],FIND("[",Tasks[[#This Row],[_Res4Text]]&amp;"[")-1)),res_Initials,0),0)))</f>
        <v>0</v>
      </c>
      <c r="DS183" s="43" t="str">
        <f aca="false">IF(Tasks[[#This Row],[_Res1Text]]="","",IF(Tasks[[#This Row],[_Res1Row]]&gt;0,INDEX(res_Name,Tasks[[#This Row],[_Res1Row]]),TRIM(LEFT(Tasks[[#This Row],[_Res1Text]],FIND("[",Tasks[[#This Row],[_Res1Text]]&amp;"[")-1))))</f>
        <v/>
      </c>
      <c r="DT18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3" s="43" t="n">
        <f aca="false">IF(NOT(Tasks[[#This Row],[_IsLeaf]]=1),0,(Tasks[[#This Row],[_Resource1]]&lt;&gt;"")+(Tasks[[#This Row],[_Res2]]&lt;&gt;"")+(Tasks[[#This Row],[_Res3]]&lt;&gt;"")+(Tasks[[#This Row],[_Res4]]&lt;&gt;""))</f>
        <v>0</v>
      </c>
      <c r="DV183" s="43" t="str">
        <f aca="false">IF(Tasks[[#This Row],[_Res2Text]]="","",IF(Tasks[[#This Row],[_Res2Row]]&gt;0,INDEX(res_Name,Tasks[[#This Row],[_Res2Row]]),TRIM(LEFT(Tasks[[#This Row],[_Res2Text]],FIND("[",Tasks[[#This Row],[_Res2Text]]&amp;"[")-1))))</f>
        <v/>
      </c>
      <c r="DW18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3" s="43" t="n">
        <f aca="false">IF(OR(NOT(Tasks[[#This Row],[_IsLeaf]]=1),Tasks[[#This Row],[_Res2Row]]=0),0,N(Tasks[[#This Row],[_Days]])*HoursPerDay*IF(Tasks[[#This Row],[_Res2Units]]="",DefaultUnits,Tasks[[#This Row],[_Res2Units]]))</f>
        <v>0</v>
      </c>
      <c r="DY183" s="43" t="n">
        <f aca="false">IF(AND(AND(Tasks[[#This Row],[_IsLeaf]]=1,Tasks[[#This Row],[_LeafTotalWork]]&gt;0),Tasks[[#This Row],[_Res2Work]]&gt;0),Tasks[[#This Row],[_Res2Work]]/(Tasks[[#This Row],[_FinishWorkday]]-Tasks[[#This Row],[_StartWorkday]]+1),0)</f>
        <v>0</v>
      </c>
      <c r="DZ183" s="43" t="n">
        <f aca="false">Tasks[[#This Row],[_Res2WorkPerWD]]*MAX(0,Tasks[[#This Row],[_StartWorkday]]-1)</f>
        <v>0</v>
      </c>
      <c r="EA183" s="43" t="n">
        <f aca="false">Tasks[[#This Row],[_Res2Work]]*Tasks[[#This Row],[_LeafProgress]]</f>
        <v>0</v>
      </c>
      <c r="EB183" s="43" t="str">
        <f aca="false">IF(Tasks[[#This Row],[_Res3Text]]="","",IF(Tasks[[#This Row],[_Res3Row]]&gt;0,INDEX(res_Name,Tasks[[#This Row],[_Res3Row]]),TRIM(LEFT(Tasks[[#This Row],[_Res3Text]],FIND("[",Tasks[[#This Row],[_Res3Text]]&amp;"[")-1))))</f>
        <v/>
      </c>
      <c r="EC18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3" s="43" t="n">
        <f aca="false">IF(OR(NOT(Tasks[[#This Row],[_IsLeaf]]=1),Tasks[[#This Row],[_Res3Row]]=0),0,N(Tasks[[#This Row],[_Days]])*HoursPerDay*IF(Tasks[[#This Row],[_Res3Units]]="",DefaultUnits,Tasks[[#This Row],[_Res3Units]]))</f>
        <v>0</v>
      </c>
      <c r="EE183" s="43" t="n">
        <f aca="false">IF(AND(AND(Tasks[[#This Row],[_IsLeaf]]=1,Tasks[[#This Row],[_LeafTotalWork]]&gt;0),Tasks[[#This Row],[_Res3Work]]&gt;0),Tasks[[#This Row],[_Res3Work]]/(Tasks[[#This Row],[_FinishWorkday]]-Tasks[[#This Row],[_StartWorkday]]+1),0)</f>
        <v>0</v>
      </c>
      <c r="EF183" s="43" t="n">
        <f aca="false">Tasks[[#This Row],[_Res3WorkPerWD]]*MAX(0,Tasks[[#This Row],[_StartWorkday]]-1)</f>
        <v>0</v>
      </c>
      <c r="EG183" s="43" t="n">
        <f aca="false">Tasks[[#This Row],[_Res3Work]]*Tasks[[#This Row],[_LeafProgress]]</f>
        <v>0</v>
      </c>
      <c r="EH183" s="43" t="str">
        <f aca="false">IF(Tasks[[#This Row],[_Res4Text]]="","",IF(Tasks[[#This Row],[_Res4Row]]&gt;0,INDEX(res_Name,Tasks[[#This Row],[_Res4Row]]),TRIM(LEFT(Tasks[[#This Row],[_Res4Text]],FIND("[",Tasks[[#This Row],[_Res4Text]]&amp;"[")-1))))</f>
        <v/>
      </c>
      <c r="EI18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3" s="43" t="n">
        <f aca="false">IF(OR(NOT(Tasks[[#This Row],[_IsLeaf]]=1),Tasks[[#This Row],[_Res4Row]]=0),0,N(Tasks[[#This Row],[_Days]])*HoursPerDay*IF(Tasks[[#This Row],[_Res4Units]]="",DefaultUnits,Tasks[[#This Row],[_Res4Units]]))</f>
        <v>0</v>
      </c>
      <c r="EK183" s="43" t="n">
        <f aca="false">IF(AND(AND(Tasks[[#This Row],[_IsLeaf]]=1,Tasks[[#This Row],[_LeafTotalWork]]&gt;0),Tasks[[#This Row],[_Res4Work]]&gt;0),Tasks[[#This Row],[_Res4Work]]/(Tasks[[#This Row],[_FinishWorkday]]-Tasks[[#This Row],[_StartWorkday]]+1),0)</f>
        <v>0</v>
      </c>
      <c r="EL183" s="43" t="n">
        <f aca="false">Tasks[[#This Row],[_Res4WorkPerWD]]*MAX(0,Tasks[[#This Row],[_StartWorkday]]-1)</f>
        <v>0</v>
      </c>
      <c r="EM183" s="43" t="n">
        <f aca="false">Tasks[[#This Row],[_Res4Work]]*Tasks[[#This Row],[_LeafProgress]]</f>
        <v>0</v>
      </c>
      <c r="EN183" s="43" t="n">
        <f aca="false">IF(ISNUMBER(Tasks[[#This Row],[% Complete]]),Tasks[[#This Row],[% Complete]],IF(Tasks[[#This Row],[Stage]]="",0,IFERROR(INDEX(stg_Pct,MATCH(Tasks[[#This Row],[Stage]],stg_Name,0)),0)))</f>
        <v>0</v>
      </c>
      <c r="EO183" s="43" t="n">
        <f aca="false">IF(NOT(Tasks[[#This Row],[_IsLeaf]]=1),0,IF(N(Tasks[[#This Row],[Actual Finish]])&gt;0,1,MIN(1,Tasks[[#This Row],[_Pct]])))</f>
        <v>0</v>
      </c>
      <c r="EP183" s="43" t="n">
        <f aca="false">IF(OR(NOT(Tasks[[#This Row],[_IsLeaf]]=1),Tasks[[#This Row],[_Res1Row]]=0),0,N(Tasks[[#This Row],[_Days]])*HoursPerDay*IF(Tasks[[#This Row],[_Units1]]="",DefaultUnits,Tasks[[#This Row],[_Units1]]))</f>
        <v>0</v>
      </c>
      <c r="EQ183" s="43" t="n">
        <f aca="false">Tasks[[#This Row],[_LeafWork]]+Tasks[[#This Row],[_Res2Work]]+Tasks[[#This Row],[_Res3Work]]+Tasks[[#This Row],[_Res4Work]]</f>
        <v>0</v>
      </c>
      <c r="ER18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3" s="43" t="n">
        <f aca="false">IF(NOT(Tasks[[#This Row],[_IsLeaf]]=1),0,MAX(_xlfn.MAXIFS(Tasks[_Row],Tasks[_Pred1UID],Tasks[[#This Row],[UID]]),_xlfn.MAXIFS(Tasks[_Row],Tasks[_Pred2UID],Tasks[[#This Row],[UID]]),_xlfn.MAXIFS(Tasks[_Row],Tasks[_Pred3UID],Tasks[[#This Row],[UID]]),_xlfn.MAXIFS(Tasks[_Row],Tasks[_Pred4UID],Tasks[[#This Row],[UID]])))</f>
        <v>0</v>
      </c>
      <c r="FA18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3" s="91" t="str">
        <f aca="false">IF(NOT(Tasks[[#This Row],[_IsLeaf]]=1),"",IF(N(Tasks[[#This Row],[_Days]])&lt;=0,Tasks[[#This Row],[_LeafLateFinish]],WORKDAY.INTL(Tasks[[#This Row],[_LeafLateFinish]],-(Tasks[[#This Row],[_Days]]-1),WorkWeek,Holidays)))</f>
        <v/>
      </c>
      <c r="FD18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3" s="90" t="b">
        <f aca="false">AND(Tasks[[#This Row],[_IsLeaf]]=1,Tasks[[#This Row],[_LeafProgress]]&lt;1,N(Tasks[[#This Row],[_LeafTotalSlack]])&lt;=CriticalSlackDays)</f>
        <v>0</v>
      </c>
      <c r="FF183" s="43" t="n">
        <f aca="false">IF(AND(Tasks[[#This Row],[_IsLeaf]]=1,Tasks[[#This Row],[_ConstraintCode]]=1,Tasks[[#This Row],[Mode]]&lt;&gt;"Manual",N(Tasks[[#This Row],[Actual Start]])=0),MAX(0,N(Tasks[[#This Row],[Free Slack]])),0)</f>
        <v>0</v>
      </c>
      <c r="FG183" s="91" t="str">
        <f aca="false">IF(NOT(Tasks[[#This Row],[_IsLeaf]]=1),"",IF(Tasks[[#This Row],[_AlapShift]]=0,Tasks[[#This Row],[_LeafCalcStart]],WORKDAY.INTL(Tasks[[#This Row],[_LeafCalcStart]],Tasks[[#This Row],[_AlapShift]],WorkWeek,Holidays)))</f>
        <v/>
      </c>
      <c r="FH183" s="91" t="str">
        <f aca="false">IF(NOT(Tasks[[#This Row],[_IsLeaf]]=1),"",IF(Tasks[[#This Row],[_AlapShift]]=0,Tasks[[#This Row],[_LeafCalcFinish]],WORKDAY.INTL(Tasks[[#This Row],[_LeafCalcFinish]],Tasks[[#This Row],[_AlapShift]],WorkWeek,Holidays)))</f>
        <v/>
      </c>
      <c r="FI183" s="91" t="str">
        <f aca="false">IF(NOT(Tasks[[#This Row],[_IsLeaf]]=1),"",IF(Tasks[[#This Row],[_AlapShift]]=0,Tasks[[#This Row],[_LeafFcstStart]],WORKDAY.INTL(Tasks[[#This Row],[_LeafFcstStart]],Tasks[[#This Row],[_AlapShift]],WorkWeek,Holidays)))</f>
        <v/>
      </c>
      <c r="FJ183" s="91" t="str">
        <f aca="false">IF(NOT(Tasks[[#This Row],[_IsLeaf]]=1),"",IF(Tasks[[#This Row],[_AlapShift]]=0,Tasks[[#This Row],[_LeafFcstFinish]],WORKDAY.INTL(Tasks[[#This Row],[_LeafFcstFinish]],Tasks[[#This Row],[_AlapShift]],WorkWeek,Holidays)))</f>
        <v/>
      </c>
      <c r="FK183" s="91" t="str">
        <f aca="false">IF(Tasks[[#This Row],[Task Name]]="","",IF(Tasks[[#This Row],[_IsSummary]],MIN(INDEX(Tasks[_ShownCalcStart],Tasks[[#This Row],[_Row]]+1):INDEX(Tasks[_ShownCalcStart],Tasks[[#This Row],[_Row]]+Tasks[[#This Row],[_Descendants]])),Tasks[[#This Row],[_ShownCalcStart]]))</f>
        <v/>
      </c>
      <c r="FL183" s="91" t="str">
        <f aca="false">IF(Tasks[[#This Row],[Task Name]]="","",IF(Tasks[[#This Row],[_IsSummary]],MAX(INDEX(Tasks[_ShownCalcFinish],Tasks[[#This Row],[_Row]]+1):INDEX(Tasks[_ShownCalcFinish],Tasks[[#This Row],[_Row]]+Tasks[[#This Row],[_Descendants]])),Tasks[[#This Row],[_ShownCalcFinish]]))</f>
        <v/>
      </c>
      <c r="FM18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3" s="43" t="n">
        <f aca="false">IF(AND(Tasks[[#This Row],[_IsLeaf]]=1,Tasks[[#This Row],[_LeafTotalWork]]&gt;0),NETWORKDAYS.INTL(ProjectStart,Tasks[[#This Row],[_ShownFcstStart]],WorkWeek,Holidays),0)</f>
        <v>0</v>
      </c>
      <c r="FZ183" s="43" t="n">
        <f aca="false">IF(AND(Tasks[[#This Row],[_IsLeaf]]=1,Tasks[[#This Row],[_LeafTotalWork]]&gt;0),MAX(Tasks[[#This Row],[_StartWorkday]],NETWORKDAYS.INTL(ProjectStart,Tasks[[#This Row],[_ShownFcstFinish]],WorkWeek,Holidays)),0)</f>
        <v>0</v>
      </c>
      <c r="GA183" s="43" t="n">
        <f aca="false">IF(AND(Tasks[[#This Row],[_IsLeaf]]=1,Tasks[[#This Row],[_LeafTotalWork]]&gt;0),Tasks[[#This Row],[_LeafWork]]/(Tasks[[#This Row],[_FinishWorkday]]-Tasks[[#This Row],[_StartWorkday]]+1),0)</f>
        <v>0</v>
      </c>
      <c r="GB183" s="43" t="n">
        <f aca="false">Tasks[[#This Row],[_WorkPerWorkday]]*(Tasks[[#This Row],[_StartWorkday]]-1)</f>
        <v>-0</v>
      </c>
      <c r="GC183" s="43" t="n">
        <f aca="false">IF(Tasks[[#This Row],[_IsLeaf]]=1,MAX(N(Tasks[[#This Row],[_Days]]),0.1),0)</f>
        <v>0</v>
      </c>
      <c r="GD183" s="43" t="n">
        <f aca="false">Tasks[[#This Row],[_WeightDur]]*Tasks[[#This Row],[_LeafProgress]]</f>
        <v>0</v>
      </c>
      <c r="GE183" s="43" t="n">
        <f aca="false">Tasks[[#This Row],[_WeightDur]]*Tasks[[#This Row],[_PlannedPct]]</f>
        <v>0</v>
      </c>
      <c r="GF18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3" s="43" t="str">
        <f aca="false">IF(AND(Tasks[[#This Row],[_IsLeaf]]=1,N(Tasks[[#This Row],[_Days]])=0,Tasks[[#This Row],[_LeafProgress]]&lt;1),Tasks[[#This Row],[_ShownFcstFinish]]+Tasks[[#This Row],[_Row]]/100000,"")</f>
        <v/>
      </c>
      <c r="GH18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3" s="43" t="str">
        <f aca="false">IF(Tasks[[#This Row],[Task Name]]="","",LEFT(Tasks[[#This Row],[WBS]],FIND(".",Tasks[[#This Row],[WBS]]&amp;".")-1))</f>
        <v/>
      </c>
      <c r="GJ183" s="43" t="str">
        <f aca="false">IF(AND(Tasks[[#This Row],[Task Name]]&lt;&gt;"",Tasks[[#This Row],[_Level]]=1),Tasks[[#This Row],[_Row]],"")</f>
        <v/>
      </c>
      <c r="GK183" s="43" t="str">
        <f aca="false">IF(AND(Tasks[[#This Row],[_IsLeaf]]=1,N(Tasks[[#This Row],[_Days]])=0),Tasks[[#This Row],[Planned Finish]]+Tasks[[#This Row],[_Row]]/100000,"")</f>
        <v/>
      </c>
      <c r="GL183" s="43" t="str">
        <f aca="false">IF(AND(Tasks[[#This Row],[_IsLeaf]]=1,Tasks[[#This Row],[_LeafProgress]]&lt;1,OR(N(Tasks[[#This Row],[Finish Var]])&gt;0,Tasks[[#This Row],[Status]]="Late Start")),MAX(0,Tasks[[#This Row],[Finish Var]])+1-Tasks[[#This Row],[_Row]]/1000000,"")</f>
        <v/>
      </c>
      <c r="GM183" s="43" t="str">
        <f aca="false">IF(AND(Tasks[[#This Row],[_IsLeaf]]=1,N(Tasks[[#This Row],[Actual Start]])=0,Tasks[[#This Row],[_ShownFcstStart]]&gt;=StatusDate,Tasks[[#This Row],[_ShownFcstStart]]&lt;=LookaheadEnd),Tasks[[#This Row],[_ShownFcstStart]]+Tasks[[#This Row],[_Row]]/100000,"")</f>
        <v/>
      </c>
      <c r="GN183" s="43" t="str">
        <f aca="false">IF(AND(Tasks[[#This Row],[_IsLeaf]]=1,Tasks[[#This Row],[_LeafProgress]]&lt;1,Tasks[[#This Row],[_ShownFcstFinish]]&gt;=StatusDate,Tasks[[#This Row],[_ShownFcstFinish]]&lt;=LookaheadEnd),Tasks[[#This Row],[_ShownFcstFinish]]+Tasks[[#This Row],[_Row]]/100000,"")</f>
        <v/>
      </c>
      <c r="GO183" s="43" t="str">
        <f aca="false">IF(Tasks[[#This Row],[_LeafCritical]],Tasks[[#This Row],[_ShownFcstStart]]+Tasks[[#This Row],[_Row]]/100000,"")</f>
        <v/>
      </c>
      <c r="GP183" s="43" t="n">
        <f aca="false">Tasks[[#This Row],[_LeafWork]]*Tasks[[#This Row],[_LeafProgress]]</f>
        <v>0</v>
      </c>
      <c r="GQ183" s="91" t="str">
        <f aca="false">IF(AND(Tasks[[#This Row],[_IsLeaf]]=1,Tasks[[#This Row],[_LeafProgress]]&gt;=1),IF(N(Tasks[[#This Row],[Actual Finish]])&gt;0,Tasks[[#This Row],[Actual Finish]],Tasks[[#This Row],[_ShownFcstFinish]]),"")</f>
        <v/>
      </c>
      <c r="GR183" s="43" t="n">
        <f aca="false">IF(Tasks[[#This Row],[_IsLeaf]]=1,N(Tasks[[#This Row],[Story Points]]),0)</f>
        <v>0</v>
      </c>
      <c r="GS183" s="43" t="str">
        <f aca="false">""</f>
        <v/>
      </c>
      <c r="GT183" s="90" t="b">
        <f aca="false">IF(Tasks[[#This Row],[Task Name]]="",FALSE(),AND(Tasks[[#This Row],[_IsLeaf]]=1,N(Tasks[[#This Row],[_Days]])=0))</f>
        <v>0</v>
      </c>
      <c r="GU183" s="91" t="n">
        <f aca="false">IF(Tasks[[#This Row],[Task Name]]="",0,IF(AND(Tasks[[#This Row],[_IsLeaf]]=1,NOT(Tasks[[#This Row],[_IsMilestone]]),N(Tasks[[#This Row],[Progress]])&gt;0),Tasks[[#This Row],[Start]],0))</f>
        <v>0</v>
      </c>
      <c r="GV183" s="91" t="n">
        <f aca="false">IF(Tasks[[#This Row],[_DoneFrom]]=0,0,IF(Tasks[[#This Row],[Progress]]&gt;=1,Tasks[[#This Row],[Finish]],MAX(Tasks[[#This Row],[_DoneFrom]],Tasks[[#This Row],[Start]]+ROUND((Tasks[[#This Row],[Finish]]-Tasks[[#This Row],[Start]]+1)*Tasks[[#This Row],[Progress]],0)-1)))</f>
        <v>0</v>
      </c>
      <c r="GW183" s="91" t="n">
        <f aca="false">IF(Tasks[[#This Row],[Task Name]]="",0,IF(OR(NOT(Tasks[[#This Row],[_IsLeaf]]=1),Tasks[[#This Row],[_IsMilestone]],N(Tasks[[#This Row],[Progress]])&gt;=1),0,IF(Tasks[[#This Row],[_DoneTo]]&gt;0,Tasks[[#This Row],[_DoneTo]]+1,Tasks[[#This Row],[Start]])))</f>
        <v>0</v>
      </c>
      <c r="GX183" s="91" t="n">
        <f aca="false">IF(Tasks[[#This Row],[_RemFrom]]=0,0,Tasks[[#This Row],[Finish]])</f>
        <v>0</v>
      </c>
      <c r="GY183" s="90" t="b">
        <f aca="false">IF(Tasks[[#This Row],[Task Name]]="",FALSE(),OR(NOT(BaselineSet),N(Tasks[[#This Row],[Baseline Start]])&gt;0))</f>
        <v>0</v>
      </c>
      <c r="GZ18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3" s="92" t="str">
        <f aca="false">IF(Tasks[[#This Row],[_IsLeaf]]=1,Tasks[[#This Row],[_Row]],"")</f>
        <v/>
      </c>
      <c r="HD183" s="92" t="str">
        <f aca="false">IFERROR(INDEX(Tasks[UID],SMALL(Tasks[_PickKey],Tasks[[#This Row],[_Row]]))&amp;" "&amp;INDEX(Tasks[Task Name],SMALL(Tasks[_PickKey],Tasks[[#This Row],[_Row]])),"")</f>
        <v/>
      </c>
      <c r="HE183" s="43" t="str">
        <f aca="false">IF(Tasks[[#This Row],[Task Name]]="","",IF(Tasks[[#This Row],[_IsSummary]],NETWORKDAYS.INTL(Tasks[[#This Row],[Start]],Tasks[[#This Row],[Finish]],WorkWeek,Holidays),N(Tasks[[#This Row],[_Days]])))</f>
        <v/>
      </c>
      <c r="HF183" s="43" t="n">
        <f aca="false">IF(Tasks[[#This Row],[Expected]]="",0,((Tasks[[#This Row],[Pessimistic]]-Tasks[[#This Row],[Optimistic]])/6)^2)</f>
        <v>0</v>
      </c>
      <c r="HG183" s="43" t="n">
        <f aca="false">IF(Tasks[[#This Row],[Expected]]="",0,Tasks[[#This Row],[Expected]]-N(Tasks[[#This Row],[_Days]]))</f>
        <v>0</v>
      </c>
    </row>
    <row r="184" customFormat="false" ht="15" hidden="false" customHeight="false" outlineLevel="0" collapsed="false">
      <c r="A184" s="21" t="str">
        <f aca="false">IF(Tasks[[#This Row],[Task Name]]="","",COUNTA(Tasks[[#Headers],[Task Name]]:Tasks[[#This Row],[Task Name]])-1)</f>
        <v/>
      </c>
      <c r="B184" s="22" t="n">
        <v>192</v>
      </c>
      <c r="C184" s="22"/>
      <c r="D184" s="23"/>
      <c r="E184" s="22"/>
      <c r="F184" s="23"/>
      <c r="G184" s="22"/>
      <c r="H184" s="22"/>
      <c r="I184" s="23"/>
      <c r="J184" s="22"/>
      <c r="K184" s="22"/>
      <c r="L184" s="23"/>
      <c r="M184" s="22"/>
      <c r="N184" s="22"/>
      <c r="O184" s="23"/>
      <c r="P184" s="22"/>
      <c r="Q184" s="22"/>
      <c r="R184" s="23"/>
      <c r="S184" s="23"/>
      <c r="T184" s="84"/>
      <c r="U184" s="23"/>
      <c r="V184" s="84"/>
      <c r="W184" s="23"/>
      <c r="X184" s="84"/>
      <c r="Y184" s="23"/>
      <c r="Z184" s="84"/>
      <c r="AA184" s="23"/>
      <c r="AB184" s="23"/>
      <c r="AC184" s="7"/>
      <c r="AD184" s="7"/>
      <c r="AE184" s="63" t="str">
        <f aca="false">IF(Tasks[[#This Row],[Task Name]]="","",IF(Tasks[[#This Row],[_IsSummary]],MIN(INDEX(Tasks[_ShownFcstStart],Tasks[[#This Row],[_Row]]+1):INDEX(Tasks[_ShownFcstStart],Tasks[[#This Row],[_Row]]+Tasks[[#This Row],[_Descendants]])),Tasks[[#This Row],[_ShownFcstStart]]))</f>
        <v/>
      </c>
      <c r="AF184" s="63" t="str">
        <f aca="false">IF(Tasks[[#This Row],[Task Name]]="","",IF(Tasks[[#This Row],[_IsSummary]],MAX(INDEX(Tasks[_ShownFcstFinish],Tasks[[#This Row],[_Row]]+1):INDEX(Tasks[_ShownFcstFinish],Tasks[[#This Row],[_Row]]+Tasks[[#This Row],[_Descendants]])),Tasks[[#This Row],[_ShownFcstFinish]]))</f>
        <v/>
      </c>
      <c r="AG184" s="21" t="str">
        <f aca="false">""</f>
        <v/>
      </c>
      <c r="AH184" s="23"/>
      <c r="AI1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4" s="7"/>
      <c r="AK184" s="22"/>
      <c r="AL184" s="23"/>
      <c r="AM184" s="7"/>
      <c r="AN184" s="47" t="str">
        <f aca="false">IF(Tasks[[#This Row],[Task Name]]="","",IF(Tasks[[#This Row],[Finish]]&gt;=Tasks[[#This Row],[Planned Finish]],NETWORKDAYS.INTL(Tasks[[#This Row],[Planned Finish]],Tasks[[#This Row],[Finish]],WorkWeek,Holidays)-1,1-NETWORKDAYS.INTL(Tasks[[#This Row],[Finish]],Tasks[[#This Row],[Planned Finish]],WorkWeek,Holidays)))</f>
        <v/>
      </c>
      <c r="AO184" s="21" t="str">
        <f aca="false">IF(Tasks[[#This Row],[Task Name]]="","",IF(Tasks[[#This Row],[Progress]]&gt;=1,"Complete",IF(OR(N(Tasks[[#This Row],[Actual Start]])&gt;0,Tasks[[#This Row],[Progress]]&gt;0),IF(Tasks[[#This Row],[Finish Var]]&gt;0,"Behind","In Progress"),IF(Tasks[[#This Row],[Planned Start]]&lt;StatusDate,"Late Start","Not Started"))))</f>
        <v/>
      </c>
      <c r="AP184" s="21" t="str">
        <f aca="false">IF(Tasks[[#This Row],[Task Name]]="","",IF(IF(Tasks[[#This Row],[_IsSummary]],COUNTIF(INDEX(Tasks[_LeafCritical],Tasks[[#This Row],[_Row]]+1):INDEX(Tasks[_LeafCritical],Tasks[[#This Row],[_Row]]+Tasks[[#This Row],[_Descendants]]),TRUE())&gt;0,Tasks[[#This Row],[_LeafCritical]]),"Yes",""))</f>
        <v/>
      </c>
      <c r="AQ184" s="63" t="str">
        <f aca="false">IF(Tasks[[#This Row],[Task Name]]="","",IF(N(Tasks[[#This Row],[Baseline Start]])&gt;0,Tasks[[#This Row],[Baseline Start]],Tasks[[#This Row],[_CalcStart]]))</f>
        <v/>
      </c>
      <c r="AR184" s="63" t="str">
        <f aca="false">IF(Tasks[[#This Row],[Task Name]]="","",IF(N(Tasks[[#This Row],[Baseline Finish]])&gt;0,Tasks[[#This Row],[Baseline Finish]],Tasks[[#This Row],[_CalcFinish]]))</f>
        <v/>
      </c>
      <c r="AS184" s="47" t="str">
        <f aca="false">IF(Tasks[[#This Row],[Task Name]]="","",IF(Tasks[[#This Row],[Start]]&gt;=Tasks[[#This Row],[Planned Start]],NETWORKDAYS.INTL(Tasks[[#This Row],[Planned Start]],Tasks[[#This Row],[Start]],WorkWeek,Holidays)-1,1-NETWORKDAYS.INTL(Tasks[[#This Row],[Start]],Tasks[[#This Row],[Planned Start]],WorkWeek,Holidays)))</f>
        <v/>
      </c>
      <c r="AT184" s="63" t="str">
        <f aca="false">IF(Tasks[[#This Row],[Task Name]]="","",IF(Tasks[[#This Row],[_IsSummary]],MIN(INDEX(Tasks[_LeafLateStart],Tasks[[#This Row],[_Row]]+1):INDEX(Tasks[_LeafLateStart],Tasks[[#This Row],[_Row]]+Tasks[[#This Row],[_Descendants]])),Tasks[[#This Row],[_LeafLateStart]]))</f>
        <v/>
      </c>
      <c r="AU184" s="63" t="str">
        <f aca="false">IF(Tasks[[#This Row],[Task Name]]="","",IF(Tasks[[#This Row],[_IsSummary]],MAX(INDEX(Tasks[_LeafLateFinish],Tasks[[#This Row],[_Row]]+1):INDEX(Tasks[_LeafLateFinish],Tasks[[#This Row],[_Row]]+Tasks[[#This Row],[_Descendants]])),Tasks[[#This Row],[_LeafLateFinish]]))</f>
        <v/>
      </c>
      <c r="AV184" s="47" t="str">
        <f aca="false">IF(Tasks[[#This Row],[Task Name]]="","",IF(Tasks[[#This Row],[_IsSummary]],MIN(INDEX(Tasks[_LeafTotalSlack],Tasks[[#This Row],[_Row]]+1):INDEX(Tasks[_LeafTotalSlack],Tasks[[#This Row],[_Row]]+Tasks[[#This Row],[_Descendants]])),Tasks[[#This Row],[_LeafTotalSlack]]))</f>
        <v/>
      </c>
      <c r="AW1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5"/>
      <c r="BA18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1" t="str">
        <f aca="false">IF(Tasks[[#This Row],[Task Name]]="","",IF(Tasks[[#This Row],[_Level]]&lt;=OutlineShowLevel,"Yes","No"))</f>
        <v/>
      </c>
      <c r="BE184" s="86" t="str">
        <f aca="false">IF(Tasks[[#This Row],[Task Name]]="","",IF(Tasks[[#This Row],[_IsSummary]],SUM(INDEX(Tasks[_LeafTotalWork],Tasks[[#This Row],[_Row]]+1):INDEX(Tasks[_LeafTotalWork],Tasks[[#This Row],[_Row]]+Tasks[[#This Row],[_Descendants]])),Tasks[[#This Row],[_LeafTotalWork]]))</f>
        <v/>
      </c>
      <c r="BF184" s="23"/>
      <c r="BG1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4" s="21" t="str">
        <f aca="false">""</f>
        <v/>
      </c>
      <c r="BI184" s="87"/>
      <c r="BJ184" s="22"/>
      <c r="BK184" s="47" t="str">
        <f aca="false">IF(OR(Tasks[[#This Row],[Task Name]]="",Tasks[[#This Row],[Baseline Duration]]=""),"",Tasks[[#This Row],[_SpanDays]]-N(Tasks[[#This Row],[Baseline Duration]]))</f>
        <v/>
      </c>
      <c r="BL184" s="86" t="str">
        <f aca="false">IF(OR(Tasks[[#This Row],[Task Name]]="",Tasks[[#This Row],[Baseline Work]]=""),"",Tasks[[#This Row],[Work]]-N(Tasks[[#This Row],[Baseline Work]]))</f>
        <v/>
      </c>
      <c r="BM184" s="63" t="str">
        <f aca="false">IF(Tasks[[#This Row],[Task Name]]="","",IF(OR(TakeBaseline="Yes",N(Tasks[[#This Row],[Baseline Start]])=0),Tasks[[#This Row],[Start]],Tasks[[#This Row],[Baseline Start]]))</f>
        <v/>
      </c>
      <c r="BN184" s="63" t="str">
        <f aca="false">IF(Tasks[[#This Row],[Task Name]]="","",IF(OR(TakeBaseline="Yes",N(Tasks[[#This Row],[Baseline Finish]])=0),Tasks[[#This Row],[Finish]],Tasks[[#This Row],[Baseline Finish]]))</f>
        <v/>
      </c>
      <c r="BO184" s="21" t="str">
        <f aca="false">IF(Tasks[[#This Row],[Task Name]]="","",IF(OR(TakeBaseline="Yes",N(Tasks[[#This Row],[Baseline Duration]])=0),Tasks[[#This Row],[_SpanDays]],Tasks[[#This Row],[Baseline Duration]]))</f>
        <v/>
      </c>
      <c r="BP184" s="86" t="str">
        <f aca="false">IF(Tasks[[#This Row],[Task Name]]="","",IF(OR(TakeBaseline="Yes",N(Tasks[[#This Row],[Baseline Work]])=0),Tasks[[#This Row],[Work]],Tasks[[#This Row],[Baseline Work]]))</f>
        <v/>
      </c>
      <c r="BQ184" s="7"/>
      <c r="BR184" s="7"/>
      <c r="BS184" s="22"/>
      <c r="BT184" s="88"/>
      <c r="BU184" s="23"/>
      <c r="BV184" s="23"/>
      <c r="BW184" s="23"/>
      <c r="BX184" s="89" t="str">
        <f aca="false">IF(AND(Tasks[[#This Row],[_IsLeaf]]=1,ISNUMBER(Tasks[[#This Row],[Optimistic]]),ISNUMBER(Tasks[[#This Row],[Pessimistic]])),ROUND((Tasks[[#This Row],[Optimistic]]+4*N(Tasks[[#This Row],[_Days]])+Tasks[[#This Row],[Pessimistic]])/6,1),"")</f>
        <v/>
      </c>
      <c r="BY184" s="87"/>
      <c r="BZ184" s="87"/>
      <c r="CA184" s="22"/>
      <c r="CB184" s="43" t="str">
        <f aca="false">IF(Tasks[[#This Row],[Task Name]]="","",MAX(1,N(Tasks[[#This Row],[Level]])))</f>
        <v/>
      </c>
      <c r="CC184" s="43" t="n">
        <f aca="false">ROW()-ROW(Tasks[[#Headers],[ID]])</f>
        <v>179</v>
      </c>
      <c r="CD184" s="43" t="n">
        <f aca="false">IF(OR(Tasks[[#This Row],[Task Name]]="",Tasks[[#This Row],[_Level]]&lt;=1),0,IFERROR(LOOKUP(2,1/(Tasks[[#Headers],[_Level]]:Tasks[[#This Row],[_Level]]=Tasks[[#This Row],[_Level]]-1),ROW(Tasks[[#Headers],[_Level]]:Tasks[[#This Row],[_Level]])),0))</f>
        <v>0</v>
      </c>
      <c r="CE184" s="43" t="n">
        <f aca="false">IFERROR(N(INDEX(Tasks[_Level],Tasks[[#This Row],[_Row]]+1)),0)</f>
        <v>0</v>
      </c>
      <c r="CF184" s="90" t="b">
        <f aca="false">AND(Tasks[[#This Row],[Task Name]]&lt;&gt;"",Tasks[[#This Row],[_NextLevel]]&gt;Tasks[[#This Row],[_Level]])</f>
        <v>0</v>
      </c>
      <c r="CG184" s="43" t="n">
        <f aca="false">IF(Tasks[[#This Row],[_IsSummary]],COUNTIF(Tasks[WBS],Tasks[[#This Row],[WBS]]&amp;".*"),0)</f>
        <v>0</v>
      </c>
      <c r="CH184" s="43" t="n">
        <f aca="false">IF(AND(Tasks[[#This Row],[Task Name]]&lt;&gt;"",NOT(Tasks[[#This Row],[_IsSummary]])),1,0)</f>
        <v>0</v>
      </c>
      <c r="CI184" s="43" t="n">
        <f aca="false">IF(N(Tasks[[#This Row],[_Pred1UID]])=0,0,IFERROR(MATCH(Tasks[[#This Row],[_Pred1UID]],Tasks[UID],0),-1))</f>
        <v>0</v>
      </c>
      <c r="CJ184" s="43" t="n">
        <f aca="false">IF(N(Tasks[[#This Row],[_Pred2UID]])=0,0,IFERROR(MATCH(Tasks[[#This Row],[_Pred2UID]],Tasks[UID],0),-1))</f>
        <v>0</v>
      </c>
      <c r="CK184" s="43" t="n">
        <f aca="false">IF(N(Tasks[[#This Row],[_Pred3UID]])=0,0,IFERROR(MATCH(Tasks[[#This Row],[_Pred3UID]],Tasks[UID],0),-1))</f>
        <v>0</v>
      </c>
      <c r="CL184" s="43" t="n">
        <f aca="false">IF(N(Tasks[[#This Row],[_Pred4UID]])=0,0,IFERROR(MATCH(Tasks[[#This Row],[_Pred4UID]],Tasks[UID],0),-1))</f>
        <v>0</v>
      </c>
      <c r="CM18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4" s="91" t="n">
        <f aca="false">IF(OR(Tasks[[#This Row],[_ConstraintCode]]=2,Tasks[[#This Row],[_ConstraintCode]]=3,Tasks[[#This Row],[_ConstraintCode]]=4,Tasks[[#This Row],[_ConstraintCode]]=6),Tasks[[#This Row],[_ConstraintStart]],0)</f>
        <v>0</v>
      </c>
      <c r="CP184" s="91" t="n">
        <f aca="false">IF(OR(Tasks[[#This Row],[_ConstraintCode]]=2,Tasks[[#This Row],[_ConstraintCode]]=3,Tasks[[#This Row],[_ConstraintCode]]=5,Tasks[[#This Row],[_ConstraintCode]]=7),Tasks[[#This Row],[_ConstraintStart]],2958465)</f>
        <v>2958465</v>
      </c>
      <c r="CQ18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4" s="91" t="str">
        <f aca="false">IF(NOT(Tasks[[#This Row],[_IsLeaf]]=1),"",IF(N(Tasks[[#This Row],[_Days]])&lt;=0,Tasks[[#This Row],[_LeafCalcStart]],WORKDAY.INTL(Tasks[[#This Row],[_LeafCalcStart]],Tasks[[#This Row],[_Days]]-1,WorkWeek,Holidays)))</f>
        <v/>
      </c>
      <c r="CS18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4" s="43" t="str">
        <f aca="false">IF(Tasks[[#This Row],[_Predecessors]]="","",TRIM(MID(SUBSTITUTE(SUBSTITUTE(SUBSTITUTE(UPPER(Tasks[[#This Row],[_Predecessors]]),";",",")," ",""),",",REPT(" ",99)),1,99)))</f>
        <v/>
      </c>
      <c r="CV184" s="43" t="str">
        <f aca="false">IF(Tasks[[#This Row],[_Pred1Text]]="","",IFERROR(VALUE(LEFT(Tasks[[#This Row],[_Pred1Text]],MIN(FIND("F",Tasks[[#This Row],[_Pred1Text]]&amp;"F"),FIND("S",Tasks[[#This Row],[_Pred1Text]]&amp;"S"),FIND("+",Tasks[[#This Row],[_Pred1Text]]&amp;"+"),FIND("-",Tasks[[#This Row],[_Pred1Text]]&amp;"-"))-1)),""))</f>
        <v/>
      </c>
      <c r="CW18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4" s="43" t="str">
        <f aca="false">IF(Tasks[[#This Row],[_Pred1Text]]="","",TRIM(MID(SUBSTITUTE(SUBSTITUTE(SUBSTITUTE(UPPER(Tasks[[#This Row],[_Predecessors]]),";",",")," ",""),",",REPT(" ",99)),100,99)))</f>
        <v/>
      </c>
      <c r="CZ184" s="43" t="str">
        <f aca="false">IF(Tasks[[#This Row],[_Pred2Text]]="","",IFERROR(VALUE(LEFT(Tasks[[#This Row],[_Pred2Text]],MIN(FIND("F",Tasks[[#This Row],[_Pred2Text]]&amp;"F"),FIND("S",Tasks[[#This Row],[_Pred2Text]]&amp;"S"),FIND("+",Tasks[[#This Row],[_Pred2Text]]&amp;"+"),FIND("-",Tasks[[#This Row],[_Pred2Text]]&amp;"-"))-1)),""))</f>
        <v/>
      </c>
      <c r="DA18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4" s="43" t="str">
        <f aca="false">IF(Tasks[[#This Row],[_Pred2Text]]="","",TRIM(MID(SUBSTITUTE(SUBSTITUTE(SUBSTITUTE(UPPER(Tasks[[#This Row],[_Predecessors]]),";",",")," ",""),",",REPT(" ",99)),199,99)))</f>
        <v/>
      </c>
      <c r="DD184" s="43" t="str">
        <f aca="false">IF(Tasks[[#This Row],[_Pred3Text]]="","",IFERROR(VALUE(LEFT(Tasks[[#This Row],[_Pred3Text]],MIN(FIND("F",Tasks[[#This Row],[_Pred3Text]]&amp;"F"),FIND("S",Tasks[[#This Row],[_Pred3Text]]&amp;"S"),FIND("+",Tasks[[#This Row],[_Pred3Text]]&amp;"+"),FIND("-",Tasks[[#This Row],[_Pred3Text]]&amp;"-"))-1)),""))</f>
        <v/>
      </c>
      <c r="DE18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4" s="43" t="str">
        <f aca="false">IF(Tasks[[#This Row],[_Pred3Text]]="","",TRIM(MID(SUBSTITUTE(SUBSTITUTE(SUBSTITUTE(UPPER(Tasks[[#This Row],[_Predecessors]]),";",",")," ",""),",",REPT(" ",99)),298,99)))</f>
        <v/>
      </c>
      <c r="DH184" s="43" t="str">
        <f aca="false">IF(Tasks[[#This Row],[_Pred4Text]]="","",IFERROR(VALUE(LEFT(Tasks[[#This Row],[_Pred4Text]],MIN(FIND("F",Tasks[[#This Row],[_Pred4Text]]&amp;"F"),FIND("S",Tasks[[#This Row],[_Pred4Text]]&amp;"S"),FIND("+",Tasks[[#This Row],[_Pred4Text]]&amp;"+"),FIND("-",Tasks[[#This Row],[_Pred4Text]]&amp;"-"))-1)),""))</f>
        <v/>
      </c>
      <c r="DI18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4" s="43" t="str">
        <f aca="false">IF(OR(Tasks[[#This Row],[Task Name]]="",Tasks[[#This Row],[_Resources]]=""),"",TRIM(MID(SUBSTITUTE(Tasks[[#This Row],[_Resources]],",",REPT(" ",99)),1,99)))</f>
        <v/>
      </c>
      <c r="DL184" s="43" t="str">
        <f aca="false">IF(Tasks[[#This Row],[_Res1Text]]="","",TRIM(MID(SUBSTITUTE(Tasks[[#This Row],[_Resources]],",",REPT(" ",99)),100,99)))</f>
        <v/>
      </c>
      <c r="DM184" s="43" t="str">
        <f aca="false">IF(Tasks[[#This Row],[_Res2Text]]="","",TRIM(MID(SUBSTITUTE(Tasks[[#This Row],[_Resources]],",",REPT(" ",99)),199,99)))</f>
        <v/>
      </c>
      <c r="DN184" s="43" t="str">
        <f aca="false">IF(Tasks[[#This Row],[_Res3Text]]="","",TRIM(MID(SUBSTITUTE(Tasks[[#This Row],[_Resources]],",",REPT(" ",99)),298,99)))</f>
        <v/>
      </c>
      <c r="DO184" s="43" t="n">
        <f aca="false">IF(Tasks[[#This Row],[_Res1Text]]="",0,IFERROR(MATCH(TRIM(LEFT(Tasks[[#This Row],[_Res1Text]],FIND("[",Tasks[[#This Row],[_Res1Text]]&amp;"[")-1)),res_Name,0),IFERROR(MATCH(TRIM(LEFT(Tasks[[#This Row],[_Res1Text]],FIND("[",Tasks[[#This Row],[_Res1Text]]&amp;"[")-1)),res_Initials,0),0)))</f>
        <v>0</v>
      </c>
      <c r="DP184" s="43" t="n">
        <f aca="false">IF(Tasks[[#This Row],[_Res2Text]]="",0,IFERROR(MATCH(TRIM(LEFT(Tasks[[#This Row],[_Res2Text]],FIND("[",Tasks[[#This Row],[_Res2Text]]&amp;"[")-1)),res_Name,0),IFERROR(MATCH(TRIM(LEFT(Tasks[[#This Row],[_Res2Text]],FIND("[",Tasks[[#This Row],[_Res2Text]]&amp;"[")-1)),res_Initials,0),0)))</f>
        <v>0</v>
      </c>
      <c r="DQ184" s="43" t="n">
        <f aca="false">IF(Tasks[[#This Row],[_Res3Text]]="",0,IFERROR(MATCH(TRIM(LEFT(Tasks[[#This Row],[_Res3Text]],FIND("[",Tasks[[#This Row],[_Res3Text]]&amp;"[")-1)),res_Name,0),IFERROR(MATCH(TRIM(LEFT(Tasks[[#This Row],[_Res3Text]],FIND("[",Tasks[[#This Row],[_Res3Text]]&amp;"[")-1)),res_Initials,0),0)))</f>
        <v>0</v>
      </c>
      <c r="DR184" s="43" t="n">
        <f aca="false">IF(Tasks[[#This Row],[_Res4Text]]="",0,IFERROR(MATCH(TRIM(LEFT(Tasks[[#This Row],[_Res4Text]],FIND("[",Tasks[[#This Row],[_Res4Text]]&amp;"[")-1)),res_Name,0),IFERROR(MATCH(TRIM(LEFT(Tasks[[#This Row],[_Res4Text]],FIND("[",Tasks[[#This Row],[_Res4Text]]&amp;"[")-1)),res_Initials,0),0)))</f>
        <v>0</v>
      </c>
      <c r="DS184" s="43" t="str">
        <f aca="false">IF(Tasks[[#This Row],[_Res1Text]]="","",IF(Tasks[[#This Row],[_Res1Row]]&gt;0,INDEX(res_Name,Tasks[[#This Row],[_Res1Row]]),TRIM(LEFT(Tasks[[#This Row],[_Res1Text]],FIND("[",Tasks[[#This Row],[_Res1Text]]&amp;"[")-1))))</f>
        <v/>
      </c>
      <c r="DT18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4" s="43" t="n">
        <f aca="false">IF(NOT(Tasks[[#This Row],[_IsLeaf]]=1),0,(Tasks[[#This Row],[_Resource1]]&lt;&gt;"")+(Tasks[[#This Row],[_Res2]]&lt;&gt;"")+(Tasks[[#This Row],[_Res3]]&lt;&gt;"")+(Tasks[[#This Row],[_Res4]]&lt;&gt;""))</f>
        <v>0</v>
      </c>
      <c r="DV184" s="43" t="str">
        <f aca="false">IF(Tasks[[#This Row],[_Res2Text]]="","",IF(Tasks[[#This Row],[_Res2Row]]&gt;0,INDEX(res_Name,Tasks[[#This Row],[_Res2Row]]),TRIM(LEFT(Tasks[[#This Row],[_Res2Text]],FIND("[",Tasks[[#This Row],[_Res2Text]]&amp;"[")-1))))</f>
        <v/>
      </c>
      <c r="DW18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4" s="43" t="n">
        <f aca="false">IF(OR(NOT(Tasks[[#This Row],[_IsLeaf]]=1),Tasks[[#This Row],[_Res2Row]]=0),0,N(Tasks[[#This Row],[_Days]])*HoursPerDay*IF(Tasks[[#This Row],[_Res2Units]]="",DefaultUnits,Tasks[[#This Row],[_Res2Units]]))</f>
        <v>0</v>
      </c>
      <c r="DY184" s="43" t="n">
        <f aca="false">IF(AND(AND(Tasks[[#This Row],[_IsLeaf]]=1,Tasks[[#This Row],[_LeafTotalWork]]&gt;0),Tasks[[#This Row],[_Res2Work]]&gt;0),Tasks[[#This Row],[_Res2Work]]/(Tasks[[#This Row],[_FinishWorkday]]-Tasks[[#This Row],[_StartWorkday]]+1),0)</f>
        <v>0</v>
      </c>
      <c r="DZ184" s="43" t="n">
        <f aca="false">Tasks[[#This Row],[_Res2WorkPerWD]]*MAX(0,Tasks[[#This Row],[_StartWorkday]]-1)</f>
        <v>0</v>
      </c>
      <c r="EA184" s="43" t="n">
        <f aca="false">Tasks[[#This Row],[_Res2Work]]*Tasks[[#This Row],[_LeafProgress]]</f>
        <v>0</v>
      </c>
      <c r="EB184" s="43" t="str">
        <f aca="false">IF(Tasks[[#This Row],[_Res3Text]]="","",IF(Tasks[[#This Row],[_Res3Row]]&gt;0,INDEX(res_Name,Tasks[[#This Row],[_Res3Row]]),TRIM(LEFT(Tasks[[#This Row],[_Res3Text]],FIND("[",Tasks[[#This Row],[_Res3Text]]&amp;"[")-1))))</f>
        <v/>
      </c>
      <c r="EC18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4" s="43" t="n">
        <f aca="false">IF(OR(NOT(Tasks[[#This Row],[_IsLeaf]]=1),Tasks[[#This Row],[_Res3Row]]=0),0,N(Tasks[[#This Row],[_Days]])*HoursPerDay*IF(Tasks[[#This Row],[_Res3Units]]="",DefaultUnits,Tasks[[#This Row],[_Res3Units]]))</f>
        <v>0</v>
      </c>
      <c r="EE184" s="43" t="n">
        <f aca="false">IF(AND(AND(Tasks[[#This Row],[_IsLeaf]]=1,Tasks[[#This Row],[_LeafTotalWork]]&gt;0),Tasks[[#This Row],[_Res3Work]]&gt;0),Tasks[[#This Row],[_Res3Work]]/(Tasks[[#This Row],[_FinishWorkday]]-Tasks[[#This Row],[_StartWorkday]]+1),0)</f>
        <v>0</v>
      </c>
      <c r="EF184" s="43" t="n">
        <f aca="false">Tasks[[#This Row],[_Res3WorkPerWD]]*MAX(0,Tasks[[#This Row],[_StartWorkday]]-1)</f>
        <v>0</v>
      </c>
      <c r="EG184" s="43" t="n">
        <f aca="false">Tasks[[#This Row],[_Res3Work]]*Tasks[[#This Row],[_LeafProgress]]</f>
        <v>0</v>
      </c>
      <c r="EH184" s="43" t="str">
        <f aca="false">IF(Tasks[[#This Row],[_Res4Text]]="","",IF(Tasks[[#This Row],[_Res4Row]]&gt;0,INDEX(res_Name,Tasks[[#This Row],[_Res4Row]]),TRIM(LEFT(Tasks[[#This Row],[_Res4Text]],FIND("[",Tasks[[#This Row],[_Res4Text]]&amp;"[")-1))))</f>
        <v/>
      </c>
      <c r="EI18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4" s="43" t="n">
        <f aca="false">IF(OR(NOT(Tasks[[#This Row],[_IsLeaf]]=1),Tasks[[#This Row],[_Res4Row]]=0),0,N(Tasks[[#This Row],[_Days]])*HoursPerDay*IF(Tasks[[#This Row],[_Res4Units]]="",DefaultUnits,Tasks[[#This Row],[_Res4Units]]))</f>
        <v>0</v>
      </c>
      <c r="EK184" s="43" t="n">
        <f aca="false">IF(AND(AND(Tasks[[#This Row],[_IsLeaf]]=1,Tasks[[#This Row],[_LeafTotalWork]]&gt;0),Tasks[[#This Row],[_Res4Work]]&gt;0),Tasks[[#This Row],[_Res4Work]]/(Tasks[[#This Row],[_FinishWorkday]]-Tasks[[#This Row],[_StartWorkday]]+1),0)</f>
        <v>0</v>
      </c>
      <c r="EL184" s="43" t="n">
        <f aca="false">Tasks[[#This Row],[_Res4WorkPerWD]]*MAX(0,Tasks[[#This Row],[_StartWorkday]]-1)</f>
        <v>0</v>
      </c>
      <c r="EM184" s="43" t="n">
        <f aca="false">Tasks[[#This Row],[_Res4Work]]*Tasks[[#This Row],[_LeafProgress]]</f>
        <v>0</v>
      </c>
      <c r="EN184" s="43" t="n">
        <f aca="false">IF(ISNUMBER(Tasks[[#This Row],[% Complete]]),Tasks[[#This Row],[% Complete]],IF(Tasks[[#This Row],[Stage]]="",0,IFERROR(INDEX(stg_Pct,MATCH(Tasks[[#This Row],[Stage]],stg_Name,0)),0)))</f>
        <v>0</v>
      </c>
      <c r="EO184" s="43" t="n">
        <f aca="false">IF(NOT(Tasks[[#This Row],[_IsLeaf]]=1),0,IF(N(Tasks[[#This Row],[Actual Finish]])&gt;0,1,MIN(1,Tasks[[#This Row],[_Pct]])))</f>
        <v>0</v>
      </c>
      <c r="EP184" s="43" t="n">
        <f aca="false">IF(OR(NOT(Tasks[[#This Row],[_IsLeaf]]=1),Tasks[[#This Row],[_Res1Row]]=0),0,N(Tasks[[#This Row],[_Days]])*HoursPerDay*IF(Tasks[[#This Row],[_Units1]]="",DefaultUnits,Tasks[[#This Row],[_Units1]]))</f>
        <v>0</v>
      </c>
      <c r="EQ184" s="43" t="n">
        <f aca="false">Tasks[[#This Row],[_LeafWork]]+Tasks[[#This Row],[_Res2Work]]+Tasks[[#This Row],[_Res3Work]]+Tasks[[#This Row],[_Res4Work]]</f>
        <v>0</v>
      </c>
      <c r="ER18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4" s="43" t="n">
        <f aca="false">IF(NOT(Tasks[[#This Row],[_IsLeaf]]=1),0,MAX(_xlfn.MAXIFS(Tasks[_Row],Tasks[_Pred1UID],Tasks[[#This Row],[UID]]),_xlfn.MAXIFS(Tasks[_Row],Tasks[_Pred2UID],Tasks[[#This Row],[UID]]),_xlfn.MAXIFS(Tasks[_Row],Tasks[_Pred3UID],Tasks[[#This Row],[UID]]),_xlfn.MAXIFS(Tasks[_Row],Tasks[_Pred4UID],Tasks[[#This Row],[UID]])))</f>
        <v>0</v>
      </c>
      <c r="FA18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4" s="91" t="str">
        <f aca="false">IF(NOT(Tasks[[#This Row],[_IsLeaf]]=1),"",IF(N(Tasks[[#This Row],[_Days]])&lt;=0,Tasks[[#This Row],[_LeafLateFinish]],WORKDAY.INTL(Tasks[[#This Row],[_LeafLateFinish]],-(Tasks[[#This Row],[_Days]]-1),WorkWeek,Holidays)))</f>
        <v/>
      </c>
      <c r="FD18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4" s="90" t="b">
        <f aca="false">AND(Tasks[[#This Row],[_IsLeaf]]=1,Tasks[[#This Row],[_LeafProgress]]&lt;1,N(Tasks[[#This Row],[_LeafTotalSlack]])&lt;=CriticalSlackDays)</f>
        <v>0</v>
      </c>
      <c r="FF184" s="43" t="n">
        <f aca="false">IF(AND(Tasks[[#This Row],[_IsLeaf]]=1,Tasks[[#This Row],[_ConstraintCode]]=1,Tasks[[#This Row],[Mode]]&lt;&gt;"Manual",N(Tasks[[#This Row],[Actual Start]])=0),MAX(0,N(Tasks[[#This Row],[Free Slack]])),0)</f>
        <v>0</v>
      </c>
      <c r="FG184" s="91" t="str">
        <f aca="false">IF(NOT(Tasks[[#This Row],[_IsLeaf]]=1),"",IF(Tasks[[#This Row],[_AlapShift]]=0,Tasks[[#This Row],[_LeafCalcStart]],WORKDAY.INTL(Tasks[[#This Row],[_LeafCalcStart]],Tasks[[#This Row],[_AlapShift]],WorkWeek,Holidays)))</f>
        <v/>
      </c>
      <c r="FH184" s="91" t="str">
        <f aca="false">IF(NOT(Tasks[[#This Row],[_IsLeaf]]=1),"",IF(Tasks[[#This Row],[_AlapShift]]=0,Tasks[[#This Row],[_LeafCalcFinish]],WORKDAY.INTL(Tasks[[#This Row],[_LeafCalcFinish]],Tasks[[#This Row],[_AlapShift]],WorkWeek,Holidays)))</f>
        <v/>
      </c>
      <c r="FI184" s="91" t="str">
        <f aca="false">IF(NOT(Tasks[[#This Row],[_IsLeaf]]=1),"",IF(Tasks[[#This Row],[_AlapShift]]=0,Tasks[[#This Row],[_LeafFcstStart]],WORKDAY.INTL(Tasks[[#This Row],[_LeafFcstStart]],Tasks[[#This Row],[_AlapShift]],WorkWeek,Holidays)))</f>
        <v/>
      </c>
      <c r="FJ184" s="91" t="str">
        <f aca="false">IF(NOT(Tasks[[#This Row],[_IsLeaf]]=1),"",IF(Tasks[[#This Row],[_AlapShift]]=0,Tasks[[#This Row],[_LeafFcstFinish]],WORKDAY.INTL(Tasks[[#This Row],[_LeafFcstFinish]],Tasks[[#This Row],[_AlapShift]],WorkWeek,Holidays)))</f>
        <v/>
      </c>
      <c r="FK184" s="91" t="str">
        <f aca="false">IF(Tasks[[#This Row],[Task Name]]="","",IF(Tasks[[#This Row],[_IsSummary]],MIN(INDEX(Tasks[_ShownCalcStart],Tasks[[#This Row],[_Row]]+1):INDEX(Tasks[_ShownCalcStart],Tasks[[#This Row],[_Row]]+Tasks[[#This Row],[_Descendants]])),Tasks[[#This Row],[_ShownCalcStart]]))</f>
        <v/>
      </c>
      <c r="FL184" s="91" t="str">
        <f aca="false">IF(Tasks[[#This Row],[Task Name]]="","",IF(Tasks[[#This Row],[_IsSummary]],MAX(INDEX(Tasks[_ShownCalcFinish],Tasks[[#This Row],[_Row]]+1):INDEX(Tasks[_ShownCalcFinish],Tasks[[#This Row],[_Row]]+Tasks[[#This Row],[_Descendants]])),Tasks[[#This Row],[_ShownCalcFinish]]))</f>
        <v/>
      </c>
      <c r="FM18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4" s="43" t="n">
        <f aca="false">IF(AND(Tasks[[#This Row],[_IsLeaf]]=1,Tasks[[#This Row],[_LeafTotalWork]]&gt;0),NETWORKDAYS.INTL(ProjectStart,Tasks[[#This Row],[_ShownFcstStart]],WorkWeek,Holidays),0)</f>
        <v>0</v>
      </c>
      <c r="FZ184" s="43" t="n">
        <f aca="false">IF(AND(Tasks[[#This Row],[_IsLeaf]]=1,Tasks[[#This Row],[_LeafTotalWork]]&gt;0),MAX(Tasks[[#This Row],[_StartWorkday]],NETWORKDAYS.INTL(ProjectStart,Tasks[[#This Row],[_ShownFcstFinish]],WorkWeek,Holidays)),0)</f>
        <v>0</v>
      </c>
      <c r="GA184" s="43" t="n">
        <f aca="false">IF(AND(Tasks[[#This Row],[_IsLeaf]]=1,Tasks[[#This Row],[_LeafTotalWork]]&gt;0),Tasks[[#This Row],[_LeafWork]]/(Tasks[[#This Row],[_FinishWorkday]]-Tasks[[#This Row],[_StartWorkday]]+1),0)</f>
        <v>0</v>
      </c>
      <c r="GB184" s="43" t="n">
        <f aca="false">Tasks[[#This Row],[_WorkPerWorkday]]*(Tasks[[#This Row],[_StartWorkday]]-1)</f>
        <v>-0</v>
      </c>
      <c r="GC184" s="43" t="n">
        <f aca="false">IF(Tasks[[#This Row],[_IsLeaf]]=1,MAX(N(Tasks[[#This Row],[_Days]]),0.1),0)</f>
        <v>0</v>
      </c>
      <c r="GD184" s="43" t="n">
        <f aca="false">Tasks[[#This Row],[_WeightDur]]*Tasks[[#This Row],[_LeafProgress]]</f>
        <v>0</v>
      </c>
      <c r="GE184" s="43" t="n">
        <f aca="false">Tasks[[#This Row],[_WeightDur]]*Tasks[[#This Row],[_PlannedPct]]</f>
        <v>0</v>
      </c>
      <c r="GF18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4" s="43" t="str">
        <f aca="false">IF(AND(Tasks[[#This Row],[_IsLeaf]]=1,N(Tasks[[#This Row],[_Days]])=0,Tasks[[#This Row],[_LeafProgress]]&lt;1),Tasks[[#This Row],[_ShownFcstFinish]]+Tasks[[#This Row],[_Row]]/100000,"")</f>
        <v/>
      </c>
      <c r="GH18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4" s="43" t="str">
        <f aca="false">IF(Tasks[[#This Row],[Task Name]]="","",LEFT(Tasks[[#This Row],[WBS]],FIND(".",Tasks[[#This Row],[WBS]]&amp;".")-1))</f>
        <v/>
      </c>
      <c r="GJ184" s="43" t="str">
        <f aca="false">IF(AND(Tasks[[#This Row],[Task Name]]&lt;&gt;"",Tasks[[#This Row],[_Level]]=1),Tasks[[#This Row],[_Row]],"")</f>
        <v/>
      </c>
      <c r="GK184" s="43" t="str">
        <f aca="false">IF(AND(Tasks[[#This Row],[_IsLeaf]]=1,N(Tasks[[#This Row],[_Days]])=0),Tasks[[#This Row],[Planned Finish]]+Tasks[[#This Row],[_Row]]/100000,"")</f>
        <v/>
      </c>
      <c r="GL184" s="43" t="str">
        <f aca="false">IF(AND(Tasks[[#This Row],[_IsLeaf]]=1,Tasks[[#This Row],[_LeafProgress]]&lt;1,OR(N(Tasks[[#This Row],[Finish Var]])&gt;0,Tasks[[#This Row],[Status]]="Late Start")),MAX(0,Tasks[[#This Row],[Finish Var]])+1-Tasks[[#This Row],[_Row]]/1000000,"")</f>
        <v/>
      </c>
      <c r="GM184" s="43" t="str">
        <f aca="false">IF(AND(Tasks[[#This Row],[_IsLeaf]]=1,N(Tasks[[#This Row],[Actual Start]])=0,Tasks[[#This Row],[_ShownFcstStart]]&gt;=StatusDate,Tasks[[#This Row],[_ShownFcstStart]]&lt;=LookaheadEnd),Tasks[[#This Row],[_ShownFcstStart]]+Tasks[[#This Row],[_Row]]/100000,"")</f>
        <v/>
      </c>
      <c r="GN184" s="43" t="str">
        <f aca="false">IF(AND(Tasks[[#This Row],[_IsLeaf]]=1,Tasks[[#This Row],[_LeafProgress]]&lt;1,Tasks[[#This Row],[_ShownFcstFinish]]&gt;=StatusDate,Tasks[[#This Row],[_ShownFcstFinish]]&lt;=LookaheadEnd),Tasks[[#This Row],[_ShownFcstFinish]]+Tasks[[#This Row],[_Row]]/100000,"")</f>
        <v/>
      </c>
      <c r="GO184" s="43" t="str">
        <f aca="false">IF(Tasks[[#This Row],[_LeafCritical]],Tasks[[#This Row],[_ShownFcstStart]]+Tasks[[#This Row],[_Row]]/100000,"")</f>
        <v/>
      </c>
      <c r="GP184" s="43" t="n">
        <f aca="false">Tasks[[#This Row],[_LeafWork]]*Tasks[[#This Row],[_LeafProgress]]</f>
        <v>0</v>
      </c>
      <c r="GQ184" s="91" t="str">
        <f aca="false">IF(AND(Tasks[[#This Row],[_IsLeaf]]=1,Tasks[[#This Row],[_LeafProgress]]&gt;=1),IF(N(Tasks[[#This Row],[Actual Finish]])&gt;0,Tasks[[#This Row],[Actual Finish]],Tasks[[#This Row],[_ShownFcstFinish]]),"")</f>
        <v/>
      </c>
      <c r="GR184" s="43" t="n">
        <f aca="false">IF(Tasks[[#This Row],[_IsLeaf]]=1,N(Tasks[[#This Row],[Story Points]]),0)</f>
        <v>0</v>
      </c>
      <c r="GS184" s="43" t="str">
        <f aca="false">""</f>
        <v/>
      </c>
      <c r="GT184" s="90" t="b">
        <f aca="false">IF(Tasks[[#This Row],[Task Name]]="",FALSE(),AND(Tasks[[#This Row],[_IsLeaf]]=1,N(Tasks[[#This Row],[_Days]])=0))</f>
        <v>0</v>
      </c>
      <c r="GU184" s="91" t="n">
        <f aca="false">IF(Tasks[[#This Row],[Task Name]]="",0,IF(AND(Tasks[[#This Row],[_IsLeaf]]=1,NOT(Tasks[[#This Row],[_IsMilestone]]),N(Tasks[[#This Row],[Progress]])&gt;0),Tasks[[#This Row],[Start]],0))</f>
        <v>0</v>
      </c>
      <c r="GV184" s="91" t="n">
        <f aca="false">IF(Tasks[[#This Row],[_DoneFrom]]=0,0,IF(Tasks[[#This Row],[Progress]]&gt;=1,Tasks[[#This Row],[Finish]],MAX(Tasks[[#This Row],[_DoneFrom]],Tasks[[#This Row],[Start]]+ROUND((Tasks[[#This Row],[Finish]]-Tasks[[#This Row],[Start]]+1)*Tasks[[#This Row],[Progress]],0)-1)))</f>
        <v>0</v>
      </c>
      <c r="GW184" s="91" t="n">
        <f aca="false">IF(Tasks[[#This Row],[Task Name]]="",0,IF(OR(NOT(Tasks[[#This Row],[_IsLeaf]]=1),Tasks[[#This Row],[_IsMilestone]],N(Tasks[[#This Row],[Progress]])&gt;=1),0,IF(Tasks[[#This Row],[_DoneTo]]&gt;0,Tasks[[#This Row],[_DoneTo]]+1,Tasks[[#This Row],[Start]])))</f>
        <v>0</v>
      </c>
      <c r="GX184" s="91" t="n">
        <f aca="false">IF(Tasks[[#This Row],[_RemFrom]]=0,0,Tasks[[#This Row],[Finish]])</f>
        <v>0</v>
      </c>
      <c r="GY184" s="90" t="b">
        <f aca="false">IF(Tasks[[#This Row],[Task Name]]="",FALSE(),OR(NOT(BaselineSet),N(Tasks[[#This Row],[Baseline Start]])&gt;0))</f>
        <v>0</v>
      </c>
      <c r="GZ18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4" s="92" t="str">
        <f aca="false">IF(Tasks[[#This Row],[_IsLeaf]]=1,Tasks[[#This Row],[_Row]],"")</f>
        <v/>
      </c>
      <c r="HD184" s="92" t="str">
        <f aca="false">IFERROR(INDEX(Tasks[UID],SMALL(Tasks[_PickKey],Tasks[[#This Row],[_Row]]))&amp;" "&amp;INDEX(Tasks[Task Name],SMALL(Tasks[_PickKey],Tasks[[#This Row],[_Row]])),"")</f>
        <v/>
      </c>
      <c r="HE184" s="43" t="str">
        <f aca="false">IF(Tasks[[#This Row],[Task Name]]="","",IF(Tasks[[#This Row],[_IsSummary]],NETWORKDAYS.INTL(Tasks[[#This Row],[Start]],Tasks[[#This Row],[Finish]],WorkWeek,Holidays),N(Tasks[[#This Row],[_Days]])))</f>
        <v/>
      </c>
      <c r="HF184" s="43" t="n">
        <f aca="false">IF(Tasks[[#This Row],[Expected]]="",0,((Tasks[[#This Row],[Pessimistic]]-Tasks[[#This Row],[Optimistic]])/6)^2)</f>
        <v>0</v>
      </c>
      <c r="HG184" s="43" t="n">
        <f aca="false">IF(Tasks[[#This Row],[Expected]]="",0,Tasks[[#This Row],[Expected]]-N(Tasks[[#This Row],[_Days]]))</f>
        <v>0</v>
      </c>
    </row>
    <row r="185" customFormat="false" ht="15" hidden="false" customHeight="false" outlineLevel="0" collapsed="false">
      <c r="A185" s="21" t="str">
        <f aca="false">IF(Tasks[[#This Row],[Task Name]]="","",COUNTA(Tasks[[#Headers],[Task Name]]:Tasks[[#This Row],[Task Name]])-1)</f>
        <v/>
      </c>
      <c r="B185" s="22" t="n">
        <v>193</v>
      </c>
      <c r="C185" s="22"/>
      <c r="D185" s="23"/>
      <c r="E185" s="22"/>
      <c r="F185" s="23"/>
      <c r="G185" s="22"/>
      <c r="H185" s="22"/>
      <c r="I185" s="23"/>
      <c r="J185" s="22"/>
      <c r="K185" s="22"/>
      <c r="L185" s="23"/>
      <c r="M185" s="22"/>
      <c r="N185" s="22"/>
      <c r="O185" s="23"/>
      <c r="P185" s="22"/>
      <c r="Q185" s="22"/>
      <c r="R185" s="23"/>
      <c r="S185" s="23"/>
      <c r="T185" s="84"/>
      <c r="U185" s="23"/>
      <c r="V185" s="84"/>
      <c r="W185" s="23"/>
      <c r="X185" s="84"/>
      <c r="Y185" s="23"/>
      <c r="Z185" s="84"/>
      <c r="AA185" s="23"/>
      <c r="AB185" s="23"/>
      <c r="AC185" s="7"/>
      <c r="AD185" s="7"/>
      <c r="AE185" s="63" t="str">
        <f aca="false">IF(Tasks[[#This Row],[Task Name]]="","",IF(Tasks[[#This Row],[_IsSummary]],MIN(INDEX(Tasks[_ShownFcstStart],Tasks[[#This Row],[_Row]]+1):INDEX(Tasks[_ShownFcstStart],Tasks[[#This Row],[_Row]]+Tasks[[#This Row],[_Descendants]])),Tasks[[#This Row],[_ShownFcstStart]]))</f>
        <v/>
      </c>
      <c r="AF185" s="63" t="str">
        <f aca="false">IF(Tasks[[#This Row],[Task Name]]="","",IF(Tasks[[#This Row],[_IsSummary]],MAX(INDEX(Tasks[_ShownFcstFinish],Tasks[[#This Row],[_Row]]+1):INDEX(Tasks[_ShownFcstFinish],Tasks[[#This Row],[_Row]]+Tasks[[#This Row],[_Descendants]])),Tasks[[#This Row],[_ShownFcstFinish]]))</f>
        <v/>
      </c>
      <c r="AG185" s="21" t="str">
        <f aca="false">""</f>
        <v/>
      </c>
      <c r="AH185" s="23"/>
      <c r="AI1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5" s="7"/>
      <c r="AK185" s="22"/>
      <c r="AL185" s="23"/>
      <c r="AM185" s="7"/>
      <c r="AN185" s="47" t="str">
        <f aca="false">IF(Tasks[[#This Row],[Task Name]]="","",IF(Tasks[[#This Row],[Finish]]&gt;=Tasks[[#This Row],[Planned Finish]],NETWORKDAYS.INTL(Tasks[[#This Row],[Planned Finish]],Tasks[[#This Row],[Finish]],WorkWeek,Holidays)-1,1-NETWORKDAYS.INTL(Tasks[[#This Row],[Finish]],Tasks[[#This Row],[Planned Finish]],WorkWeek,Holidays)))</f>
        <v/>
      </c>
      <c r="AO185" s="21" t="str">
        <f aca="false">IF(Tasks[[#This Row],[Task Name]]="","",IF(Tasks[[#This Row],[Progress]]&gt;=1,"Complete",IF(OR(N(Tasks[[#This Row],[Actual Start]])&gt;0,Tasks[[#This Row],[Progress]]&gt;0),IF(Tasks[[#This Row],[Finish Var]]&gt;0,"Behind","In Progress"),IF(Tasks[[#This Row],[Planned Start]]&lt;StatusDate,"Late Start","Not Started"))))</f>
        <v/>
      </c>
      <c r="AP185" s="21" t="str">
        <f aca="false">IF(Tasks[[#This Row],[Task Name]]="","",IF(IF(Tasks[[#This Row],[_IsSummary]],COUNTIF(INDEX(Tasks[_LeafCritical],Tasks[[#This Row],[_Row]]+1):INDEX(Tasks[_LeafCritical],Tasks[[#This Row],[_Row]]+Tasks[[#This Row],[_Descendants]]),TRUE())&gt;0,Tasks[[#This Row],[_LeafCritical]]),"Yes",""))</f>
        <v/>
      </c>
      <c r="AQ185" s="63" t="str">
        <f aca="false">IF(Tasks[[#This Row],[Task Name]]="","",IF(N(Tasks[[#This Row],[Baseline Start]])&gt;0,Tasks[[#This Row],[Baseline Start]],Tasks[[#This Row],[_CalcStart]]))</f>
        <v/>
      </c>
      <c r="AR185" s="63" t="str">
        <f aca="false">IF(Tasks[[#This Row],[Task Name]]="","",IF(N(Tasks[[#This Row],[Baseline Finish]])&gt;0,Tasks[[#This Row],[Baseline Finish]],Tasks[[#This Row],[_CalcFinish]]))</f>
        <v/>
      </c>
      <c r="AS185" s="47" t="str">
        <f aca="false">IF(Tasks[[#This Row],[Task Name]]="","",IF(Tasks[[#This Row],[Start]]&gt;=Tasks[[#This Row],[Planned Start]],NETWORKDAYS.INTL(Tasks[[#This Row],[Planned Start]],Tasks[[#This Row],[Start]],WorkWeek,Holidays)-1,1-NETWORKDAYS.INTL(Tasks[[#This Row],[Start]],Tasks[[#This Row],[Planned Start]],WorkWeek,Holidays)))</f>
        <v/>
      </c>
      <c r="AT185" s="63" t="str">
        <f aca="false">IF(Tasks[[#This Row],[Task Name]]="","",IF(Tasks[[#This Row],[_IsSummary]],MIN(INDEX(Tasks[_LeafLateStart],Tasks[[#This Row],[_Row]]+1):INDEX(Tasks[_LeafLateStart],Tasks[[#This Row],[_Row]]+Tasks[[#This Row],[_Descendants]])),Tasks[[#This Row],[_LeafLateStart]]))</f>
        <v/>
      </c>
      <c r="AU185" s="63" t="str">
        <f aca="false">IF(Tasks[[#This Row],[Task Name]]="","",IF(Tasks[[#This Row],[_IsSummary]],MAX(INDEX(Tasks[_LeafLateFinish],Tasks[[#This Row],[_Row]]+1):INDEX(Tasks[_LeafLateFinish],Tasks[[#This Row],[_Row]]+Tasks[[#This Row],[_Descendants]])),Tasks[[#This Row],[_LeafLateFinish]]))</f>
        <v/>
      </c>
      <c r="AV185" s="47" t="str">
        <f aca="false">IF(Tasks[[#This Row],[Task Name]]="","",IF(Tasks[[#This Row],[_IsSummary]],MIN(INDEX(Tasks[_LeafTotalSlack],Tasks[[#This Row],[_Row]]+1):INDEX(Tasks[_LeafTotalSlack],Tasks[[#This Row],[_Row]]+Tasks[[#This Row],[_Descendants]])),Tasks[[#This Row],[_LeafTotalSlack]]))</f>
        <v/>
      </c>
      <c r="AW1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5"/>
      <c r="BA18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1" t="str">
        <f aca="false">IF(Tasks[[#This Row],[Task Name]]="","",IF(Tasks[[#This Row],[_Level]]&lt;=OutlineShowLevel,"Yes","No"))</f>
        <v/>
      </c>
      <c r="BE185" s="86" t="str">
        <f aca="false">IF(Tasks[[#This Row],[Task Name]]="","",IF(Tasks[[#This Row],[_IsSummary]],SUM(INDEX(Tasks[_LeafTotalWork],Tasks[[#This Row],[_Row]]+1):INDEX(Tasks[_LeafTotalWork],Tasks[[#This Row],[_Row]]+Tasks[[#This Row],[_Descendants]])),Tasks[[#This Row],[_LeafTotalWork]]))</f>
        <v/>
      </c>
      <c r="BF185" s="23"/>
      <c r="BG1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5" s="21" t="str">
        <f aca="false">""</f>
        <v/>
      </c>
      <c r="BI185" s="87"/>
      <c r="BJ185" s="22"/>
      <c r="BK185" s="47" t="str">
        <f aca="false">IF(OR(Tasks[[#This Row],[Task Name]]="",Tasks[[#This Row],[Baseline Duration]]=""),"",Tasks[[#This Row],[_SpanDays]]-N(Tasks[[#This Row],[Baseline Duration]]))</f>
        <v/>
      </c>
      <c r="BL185" s="86" t="str">
        <f aca="false">IF(OR(Tasks[[#This Row],[Task Name]]="",Tasks[[#This Row],[Baseline Work]]=""),"",Tasks[[#This Row],[Work]]-N(Tasks[[#This Row],[Baseline Work]]))</f>
        <v/>
      </c>
      <c r="BM185" s="63" t="str">
        <f aca="false">IF(Tasks[[#This Row],[Task Name]]="","",IF(OR(TakeBaseline="Yes",N(Tasks[[#This Row],[Baseline Start]])=0),Tasks[[#This Row],[Start]],Tasks[[#This Row],[Baseline Start]]))</f>
        <v/>
      </c>
      <c r="BN185" s="63" t="str">
        <f aca="false">IF(Tasks[[#This Row],[Task Name]]="","",IF(OR(TakeBaseline="Yes",N(Tasks[[#This Row],[Baseline Finish]])=0),Tasks[[#This Row],[Finish]],Tasks[[#This Row],[Baseline Finish]]))</f>
        <v/>
      </c>
      <c r="BO185" s="21" t="str">
        <f aca="false">IF(Tasks[[#This Row],[Task Name]]="","",IF(OR(TakeBaseline="Yes",N(Tasks[[#This Row],[Baseline Duration]])=0),Tasks[[#This Row],[_SpanDays]],Tasks[[#This Row],[Baseline Duration]]))</f>
        <v/>
      </c>
      <c r="BP185" s="86" t="str">
        <f aca="false">IF(Tasks[[#This Row],[Task Name]]="","",IF(OR(TakeBaseline="Yes",N(Tasks[[#This Row],[Baseline Work]])=0),Tasks[[#This Row],[Work]],Tasks[[#This Row],[Baseline Work]]))</f>
        <v/>
      </c>
      <c r="BQ185" s="7"/>
      <c r="BR185" s="7"/>
      <c r="BS185" s="22"/>
      <c r="BT185" s="88"/>
      <c r="BU185" s="23"/>
      <c r="BV185" s="23"/>
      <c r="BW185" s="23"/>
      <c r="BX185" s="89" t="str">
        <f aca="false">IF(AND(Tasks[[#This Row],[_IsLeaf]]=1,ISNUMBER(Tasks[[#This Row],[Optimistic]]),ISNUMBER(Tasks[[#This Row],[Pessimistic]])),ROUND((Tasks[[#This Row],[Optimistic]]+4*N(Tasks[[#This Row],[_Days]])+Tasks[[#This Row],[Pessimistic]])/6,1),"")</f>
        <v/>
      </c>
      <c r="BY185" s="87"/>
      <c r="BZ185" s="87"/>
      <c r="CA185" s="22"/>
      <c r="CB185" s="43" t="str">
        <f aca="false">IF(Tasks[[#This Row],[Task Name]]="","",MAX(1,N(Tasks[[#This Row],[Level]])))</f>
        <v/>
      </c>
      <c r="CC185" s="43" t="n">
        <f aca="false">ROW()-ROW(Tasks[[#Headers],[ID]])</f>
        <v>180</v>
      </c>
      <c r="CD185" s="43" t="n">
        <f aca="false">IF(OR(Tasks[[#This Row],[Task Name]]="",Tasks[[#This Row],[_Level]]&lt;=1),0,IFERROR(LOOKUP(2,1/(Tasks[[#Headers],[_Level]]:Tasks[[#This Row],[_Level]]=Tasks[[#This Row],[_Level]]-1),ROW(Tasks[[#Headers],[_Level]]:Tasks[[#This Row],[_Level]])),0))</f>
        <v>0</v>
      </c>
      <c r="CE185" s="43" t="n">
        <f aca="false">IFERROR(N(INDEX(Tasks[_Level],Tasks[[#This Row],[_Row]]+1)),0)</f>
        <v>0</v>
      </c>
      <c r="CF185" s="90" t="b">
        <f aca="false">AND(Tasks[[#This Row],[Task Name]]&lt;&gt;"",Tasks[[#This Row],[_NextLevel]]&gt;Tasks[[#This Row],[_Level]])</f>
        <v>0</v>
      </c>
      <c r="CG185" s="43" t="n">
        <f aca="false">IF(Tasks[[#This Row],[_IsSummary]],COUNTIF(Tasks[WBS],Tasks[[#This Row],[WBS]]&amp;".*"),0)</f>
        <v>0</v>
      </c>
      <c r="CH185" s="43" t="n">
        <f aca="false">IF(AND(Tasks[[#This Row],[Task Name]]&lt;&gt;"",NOT(Tasks[[#This Row],[_IsSummary]])),1,0)</f>
        <v>0</v>
      </c>
      <c r="CI185" s="43" t="n">
        <f aca="false">IF(N(Tasks[[#This Row],[_Pred1UID]])=0,0,IFERROR(MATCH(Tasks[[#This Row],[_Pred1UID]],Tasks[UID],0),-1))</f>
        <v>0</v>
      </c>
      <c r="CJ185" s="43" t="n">
        <f aca="false">IF(N(Tasks[[#This Row],[_Pred2UID]])=0,0,IFERROR(MATCH(Tasks[[#This Row],[_Pred2UID]],Tasks[UID],0),-1))</f>
        <v>0</v>
      </c>
      <c r="CK185" s="43" t="n">
        <f aca="false">IF(N(Tasks[[#This Row],[_Pred3UID]])=0,0,IFERROR(MATCH(Tasks[[#This Row],[_Pred3UID]],Tasks[UID],0),-1))</f>
        <v>0</v>
      </c>
      <c r="CL185" s="43" t="n">
        <f aca="false">IF(N(Tasks[[#This Row],[_Pred4UID]])=0,0,IFERROR(MATCH(Tasks[[#This Row],[_Pred4UID]],Tasks[UID],0),-1))</f>
        <v>0</v>
      </c>
      <c r="CM18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5" s="91" t="n">
        <f aca="false">IF(OR(Tasks[[#This Row],[_ConstraintCode]]=2,Tasks[[#This Row],[_ConstraintCode]]=3,Tasks[[#This Row],[_ConstraintCode]]=4,Tasks[[#This Row],[_ConstraintCode]]=6),Tasks[[#This Row],[_ConstraintStart]],0)</f>
        <v>0</v>
      </c>
      <c r="CP185" s="91" t="n">
        <f aca="false">IF(OR(Tasks[[#This Row],[_ConstraintCode]]=2,Tasks[[#This Row],[_ConstraintCode]]=3,Tasks[[#This Row],[_ConstraintCode]]=5,Tasks[[#This Row],[_ConstraintCode]]=7),Tasks[[#This Row],[_ConstraintStart]],2958465)</f>
        <v>2958465</v>
      </c>
      <c r="CQ18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5" s="91" t="str">
        <f aca="false">IF(NOT(Tasks[[#This Row],[_IsLeaf]]=1),"",IF(N(Tasks[[#This Row],[_Days]])&lt;=0,Tasks[[#This Row],[_LeafCalcStart]],WORKDAY.INTL(Tasks[[#This Row],[_LeafCalcStart]],Tasks[[#This Row],[_Days]]-1,WorkWeek,Holidays)))</f>
        <v/>
      </c>
      <c r="CS18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5" s="43" t="str">
        <f aca="false">IF(Tasks[[#This Row],[_Predecessors]]="","",TRIM(MID(SUBSTITUTE(SUBSTITUTE(SUBSTITUTE(UPPER(Tasks[[#This Row],[_Predecessors]]),";",",")," ",""),",",REPT(" ",99)),1,99)))</f>
        <v/>
      </c>
      <c r="CV185" s="43" t="str">
        <f aca="false">IF(Tasks[[#This Row],[_Pred1Text]]="","",IFERROR(VALUE(LEFT(Tasks[[#This Row],[_Pred1Text]],MIN(FIND("F",Tasks[[#This Row],[_Pred1Text]]&amp;"F"),FIND("S",Tasks[[#This Row],[_Pred1Text]]&amp;"S"),FIND("+",Tasks[[#This Row],[_Pred1Text]]&amp;"+"),FIND("-",Tasks[[#This Row],[_Pred1Text]]&amp;"-"))-1)),""))</f>
        <v/>
      </c>
      <c r="CW18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5" s="43" t="str">
        <f aca="false">IF(Tasks[[#This Row],[_Pred1Text]]="","",TRIM(MID(SUBSTITUTE(SUBSTITUTE(SUBSTITUTE(UPPER(Tasks[[#This Row],[_Predecessors]]),";",",")," ",""),",",REPT(" ",99)),100,99)))</f>
        <v/>
      </c>
      <c r="CZ185" s="43" t="str">
        <f aca="false">IF(Tasks[[#This Row],[_Pred2Text]]="","",IFERROR(VALUE(LEFT(Tasks[[#This Row],[_Pred2Text]],MIN(FIND("F",Tasks[[#This Row],[_Pred2Text]]&amp;"F"),FIND("S",Tasks[[#This Row],[_Pred2Text]]&amp;"S"),FIND("+",Tasks[[#This Row],[_Pred2Text]]&amp;"+"),FIND("-",Tasks[[#This Row],[_Pred2Text]]&amp;"-"))-1)),""))</f>
        <v/>
      </c>
      <c r="DA18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5" s="43" t="str">
        <f aca="false">IF(Tasks[[#This Row],[_Pred2Text]]="","",TRIM(MID(SUBSTITUTE(SUBSTITUTE(SUBSTITUTE(UPPER(Tasks[[#This Row],[_Predecessors]]),";",",")," ",""),",",REPT(" ",99)),199,99)))</f>
        <v/>
      </c>
      <c r="DD185" s="43" t="str">
        <f aca="false">IF(Tasks[[#This Row],[_Pred3Text]]="","",IFERROR(VALUE(LEFT(Tasks[[#This Row],[_Pred3Text]],MIN(FIND("F",Tasks[[#This Row],[_Pred3Text]]&amp;"F"),FIND("S",Tasks[[#This Row],[_Pred3Text]]&amp;"S"),FIND("+",Tasks[[#This Row],[_Pred3Text]]&amp;"+"),FIND("-",Tasks[[#This Row],[_Pred3Text]]&amp;"-"))-1)),""))</f>
        <v/>
      </c>
      <c r="DE18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5" s="43" t="str">
        <f aca="false">IF(Tasks[[#This Row],[_Pred3Text]]="","",TRIM(MID(SUBSTITUTE(SUBSTITUTE(SUBSTITUTE(UPPER(Tasks[[#This Row],[_Predecessors]]),";",",")," ",""),",",REPT(" ",99)),298,99)))</f>
        <v/>
      </c>
      <c r="DH185" s="43" t="str">
        <f aca="false">IF(Tasks[[#This Row],[_Pred4Text]]="","",IFERROR(VALUE(LEFT(Tasks[[#This Row],[_Pred4Text]],MIN(FIND("F",Tasks[[#This Row],[_Pred4Text]]&amp;"F"),FIND("S",Tasks[[#This Row],[_Pred4Text]]&amp;"S"),FIND("+",Tasks[[#This Row],[_Pred4Text]]&amp;"+"),FIND("-",Tasks[[#This Row],[_Pred4Text]]&amp;"-"))-1)),""))</f>
        <v/>
      </c>
      <c r="DI18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5" s="43" t="str">
        <f aca="false">IF(OR(Tasks[[#This Row],[Task Name]]="",Tasks[[#This Row],[_Resources]]=""),"",TRIM(MID(SUBSTITUTE(Tasks[[#This Row],[_Resources]],",",REPT(" ",99)),1,99)))</f>
        <v/>
      </c>
      <c r="DL185" s="43" t="str">
        <f aca="false">IF(Tasks[[#This Row],[_Res1Text]]="","",TRIM(MID(SUBSTITUTE(Tasks[[#This Row],[_Resources]],",",REPT(" ",99)),100,99)))</f>
        <v/>
      </c>
      <c r="DM185" s="43" t="str">
        <f aca="false">IF(Tasks[[#This Row],[_Res2Text]]="","",TRIM(MID(SUBSTITUTE(Tasks[[#This Row],[_Resources]],",",REPT(" ",99)),199,99)))</f>
        <v/>
      </c>
      <c r="DN185" s="43" t="str">
        <f aca="false">IF(Tasks[[#This Row],[_Res3Text]]="","",TRIM(MID(SUBSTITUTE(Tasks[[#This Row],[_Resources]],",",REPT(" ",99)),298,99)))</f>
        <v/>
      </c>
      <c r="DO185" s="43" t="n">
        <f aca="false">IF(Tasks[[#This Row],[_Res1Text]]="",0,IFERROR(MATCH(TRIM(LEFT(Tasks[[#This Row],[_Res1Text]],FIND("[",Tasks[[#This Row],[_Res1Text]]&amp;"[")-1)),res_Name,0),IFERROR(MATCH(TRIM(LEFT(Tasks[[#This Row],[_Res1Text]],FIND("[",Tasks[[#This Row],[_Res1Text]]&amp;"[")-1)),res_Initials,0),0)))</f>
        <v>0</v>
      </c>
      <c r="DP185" s="43" t="n">
        <f aca="false">IF(Tasks[[#This Row],[_Res2Text]]="",0,IFERROR(MATCH(TRIM(LEFT(Tasks[[#This Row],[_Res2Text]],FIND("[",Tasks[[#This Row],[_Res2Text]]&amp;"[")-1)),res_Name,0),IFERROR(MATCH(TRIM(LEFT(Tasks[[#This Row],[_Res2Text]],FIND("[",Tasks[[#This Row],[_Res2Text]]&amp;"[")-1)),res_Initials,0),0)))</f>
        <v>0</v>
      </c>
      <c r="DQ185" s="43" t="n">
        <f aca="false">IF(Tasks[[#This Row],[_Res3Text]]="",0,IFERROR(MATCH(TRIM(LEFT(Tasks[[#This Row],[_Res3Text]],FIND("[",Tasks[[#This Row],[_Res3Text]]&amp;"[")-1)),res_Name,0),IFERROR(MATCH(TRIM(LEFT(Tasks[[#This Row],[_Res3Text]],FIND("[",Tasks[[#This Row],[_Res3Text]]&amp;"[")-1)),res_Initials,0),0)))</f>
        <v>0</v>
      </c>
      <c r="DR185" s="43" t="n">
        <f aca="false">IF(Tasks[[#This Row],[_Res4Text]]="",0,IFERROR(MATCH(TRIM(LEFT(Tasks[[#This Row],[_Res4Text]],FIND("[",Tasks[[#This Row],[_Res4Text]]&amp;"[")-1)),res_Name,0),IFERROR(MATCH(TRIM(LEFT(Tasks[[#This Row],[_Res4Text]],FIND("[",Tasks[[#This Row],[_Res4Text]]&amp;"[")-1)),res_Initials,0),0)))</f>
        <v>0</v>
      </c>
      <c r="DS185" s="43" t="str">
        <f aca="false">IF(Tasks[[#This Row],[_Res1Text]]="","",IF(Tasks[[#This Row],[_Res1Row]]&gt;0,INDEX(res_Name,Tasks[[#This Row],[_Res1Row]]),TRIM(LEFT(Tasks[[#This Row],[_Res1Text]],FIND("[",Tasks[[#This Row],[_Res1Text]]&amp;"[")-1))))</f>
        <v/>
      </c>
      <c r="DT18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5" s="43" t="n">
        <f aca="false">IF(NOT(Tasks[[#This Row],[_IsLeaf]]=1),0,(Tasks[[#This Row],[_Resource1]]&lt;&gt;"")+(Tasks[[#This Row],[_Res2]]&lt;&gt;"")+(Tasks[[#This Row],[_Res3]]&lt;&gt;"")+(Tasks[[#This Row],[_Res4]]&lt;&gt;""))</f>
        <v>0</v>
      </c>
      <c r="DV185" s="43" t="str">
        <f aca="false">IF(Tasks[[#This Row],[_Res2Text]]="","",IF(Tasks[[#This Row],[_Res2Row]]&gt;0,INDEX(res_Name,Tasks[[#This Row],[_Res2Row]]),TRIM(LEFT(Tasks[[#This Row],[_Res2Text]],FIND("[",Tasks[[#This Row],[_Res2Text]]&amp;"[")-1))))</f>
        <v/>
      </c>
      <c r="DW18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5" s="43" t="n">
        <f aca="false">IF(OR(NOT(Tasks[[#This Row],[_IsLeaf]]=1),Tasks[[#This Row],[_Res2Row]]=0),0,N(Tasks[[#This Row],[_Days]])*HoursPerDay*IF(Tasks[[#This Row],[_Res2Units]]="",DefaultUnits,Tasks[[#This Row],[_Res2Units]]))</f>
        <v>0</v>
      </c>
      <c r="DY185" s="43" t="n">
        <f aca="false">IF(AND(AND(Tasks[[#This Row],[_IsLeaf]]=1,Tasks[[#This Row],[_LeafTotalWork]]&gt;0),Tasks[[#This Row],[_Res2Work]]&gt;0),Tasks[[#This Row],[_Res2Work]]/(Tasks[[#This Row],[_FinishWorkday]]-Tasks[[#This Row],[_StartWorkday]]+1),0)</f>
        <v>0</v>
      </c>
      <c r="DZ185" s="43" t="n">
        <f aca="false">Tasks[[#This Row],[_Res2WorkPerWD]]*MAX(0,Tasks[[#This Row],[_StartWorkday]]-1)</f>
        <v>0</v>
      </c>
      <c r="EA185" s="43" t="n">
        <f aca="false">Tasks[[#This Row],[_Res2Work]]*Tasks[[#This Row],[_LeafProgress]]</f>
        <v>0</v>
      </c>
      <c r="EB185" s="43" t="str">
        <f aca="false">IF(Tasks[[#This Row],[_Res3Text]]="","",IF(Tasks[[#This Row],[_Res3Row]]&gt;0,INDEX(res_Name,Tasks[[#This Row],[_Res3Row]]),TRIM(LEFT(Tasks[[#This Row],[_Res3Text]],FIND("[",Tasks[[#This Row],[_Res3Text]]&amp;"[")-1))))</f>
        <v/>
      </c>
      <c r="EC18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5" s="43" t="n">
        <f aca="false">IF(OR(NOT(Tasks[[#This Row],[_IsLeaf]]=1),Tasks[[#This Row],[_Res3Row]]=0),0,N(Tasks[[#This Row],[_Days]])*HoursPerDay*IF(Tasks[[#This Row],[_Res3Units]]="",DefaultUnits,Tasks[[#This Row],[_Res3Units]]))</f>
        <v>0</v>
      </c>
      <c r="EE185" s="43" t="n">
        <f aca="false">IF(AND(AND(Tasks[[#This Row],[_IsLeaf]]=1,Tasks[[#This Row],[_LeafTotalWork]]&gt;0),Tasks[[#This Row],[_Res3Work]]&gt;0),Tasks[[#This Row],[_Res3Work]]/(Tasks[[#This Row],[_FinishWorkday]]-Tasks[[#This Row],[_StartWorkday]]+1),0)</f>
        <v>0</v>
      </c>
      <c r="EF185" s="43" t="n">
        <f aca="false">Tasks[[#This Row],[_Res3WorkPerWD]]*MAX(0,Tasks[[#This Row],[_StartWorkday]]-1)</f>
        <v>0</v>
      </c>
      <c r="EG185" s="43" t="n">
        <f aca="false">Tasks[[#This Row],[_Res3Work]]*Tasks[[#This Row],[_LeafProgress]]</f>
        <v>0</v>
      </c>
      <c r="EH185" s="43" t="str">
        <f aca="false">IF(Tasks[[#This Row],[_Res4Text]]="","",IF(Tasks[[#This Row],[_Res4Row]]&gt;0,INDEX(res_Name,Tasks[[#This Row],[_Res4Row]]),TRIM(LEFT(Tasks[[#This Row],[_Res4Text]],FIND("[",Tasks[[#This Row],[_Res4Text]]&amp;"[")-1))))</f>
        <v/>
      </c>
      <c r="EI18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5" s="43" t="n">
        <f aca="false">IF(OR(NOT(Tasks[[#This Row],[_IsLeaf]]=1),Tasks[[#This Row],[_Res4Row]]=0),0,N(Tasks[[#This Row],[_Days]])*HoursPerDay*IF(Tasks[[#This Row],[_Res4Units]]="",DefaultUnits,Tasks[[#This Row],[_Res4Units]]))</f>
        <v>0</v>
      </c>
      <c r="EK185" s="43" t="n">
        <f aca="false">IF(AND(AND(Tasks[[#This Row],[_IsLeaf]]=1,Tasks[[#This Row],[_LeafTotalWork]]&gt;0),Tasks[[#This Row],[_Res4Work]]&gt;0),Tasks[[#This Row],[_Res4Work]]/(Tasks[[#This Row],[_FinishWorkday]]-Tasks[[#This Row],[_StartWorkday]]+1),0)</f>
        <v>0</v>
      </c>
      <c r="EL185" s="43" t="n">
        <f aca="false">Tasks[[#This Row],[_Res4WorkPerWD]]*MAX(0,Tasks[[#This Row],[_StartWorkday]]-1)</f>
        <v>0</v>
      </c>
      <c r="EM185" s="43" t="n">
        <f aca="false">Tasks[[#This Row],[_Res4Work]]*Tasks[[#This Row],[_LeafProgress]]</f>
        <v>0</v>
      </c>
      <c r="EN185" s="43" t="n">
        <f aca="false">IF(ISNUMBER(Tasks[[#This Row],[% Complete]]),Tasks[[#This Row],[% Complete]],IF(Tasks[[#This Row],[Stage]]="",0,IFERROR(INDEX(stg_Pct,MATCH(Tasks[[#This Row],[Stage]],stg_Name,0)),0)))</f>
        <v>0</v>
      </c>
      <c r="EO185" s="43" t="n">
        <f aca="false">IF(NOT(Tasks[[#This Row],[_IsLeaf]]=1),0,IF(N(Tasks[[#This Row],[Actual Finish]])&gt;0,1,MIN(1,Tasks[[#This Row],[_Pct]])))</f>
        <v>0</v>
      </c>
      <c r="EP185" s="43" t="n">
        <f aca="false">IF(OR(NOT(Tasks[[#This Row],[_IsLeaf]]=1),Tasks[[#This Row],[_Res1Row]]=0),0,N(Tasks[[#This Row],[_Days]])*HoursPerDay*IF(Tasks[[#This Row],[_Units1]]="",DefaultUnits,Tasks[[#This Row],[_Units1]]))</f>
        <v>0</v>
      </c>
      <c r="EQ185" s="43" t="n">
        <f aca="false">Tasks[[#This Row],[_LeafWork]]+Tasks[[#This Row],[_Res2Work]]+Tasks[[#This Row],[_Res3Work]]+Tasks[[#This Row],[_Res4Work]]</f>
        <v>0</v>
      </c>
      <c r="ER18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5" s="43" t="n">
        <f aca="false">IF(NOT(Tasks[[#This Row],[_IsLeaf]]=1),0,MAX(_xlfn.MAXIFS(Tasks[_Row],Tasks[_Pred1UID],Tasks[[#This Row],[UID]]),_xlfn.MAXIFS(Tasks[_Row],Tasks[_Pred2UID],Tasks[[#This Row],[UID]]),_xlfn.MAXIFS(Tasks[_Row],Tasks[_Pred3UID],Tasks[[#This Row],[UID]]),_xlfn.MAXIFS(Tasks[_Row],Tasks[_Pred4UID],Tasks[[#This Row],[UID]])))</f>
        <v>0</v>
      </c>
      <c r="FA18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5" s="91" t="str">
        <f aca="false">IF(NOT(Tasks[[#This Row],[_IsLeaf]]=1),"",IF(N(Tasks[[#This Row],[_Days]])&lt;=0,Tasks[[#This Row],[_LeafLateFinish]],WORKDAY.INTL(Tasks[[#This Row],[_LeafLateFinish]],-(Tasks[[#This Row],[_Days]]-1),WorkWeek,Holidays)))</f>
        <v/>
      </c>
      <c r="FD18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5" s="90" t="b">
        <f aca="false">AND(Tasks[[#This Row],[_IsLeaf]]=1,Tasks[[#This Row],[_LeafProgress]]&lt;1,N(Tasks[[#This Row],[_LeafTotalSlack]])&lt;=CriticalSlackDays)</f>
        <v>0</v>
      </c>
      <c r="FF185" s="43" t="n">
        <f aca="false">IF(AND(Tasks[[#This Row],[_IsLeaf]]=1,Tasks[[#This Row],[_ConstraintCode]]=1,Tasks[[#This Row],[Mode]]&lt;&gt;"Manual",N(Tasks[[#This Row],[Actual Start]])=0),MAX(0,N(Tasks[[#This Row],[Free Slack]])),0)</f>
        <v>0</v>
      </c>
      <c r="FG185" s="91" t="str">
        <f aca="false">IF(NOT(Tasks[[#This Row],[_IsLeaf]]=1),"",IF(Tasks[[#This Row],[_AlapShift]]=0,Tasks[[#This Row],[_LeafCalcStart]],WORKDAY.INTL(Tasks[[#This Row],[_LeafCalcStart]],Tasks[[#This Row],[_AlapShift]],WorkWeek,Holidays)))</f>
        <v/>
      </c>
      <c r="FH185" s="91" t="str">
        <f aca="false">IF(NOT(Tasks[[#This Row],[_IsLeaf]]=1),"",IF(Tasks[[#This Row],[_AlapShift]]=0,Tasks[[#This Row],[_LeafCalcFinish]],WORKDAY.INTL(Tasks[[#This Row],[_LeafCalcFinish]],Tasks[[#This Row],[_AlapShift]],WorkWeek,Holidays)))</f>
        <v/>
      </c>
      <c r="FI185" s="91" t="str">
        <f aca="false">IF(NOT(Tasks[[#This Row],[_IsLeaf]]=1),"",IF(Tasks[[#This Row],[_AlapShift]]=0,Tasks[[#This Row],[_LeafFcstStart]],WORKDAY.INTL(Tasks[[#This Row],[_LeafFcstStart]],Tasks[[#This Row],[_AlapShift]],WorkWeek,Holidays)))</f>
        <v/>
      </c>
      <c r="FJ185" s="91" t="str">
        <f aca="false">IF(NOT(Tasks[[#This Row],[_IsLeaf]]=1),"",IF(Tasks[[#This Row],[_AlapShift]]=0,Tasks[[#This Row],[_LeafFcstFinish]],WORKDAY.INTL(Tasks[[#This Row],[_LeafFcstFinish]],Tasks[[#This Row],[_AlapShift]],WorkWeek,Holidays)))</f>
        <v/>
      </c>
      <c r="FK185" s="91" t="str">
        <f aca="false">IF(Tasks[[#This Row],[Task Name]]="","",IF(Tasks[[#This Row],[_IsSummary]],MIN(INDEX(Tasks[_ShownCalcStart],Tasks[[#This Row],[_Row]]+1):INDEX(Tasks[_ShownCalcStart],Tasks[[#This Row],[_Row]]+Tasks[[#This Row],[_Descendants]])),Tasks[[#This Row],[_ShownCalcStart]]))</f>
        <v/>
      </c>
      <c r="FL185" s="91" t="str">
        <f aca="false">IF(Tasks[[#This Row],[Task Name]]="","",IF(Tasks[[#This Row],[_IsSummary]],MAX(INDEX(Tasks[_ShownCalcFinish],Tasks[[#This Row],[_Row]]+1):INDEX(Tasks[_ShownCalcFinish],Tasks[[#This Row],[_Row]]+Tasks[[#This Row],[_Descendants]])),Tasks[[#This Row],[_ShownCalcFinish]]))</f>
        <v/>
      </c>
      <c r="FM18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5" s="43" t="n">
        <f aca="false">IF(AND(Tasks[[#This Row],[_IsLeaf]]=1,Tasks[[#This Row],[_LeafTotalWork]]&gt;0),NETWORKDAYS.INTL(ProjectStart,Tasks[[#This Row],[_ShownFcstStart]],WorkWeek,Holidays),0)</f>
        <v>0</v>
      </c>
      <c r="FZ185" s="43" t="n">
        <f aca="false">IF(AND(Tasks[[#This Row],[_IsLeaf]]=1,Tasks[[#This Row],[_LeafTotalWork]]&gt;0),MAX(Tasks[[#This Row],[_StartWorkday]],NETWORKDAYS.INTL(ProjectStart,Tasks[[#This Row],[_ShownFcstFinish]],WorkWeek,Holidays)),0)</f>
        <v>0</v>
      </c>
      <c r="GA185" s="43" t="n">
        <f aca="false">IF(AND(Tasks[[#This Row],[_IsLeaf]]=1,Tasks[[#This Row],[_LeafTotalWork]]&gt;0),Tasks[[#This Row],[_LeafWork]]/(Tasks[[#This Row],[_FinishWorkday]]-Tasks[[#This Row],[_StartWorkday]]+1),0)</f>
        <v>0</v>
      </c>
      <c r="GB185" s="43" t="n">
        <f aca="false">Tasks[[#This Row],[_WorkPerWorkday]]*(Tasks[[#This Row],[_StartWorkday]]-1)</f>
        <v>-0</v>
      </c>
      <c r="GC185" s="43" t="n">
        <f aca="false">IF(Tasks[[#This Row],[_IsLeaf]]=1,MAX(N(Tasks[[#This Row],[_Days]]),0.1),0)</f>
        <v>0</v>
      </c>
      <c r="GD185" s="43" t="n">
        <f aca="false">Tasks[[#This Row],[_WeightDur]]*Tasks[[#This Row],[_LeafProgress]]</f>
        <v>0</v>
      </c>
      <c r="GE185" s="43" t="n">
        <f aca="false">Tasks[[#This Row],[_WeightDur]]*Tasks[[#This Row],[_PlannedPct]]</f>
        <v>0</v>
      </c>
      <c r="GF18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5" s="43" t="str">
        <f aca="false">IF(AND(Tasks[[#This Row],[_IsLeaf]]=1,N(Tasks[[#This Row],[_Days]])=0,Tasks[[#This Row],[_LeafProgress]]&lt;1),Tasks[[#This Row],[_ShownFcstFinish]]+Tasks[[#This Row],[_Row]]/100000,"")</f>
        <v/>
      </c>
      <c r="GH18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5" s="43" t="str">
        <f aca="false">IF(Tasks[[#This Row],[Task Name]]="","",LEFT(Tasks[[#This Row],[WBS]],FIND(".",Tasks[[#This Row],[WBS]]&amp;".")-1))</f>
        <v/>
      </c>
      <c r="GJ185" s="43" t="str">
        <f aca="false">IF(AND(Tasks[[#This Row],[Task Name]]&lt;&gt;"",Tasks[[#This Row],[_Level]]=1),Tasks[[#This Row],[_Row]],"")</f>
        <v/>
      </c>
      <c r="GK185" s="43" t="str">
        <f aca="false">IF(AND(Tasks[[#This Row],[_IsLeaf]]=1,N(Tasks[[#This Row],[_Days]])=0),Tasks[[#This Row],[Planned Finish]]+Tasks[[#This Row],[_Row]]/100000,"")</f>
        <v/>
      </c>
      <c r="GL185" s="43" t="str">
        <f aca="false">IF(AND(Tasks[[#This Row],[_IsLeaf]]=1,Tasks[[#This Row],[_LeafProgress]]&lt;1,OR(N(Tasks[[#This Row],[Finish Var]])&gt;0,Tasks[[#This Row],[Status]]="Late Start")),MAX(0,Tasks[[#This Row],[Finish Var]])+1-Tasks[[#This Row],[_Row]]/1000000,"")</f>
        <v/>
      </c>
      <c r="GM185" s="43" t="str">
        <f aca="false">IF(AND(Tasks[[#This Row],[_IsLeaf]]=1,N(Tasks[[#This Row],[Actual Start]])=0,Tasks[[#This Row],[_ShownFcstStart]]&gt;=StatusDate,Tasks[[#This Row],[_ShownFcstStart]]&lt;=LookaheadEnd),Tasks[[#This Row],[_ShownFcstStart]]+Tasks[[#This Row],[_Row]]/100000,"")</f>
        <v/>
      </c>
      <c r="GN185" s="43" t="str">
        <f aca="false">IF(AND(Tasks[[#This Row],[_IsLeaf]]=1,Tasks[[#This Row],[_LeafProgress]]&lt;1,Tasks[[#This Row],[_ShownFcstFinish]]&gt;=StatusDate,Tasks[[#This Row],[_ShownFcstFinish]]&lt;=LookaheadEnd),Tasks[[#This Row],[_ShownFcstFinish]]+Tasks[[#This Row],[_Row]]/100000,"")</f>
        <v/>
      </c>
      <c r="GO185" s="43" t="str">
        <f aca="false">IF(Tasks[[#This Row],[_LeafCritical]],Tasks[[#This Row],[_ShownFcstStart]]+Tasks[[#This Row],[_Row]]/100000,"")</f>
        <v/>
      </c>
      <c r="GP185" s="43" t="n">
        <f aca="false">Tasks[[#This Row],[_LeafWork]]*Tasks[[#This Row],[_LeafProgress]]</f>
        <v>0</v>
      </c>
      <c r="GQ185" s="91" t="str">
        <f aca="false">IF(AND(Tasks[[#This Row],[_IsLeaf]]=1,Tasks[[#This Row],[_LeafProgress]]&gt;=1),IF(N(Tasks[[#This Row],[Actual Finish]])&gt;0,Tasks[[#This Row],[Actual Finish]],Tasks[[#This Row],[_ShownFcstFinish]]),"")</f>
        <v/>
      </c>
      <c r="GR185" s="43" t="n">
        <f aca="false">IF(Tasks[[#This Row],[_IsLeaf]]=1,N(Tasks[[#This Row],[Story Points]]),0)</f>
        <v>0</v>
      </c>
      <c r="GS185" s="43" t="str">
        <f aca="false">""</f>
        <v/>
      </c>
      <c r="GT185" s="90" t="b">
        <f aca="false">IF(Tasks[[#This Row],[Task Name]]="",FALSE(),AND(Tasks[[#This Row],[_IsLeaf]]=1,N(Tasks[[#This Row],[_Days]])=0))</f>
        <v>0</v>
      </c>
      <c r="GU185" s="91" t="n">
        <f aca="false">IF(Tasks[[#This Row],[Task Name]]="",0,IF(AND(Tasks[[#This Row],[_IsLeaf]]=1,NOT(Tasks[[#This Row],[_IsMilestone]]),N(Tasks[[#This Row],[Progress]])&gt;0),Tasks[[#This Row],[Start]],0))</f>
        <v>0</v>
      </c>
      <c r="GV185" s="91" t="n">
        <f aca="false">IF(Tasks[[#This Row],[_DoneFrom]]=0,0,IF(Tasks[[#This Row],[Progress]]&gt;=1,Tasks[[#This Row],[Finish]],MAX(Tasks[[#This Row],[_DoneFrom]],Tasks[[#This Row],[Start]]+ROUND((Tasks[[#This Row],[Finish]]-Tasks[[#This Row],[Start]]+1)*Tasks[[#This Row],[Progress]],0)-1)))</f>
        <v>0</v>
      </c>
      <c r="GW185" s="91" t="n">
        <f aca="false">IF(Tasks[[#This Row],[Task Name]]="",0,IF(OR(NOT(Tasks[[#This Row],[_IsLeaf]]=1),Tasks[[#This Row],[_IsMilestone]],N(Tasks[[#This Row],[Progress]])&gt;=1),0,IF(Tasks[[#This Row],[_DoneTo]]&gt;0,Tasks[[#This Row],[_DoneTo]]+1,Tasks[[#This Row],[Start]])))</f>
        <v>0</v>
      </c>
      <c r="GX185" s="91" t="n">
        <f aca="false">IF(Tasks[[#This Row],[_RemFrom]]=0,0,Tasks[[#This Row],[Finish]])</f>
        <v>0</v>
      </c>
      <c r="GY185" s="90" t="b">
        <f aca="false">IF(Tasks[[#This Row],[Task Name]]="",FALSE(),OR(NOT(BaselineSet),N(Tasks[[#This Row],[Baseline Start]])&gt;0))</f>
        <v>0</v>
      </c>
      <c r="GZ18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5" s="92" t="str">
        <f aca="false">IF(Tasks[[#This Row],[_IsLeaf]]=1,Tasks[[#This Row],[_Row]],"")</f>
        <v/>
      </c>
      <c r="HD185" s="92" t="str">
        <f aca="false">IFERROR(INDEX(Tasks[UID],SMALL(Tasks[_PickKey],Tasks[[#This Row],[_Row]]))&amp;" "&amp;INDEX(Tasks[Task Name],SMALL(Tasks[_PickKey],Tasks[[#This Row],[_Row]])),"")</f>
        <v/>
      </c>
      <c r="HE185" s="43" t="str">
        <f aca="false">IF(Tasks[[#This Row],[Task Name]]="","",IF(Tasks[[#This Row],[_IsSummary]],NETWORKDAYS.INTL(Tasks[[#This Row],[Start]],Tasks[[#This Row],[Finish]],WorkWeek,Holidays),N(Tasks[[#This Row],[_Days]])))</f>
        <v/>
      </c>
      <c r="HF185" s="43" t="n">
        <f aca="false">IF(Tasks[[#This Row],[Expected]]="",0,((Tasks[[#This Row],[Pessimistic]]-Tasks[[#This Row],[Optimistic]])/6)^2)</f>
        <v>0</v>
      </c>
      <c r="HG185" s="43" t="n">
        <f aca="false">IF(Tasks[[#This Row],[Expected]]="",0,Tasks[[#This Row],[Expected]]-N(Tasks[[#This Row],[_Days]]))</f>
        <v>0</v>
      </c>
    </row>
    <row r="186" customFormat="false" ht="15" hidden="false" customHeight="false" outlineLevel="0" collapsed="false">
      <c r="A186" s="21" t="str">
        <f aca="false">IF(Tasks[[#This Row],[Task Name]]="","",COUNTA(Tasks[[#Headers],[Task Name]]:Tasks[[#This Row],[Task Name]])-1)</f>
        <v/>
      </c>
      <c r="B186" s="22" t="n">
        <v>194</v>
      </c>
      <c r="C186" s="22"/>
      <c r="D186" s="23"/>
      <c r="E186" s="22"/>
      <c r="F186" s="23"/>
      <c r="G186" s="22"/>
      <c r="H186" s="22"/>
      <c r="I186" s="23"/>
      <c r="J186" s="22"/>
      <c r="K186" s="22"/>
      <c r="L186" s="23"/>
      <c r="M186" s="22"/>
      <c r="N186" s="22"/>
      <c r="O186" s="23"/>
      <c r="P186" s="22"/>
      <c r="Q186" s="22"/>
      <c r="R186" s="23"/>
      <c r="S186" s="23"/>
      <c r="T186" s="84"/>
      <c r="U186" s="23"/>
      <c r="V186" s="84"/>
      <c r="W186" s="23"/>
      <c r="X186" s="84"/>
      <c r="Y186" s="23"/>
      <c r="Z186" s="84"/>
      <c r="AA186" s="23"/>
      <c r="AB186" s="23"/>
      <c r="AC186" s="7"/>
      <c r="AD186" s="7"/>
      <c r="AE186" s="63" t="str">
        <f aca="false">IF(Tasks[[#This Row],[Task Name]]="","",IF(Tasks[[#This Row],[_IsSummary]],MIN(INDEX(Tasks[_ShownFcstStart],Tasks[[#This Row],[_Row]]+1):INDEX(Tasks[_ShownFcstStart],Tasks[[#This Row],[_Row]]+Tasks[[#This Row],[_Descendants]])),Tasks[[#This Row],[_ShownFcstStart]]))</f>
        <v/>
      </c>
      <c r="AF186" s="63" t="str">
        <f aca="false">IF(Tasks[[#This Row],[Task Name]]="","",IF(Tasks[[#This Row],[_IsSummary]],MAX(INDEX(Tasks[_ShownFcstFinish],Tasks[[#This Row],[_Row]]+1):INDEX(Tasks[_ShownFcstFinish],Tasks[[#This Row],[_Row]]+Tasks[[#This Row],[_Descendants]])),Tasks[[#This Row],[_ShownFcstFinish]]))</f>
        <v/>
      </c>
      <c r="AG186" s="21" t="str">
        <f aca="false">""</f>
        <v/>
      </c>
      <c r="AH186" s="23"/>
      <c r="AI1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6" s="7"/>
      <c r="AK186" s="22"/>
      <c r="AL186" s="23"/>
      <c r="AM186" s="7"/>
      <c r="AN186" s="47" t="str">
        <f aca="false">IF(Tasks[[#This Row],[Task Name]]="","",IF(Tasks[[#This Row],[Finish]]&gt;=Tasks[[#This Row],[Planned Finish]],NETWORKDAYS.INTL(Tasks[[#This Row],[Planned Finish]],Tasks[[#This Row],[Finish]],WorkWeek,Holidays)-1,1-NETWORKDAYS.INTL(Tasks[[#This Row],[Finish]],Tasks[[#This Row],[Planned Finish]],WorkWeek,Holidays)))</f>
        <v/>
      </c>
      <c r="AO186" s="21" t="str">
        <f aca="false">IF(Tasks[[#This Row],[Task Name]]="","",IF(Tasks[[#This Row],[Progress]]&gt;=1,"Complete",IF(OR(N(Tasks[[#This Row],[Actual Start]])&gt;0,Tasks[[#This Row],[Progress]]&gt;0),IF(Tasks[[#This Row],[Finish Var]]&gt;0,"Behind","In Progress"),IF(Tasks[[#This Row],[Planned Start]]&lt;StatusDate,"Late Start","Not Started"))))</f>
        <v/>
      </c>
      <c r="AP186" s="21" t="str">
        <f aca="false">IF(Tasks[[#This Row],[Task Name]]="","",IF(IF(Tasks[[#This Row],[_IsSummary]],COUNTIF(INDEX(Tasks[_LeafCritical],Tasks[[#This Row],[_Row]]+1):INDEX(Tasks[_LeafCritical],Tasks[[#This Row],[_Row]]+Tasks[[#This Row],[_Descendants]]),TRUE())&gt;0,Tasks[[#This Row],[_LeafCritical]]),"Yes",""))</f>
        <v/>
      </c>
      <c r="AQ186" s="63" t="str">
        <f aca="false">IF(Tasks[[#This Row],[Task Name]]="","",IF(N(Tasks[[#This Row],[Baseline Start]])&gt;0,Tasks[[#This Row],[Baseline Start]],Tasks[[#This Row],[_CalcStart]]))</f>
        <v/>
      </c>
      <c r="AR186" s="63" t="str">
        <f aca="false">IF(Tasks[[#This Row],[Task Name]]="","",IF(N(Tasks[[#This Row],[Baseline Finish]])&gt;0,Tasks[[#This Row],[Baseline Finish]],Tasks[[#This Row],[_CalcFinish]]))</f>
        <v/>
      </c>
      <c r="AS186" s="47" t="str">
        <f aca="false">IF(Tasks[[#This Row],[Task Name]]="","",IF(Tasks[[#This Row],[Start]]&gt;=Tasks[[#This Row],[Planned Start]],NETWORKDAYS.INTL(Tasks[[#This Row],[Planned Start]],Tasks[[#This Row],[Start]],WorkWeek,Holidays)-1,1-NETWORKDAYS.INTL(Tasks[[#This Row],[Start]],Tasks[[#This Row],[Planned Start]],WorkWeek,Holidays)))</f>
        <v/>
      </c>
      <c r="AT186" s="63" t="str">
        <f aca="false">IF(Tasks[[#This Row],[Task Name]]="","",IF(Tasks[[#This Row],[_IsSummary]],MIN(INDEX(Tasks[_LeafLateStart],Tasks[[#This Row],[_Row]]+1):INDEX(Tasks[_LeafLateStart],Tasks[[#This Row],[_Row]]+Tasks[[#This Row],[_Descendants]])),Tasks[[#This Row],[_LeafLateStart]]))</f>
        <v/>
      </c>
      <c r="AU186" s="63" t="str">
        <f aca="false">IF(Tasks[[#This Row],[Task Name]]="","",IF(Tasks[[#This Row],[_IsSummary]],MAX(INDEX(Tasks[_LeafLateFinish],Tasks[[#This Row],[_Row]]+1):INDEX(Tasks[_LeafLateFinish],Tasks[[#This Row],[_Row]]+Tasks[[#This Row],[_Descendants]])),Tasks[[#This Row],[_LeafLateFinish]]))</f>
        <v/>
      </c>
      <c r="AV186" s="47" t="str">
        <f aca="false">IF(Tasks[[#This Row],[Task Name]]="","",IF(Tasks[[#This Row],[_IsSummary]],MIN(INDEX(Tasks[_LeafTotalSlack],Tasks[[#This Row],[_Row]]+1):INDEX(Tasks[_LeafTotalSlack],Tasks[[#This Row],[_Row]]+Tasks[[#This Row],[_Descendants]])),Tasks[[#This Row],[_LeafTotalSlack]]))</f>
        <v/>
      </c>
      <c r="AW1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5"/>
      <c r="BA18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1" t="str">
        <f aca="false">IF(Tasks[[#This Row],[Task Name]]="","",IF(Tasks[[#This Row],[_Level]]&lt;=OutlineShowLevel,"Yes","No"))</f>
        <v/>
      </c>
      <c r="BE186" s="86" t="str">
        <f aca="false">IF(Tasks[[#This Row],[Task Name]]="","",IF(Tasks[[#This Row],[_IsSummary]],SUM(INDEX(Tasks[_LeafTotalWork],Tasks[[#This Row],[_Row]]+1):INDEX(Tasks[_LeafTotalWork],Tasks[[#This Row],[_Row]]+Tasks[[#This Row],[_Descendants]])),Tasks[[#This Row],[_LeafTotalWork]]))</f>
        <v/>
      </c>
      <c r="BF186" s="23"/>
      <c r="BG1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6" s="21" t="str">
        <f aca="false">""</f>
        <v/>
      </c>
      <c r="BI186" s="87"/>
      <c r="BJ186" s="22"/>
      <c r="BK186" s="47" t="str">
        <f aca="false">IF(OR(Tasks[[#This Row],[Task Name]]="",Tasks[[#This Row],[Baseline Duration]]=""),"",Tasks[[#This Row],[_SpanDays]]-N(Tasks[[#This Row],[Baseline Duration]]))</f>
        <v/>
      </c>
      <c r="BL186" s="86" t="str">
        <f aca="false">IF(OR(Tasks[[#This Row],[Task Name]]="",Tasks[[#This Row],[Baseline Work]]=""),"",Tasks[[#This Row],[Work]]-N(Tasks[[#This Row],[Baseline Work]]))</f>
        <v/>
      </c>
      <c r="BM186" s="63" t="str">
        <f aca="false">IF(Tasks[[#This Row],[Task Name]]="","",IF(OR(TakeBaseline="Yes",N(Tasks[[#This Row],[Baseline Start]])=0),Tasks[[#This Row],[Start]],Tasks[[#This Row],[Baseline Start]]))</f>
        <v/>
      </c>
      <c r="BN186" s="63" t="str">
        <f aca="false">IF(Tasks[[#This Row],[Task Name]]="","",IF(OR(TakeBaseline="Yes",N(Tasks[[#This Row],[Baseline Finish]])=0),Tasks[[#This Row],[Finish]],Tasks[[#This Row],[Baseline Finish]]))</f>
        <v/>
      </c>
      <c r="BO186" s="21" t="str">
        <f aca="false">IF(Tasks[[#This Row],[Task Name]]="","",IF(OR(TakeBaseline="Yes",N(Tasks[[#This Row],[Baseline Duration]])=0),Tasks[[#This Row],[_SpanDays]],Tasks[[#This Row],[Baseline Duration]]))</f>
        <v/>
      </c>
      <c r="BP186" s="86" t="str">
        <f aca="false">IF(Tasks[[#This Row],[Task Name]]="","",IF(OR(TakeBaseline="Yes",N(Tasks[[#This Row],[Baseline Work]])=0),Tasks[[#This Row],[Work]],Tasks[[#This Row],[Baseline Work]]))</f>
        <v/>
      </c>
      <c r="BQ186" s="7"/>
      <c r="BR186" s="7"/>
      <c r="BS186" s="22"/>
      <c r="BT186" s="88"/>
      <c r="BU186" s="23"/>
      <c r="BV186" s="23"/>
      <c r="BW186" s="23"/>
      <c r="BX186" s="89" t="str">
        <f aca="false">IF(AND(Tasks[[#This Row],[_IsLeaf]]=1,ISNUMBER(Tasks[[#This Row],[Optimistic]]),ISNUMBER(Tasks[[#This Row],[Pessimistic]])),ROUND((Tasks[[#This Row],[Optimistic]]+4*N(Tasks[[#This Row],[_Days]])+Tasks[[#This Row],[Pessimistic]])/6,1),"")</f>
        <v/>
      </c>
      <c r="BY186" s="87"/>
      <c r="BZ186" s="87"/>
      <c r="CA186" s="22"/>
      <c r="CB186" s="43" t="str">
        <f aca="false">IF(Tasks[[#This Row],[Task Name]]="","",MAX(1,N(Tasks[[#This Row],[Level]])))</f>
        <v/>
      </c>
      <c r="CC186" s="43" t="n">
        <f aca="false">ROW()-ROW(Tasks[[#Headers],[ID]])</f>
        <v>181</v>
      </c>
      <c r="CD186" s="43" t="n">
        <f aca="false">IF(OR(Tasks[[#This Row],[Task Name]]="",Tasks[[#This Row],[_Level]]&lt;=1),0,IFERROR(LOOKUP(2,1/(Tasks[[#Headers],[_Level]]:Tasks[[#This Row],[_Level]]=Tasks[[#This Row],[_Level]]-1),ROW(Tasks[[#Headers],[_Level]]:Tasks[[#This Row],[_Level]])),0))</f>
        <v>0</v>
      </c>
      <c r="CE186" s="43" t="n">
        <f aca="false">IFERROR(N(INDEX(Tasks[_Level],Tasks[[#This Row],[_Row]]+1)),0)</f>
        <v>0</v>
      </c>
      <c r="CF186" s="90" t="b">
        <f aca="false">AND(Tasks[[#This Row],[Task Name]]&lt;&gt;"",Tasks[[#This Row],[_NextLevel]]&gt;Tasks[[#This Row],[_Level]])</f>
        <v>0</v>
      </c>
      <c r="CG186" s="43" t="n">
        <f aca="false">IF(Tasks[[#This Row],[_IsSummary]],COUNTIF(Tasks[WBS],Tasks[[#This Row],[WBS]]&amp;".*"),0)</f>
        <v>0</v>
      </c>
      <c r="CH186" s="43" t="n">
        <f aca="false">IF(AND(Tasks[[#This Row],[Task Name]]&lt;&gt;"",NOT(Tasks[[#This Row],[_IsSummary]])),1,0)</f>
        <v>0</v>
      </c>
      <c r="CI186" s="43" t="n">
        <f aca="false">IF(N(Tasks[[#This Row],[_Pred1UID]])=0,0,IFERROR(MATCH(Tasks[[#This Row],[_Pred1UID]],Tasks[UID],0),-1))</f>
        <v>0</v>
      </c>
      <c r="CJ186" s="43" t="n">
        <f aca="false">IF(N(Tasks[[#This Row],[_Pred2UID]])=0,0,IFERROR(MATCH(Tasks[[#This Row],[_Pred2UID]],Tasks[UID],0),-1))</f>
        <v>0</v>
      </c>
      <c r="CK186" s="43" t="n">
        <f aca="false">IF(N(Tasks[[#This Row],[_Pred3UID]])=0,0,IFERROR(MATCH(Tasks[[#This Row],[_Pred3UID]],Tasks[UID],0),-1))</f>
        <v>0</v>
      </c>
      <c r="CL186" s="43" t="n">
        <f aca="false">IF(N(Tasks[[#This Row],[_Pred4UID]])=0,0,IFERROR(MATCH(Tasks[[#This Row],[_Pred4UID]],Tasks[UID],0),-1))</f>
        <v>0</v>
      </c>
      <c r="CM18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6" s="91" t="n">
        <f aca="false">IF(OR(Tasks[[#This Row],[_ConstraintCode]]=2,Tasks[[#This Row],[_ConstraintCode]]=3,Tasks[[#This Row],[_ConstraintCode]]=4,Tasks[[#This Row],[_ConstraintCode]]=6),Tasks[[#This Row],[_ConstraintStart]],0)</f>
        <v>0</v>
      </c>
      <c r="CP186" s="91" t="n">
        <f aca="false">IF(OR(Tasks[[#This Row],[_ConstraintCode]]=2,Tasks[[#This Row],[_ConstraintCode]]=3,Tasks[[#This Row],[_ConstraintCode]]=5,Tasks[[#This Row],[_ConstraintCode]]=7),Tasks[[#This Row],[_ConstraintStart]],2958465)</f>
        <v>2958465</v>
      </c>
      <c r="CQ18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6" s="91" t="str">
        <f aca="false">IF(NOT(Tasks[[#This Row],[_IsLeaf]]=1),"",IF(N(Tasks[[#This Row],[_Days]])&lt;=0,Tasks[[#This Row],[_LeafCalcStart]],WORKDAY.INTL(Tasks[[#This Row],[_LeafCalcStart]],Tasks[[#This Row],[_Days]]-1,WorkWeek,Holidays)))</f>
        <v/>
      </c>
      <c r="CS18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6" s="43" t="str">
        <f aca="false">IF(Tasks[[#This Row],[_Predecessors]]="","",TRIM(MID(SUBSTITUTE(SUBSTITUTE(SUBSTITUTE(UPPER(Tasks[[#This Row],[_Predecessors]]),";",",")," ",""),",",REPT(" ",99)),1,99)))</f>
        <v/>
      </c>
      <c r="CV186" s="43" t="str">
        <f aca="false">IF(Tasks[[#This Row],[_Pred1Text]]="","",IFERROR(VALUE(LEFT(Tasks[[#This Row],[_Pred1Text]],MIN(FIND("F",Tasks[[#This Row],[_Pred1Text]]&amp;"F"),FIND("S",Tasks[[#This Row],[_Pred1Text]]&amp;"S"),FIND("+",Tasks[[#This Row],[_Pred1Text]]&amp;"+"),FIND("-",Tasks[[#This Row],[_Pred1Text]]&amp;"-"))-1)),""))</f>
        <v/>
      </c>
      <c r="CW18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6" s="43" t="str">
        <f aca="false">IF(Tasks[[#This Row],[_Pred1Text]]="","",TRIM(MID(SUBSTITUTE(SUBSTITUTE(SUBSTITUTE(UPPER(Tasks[[#This Row],[_Predecessors]]),";",",")," ",""),",",REPT(" ",99)),100,99)))</f>
        <v/>
      </c>
      <c r="CZ186" s="43" t="str">
        <f aca="false">IF(Tasks[[#This Row],[_Pred2Text]]="","",IFERROR(VALUE(LEFT(Tasks[[#This Row],[_Pred2Text]],MIN(FIND("F",Tasks[[#This Row],[_Pred2Text]]&amp;"F"),FIND("S",Tasks[[#This Row],[_Pred2Text]]&amp;"S"),FIND("+",Tasks[[#This Row],[_Pred2Text]]&amp;"+"),FIND("-",Tasks[[#This Row],[_Pred2Text]]&amp;"-"))-1)),""))</f>
        <v/>
      </c>
      <c r="DA18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6" s="43" t="str">
        <f aca="false">IF(Tasks[[#This Row],[_Pred2Text]]="","",TRIM(MID(SUBSTITUTE(SUBSTITUTE(SUBSTITUTE(UPPER(Tasks[[#This Row],[_Predecessors]]),";",",")," ",""),",",REPT(" ",99)),199,99)))</f>
        <v/>
      </c>
      <c r="DD186" s="43" t="str">
        <f aca="false">IF(Tasks[[#This Row],[_Pred3Text]]="","",IFERROR(VALUE(LEFT(Tasks[[#This Row],[_Pred3Text]],MIN(FIND("F",Tasks[[#This Row],[_Pred3Text]]&amp;"F"),FIND("S",Tasks[[#This Row],[_Pred3Text]]&amp;"S"),FIND("+",Tasks[[#This Row],[_Pred3Text]]&amp;"+"),FIND("-",Tasks[[#This Row],[_Pred3Text]]&amp;"-"))-1)),""))</f>
        <v/>
      </c>
      <c r="DE18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6" s="43" t="str">
        <f aca="false">IF(Tasks[[#This Row],[_Pred3Text]]="","",TRIM(MID(SUBSTITUTE(SUBSTITUTE(SUBSTITUTE(UPPER(Tasks[[#This Row],[_Predecessors]]),";",",")," ",""),",",REPT(" ",99)),298,99)))</f>
        <v/>
      </c>
      <c r="DH186" s="43" t="str">
        <f aca="false">IF(Tasks[[#This Row],[_Pred4Text]]="","",IFERROR(VALUE(LEFT(Tasks[[#This Row],[_Pred4Text]],MIN(FIND("F",Tasks[[#This Row],[_Pred4Text]]&amp;"F"),FIND("S",Tasks[[#This Row],[_Pred4Text]]&amp;"S"),FIND("+",Tasks[[#This Row],[_Pred4Text]]&amp;"+"),FIND("-",Tasks[[#This Row],[_Pred4Text]]&amp;"-"))-1)),""))</f>
        <v/>
      </c>
      <c r="DI18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6" s="43" t="str">
        <f aca="false">IF(OR(Tasks[[#This Row],[Task Name]]="",Tasks[[#This Row],[_Resources]]=""),"",TRIM(MID(SUBSTITUTE(Tasks[[#This Row],[_Resources]],",",REPT(" ",99)),1,99)))</f>
        <v/>
      </c>
      <c r="DL186" s="43" t="str">
        <f aca="false">IF(Tasks[[#This Row],[_Res1Text]]="","",TRIM(MID(SUBSTITUTE(Tasks[[#This Row],[_Resources]],",",REPT(" ",99)),100,99)))</f>
        <v/>
      </c>
      <c r="DM186" s="43" t="str">
        <f aca="false">IF(Tasks[[#This Row],[_Res2Text]]="","",TRIM(MID(SUBSTITUTE(Tasks[[#This Row],[_Resources]],",",REPT(" ",99)),199,99)))</f>
        <v/>
      </c>
      <c r="DN186" s="43" t="str">
        <f aca="false">IF(Tasks[[#This Row],[_Res3Text]]="","",TRIM(MID(SUBSTITUTE(Tasks[[#This Row],[_Resources]],",",REPT(" ",99)),298,99)))</f>
        <v/>
      </c>
      <c r="DO186" s="43" t="n">
        <f aca="false">IF(Tasks[[#This Row],[_Res1Text]]="",0,IFERROR(MATCH(TRIM(LEFT(Tasks[[#This Row],[_Res1Text]],FIND("[",Tasks[[#This Row],[_Res1Text]]&amp;"[")-1)),res_Name,0),IFERROR(MATCH(TRIM(LEFT(Tasks[[#This Row],[_Res1Text]],FIND("[",Tasks[[#This Row],[_Res1Text]]&amp;"[")-1)),res_Initials,0),0)))</f>
        <v>0</v>
      </c>
      <c r="DP186" s="43" t="n">
        <f aca="false">IF(Tasks[[#This Row],[_Res2Text]]="",0,IFERROR(MATCH(TRIM(LEFT(Tasks[[#This Row],[_Res2Text]],FIND("[",Tasks[[#This Row],[_Res2Text]]&amp;"[")-1)),res_Name,0),IFERROR(MATCH(TRIM(LEFT(Tasks[[#This Row],[_Res2Text]],FIND("[",Tasks[[#This Row],[_Res2Text]]&amp;"[")-1)),res_Initials,0),0)))</f>
        <v>0</v>
      </c>
      <c r="DQ186" s="43" t="n">
        <f aca="false">IF(Tasks[[#This Row],[_Res3Text]]="",0,IFERROR(MATCH(TRIM(LEFT(Tasks[[#This Row],[_Res3Text]],FIND("[",Tasks[[#This Row],[_Res3Text]]&amp;"[")-1)),res_Name,0),IFERROR(MATCH(TRIM(LEFT(Tasks[[#This Row],[_Res3Text]],FIND("[",Tasks[[#This Row],[_Res3Text]]&amp;"[")-1)),res_Initials,0),0)))</f>
        <v>0</v>
      </c>
      <c r="DR186" s="43" t="n">
        <f aca="false">IF(Tasks[[#This Row],[_Res4Text]]="",0,IFERROR(MATCH(TRIM(LEFT(Tasks[[#This Row],[_Res4Text]],FIND("[",Tasks[[#This Row],[_Res4Text]]&amp;"[")-1)),res_Name,0),IFERROR(MATCH(TRIM(LEFT(Tasks[[#This Row],[_Res4Text]],FIND("[",Tasks[[#This Row],[_Res4Text]]&amp;"[")-1)),res_Initials,0),0)))</f>
        <v>0</v>
      </c>
      <c r="DS186" s="43" t="str">
        <f aca="false">IF(Tasks[[#This Row],[_Res1Text]]="","",IF(Tasks[[#This Row],[_Res1Row]]&gt;0,INDEX(res_Name,Tasks[[#This Row],[_Res1Row]]),TRIM(LEFT(Tasks[[#This Row],[_Res1Text]],FIND("[",Tasks[[#This Row],[_Res1Text]]&amp;"[")-1))))</f>
        <v/>
      </c>
      <c r="DT18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6" s="43" t="n">
        <f aca="false">IF(NOT(Tasks[[#This Row],[_IsLeaf]]=1),0,(Tasks[[#This Row],[_Resource1]]&lt;&gt;"")+(Tasks[[#This Row],[_Res2]]&lt;&gt;"")+(Tasks[[#This Row],[_Res3]]&lt;&gt;"")+(Tasks[[#This Row],[_Res4]]&lt;&gt;""))</f>
        <v>0</v>
      </c>
      <c r="DV186" s="43" t="str">
        <f aca="false">IF(Tasks[[#This Row],[_Res2Text]]="","",IF(Tasks[[#This Row],[_Res2Row]]&gt;0,INDEX(res_Name,Tasks[[#This Row],[_Res2Row]]),TRIM(LEFT(Tasks[[#This Row],[_Res2Text]],FIND("[",Tasks[[#This Row],[_Res2Text]]&amp;"[")-1))))</f>
        <v/>
      </c>
      <c r="DW18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6" s="43" t="n">
        <f aca="false">IF(OR(NOT(Tasks[[#This Row],[_IsLeaf]]=1),Tasks[[#This Row],[_Res2Row]]=0),0,N(Tasks[[#This Row],[_Days]])*HoursPerDay*IF(Tasks[[#This Row],[_Res2Units]]="",DefaultUnits,Tasks[[#This Row],[_Res2Units]]))</f>
        <v>0</v>
      </c>
      <c r="DY186" s="43" t="n">
        <f aca="false">IF(AND(AND(Tasks[[#This Row],[_IsLeaf]]=1,Tasks[[#This Row],[_LeafTotalWork]]&gt;0),Tasks[[#This Row],[_Res2Work]]&gt;0),Tasks[[#This Row],[_Res2Work]]/(Tasks[[#This Row],[_FinishWorkday]]-Tasks[[#This Row],[_StartWorkday]]+1),0)</f>
        <v>0</v>
      </c>
      <c r="DZ186" s="43" t="n">
        <f aca="false">Tasks[[#This Row],[_Res2WorkPerWD]]*MAX(0,Tasks[[#This Row],[_StartWorkday]]-1)</f>
        <v>0</v>
      </c>
      <c r="EA186" s="43" t="n">
        <f aca="false">Tasks[[#This Row],[_Res2Work]]*Tasks[[#This Row],[_LeafProgress]]</f>
        <v>0</v>
      </c>
      <c r="EB186" s="43" t="str">
        <f aca="false">IF(Tasks[[#This Row],[_Res3Text]]="","",IF(Tasks[[#This Row],[_Res3Row]]&gt;0,INDEX(res_Name,Tasks[[#This Row],[_Res3Row]]),TRIM(LEFT(Tasks[[#This Row],[_Res3Text]],FIND("[",Tasks[[#This Row],[_Res3Text]]&amp;"[")-1))))</f>
        <v/>
      </c>
      <c r="EC18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6" s="43" t="n">
        <f aca="false">IF(OR(NOT(Tasks[[#This Row],[_IsLeaf]]=1),Tasks[[#This Row],[_Res3Row]]=0),0,N(Tasks[[#This Row],[_Days]])*HoursPerDay*IF(Tasks[[#This Row],[_Res3Units]]="",DefaultUnits,Tasks[[#This Row],[_Res3Units]]))</f>
        <v>0</v>
      </c>
      <c r="EE186" s="43" t="n">
        <f aca="false">IF(AND(AND(Tasks[[#This Row],[_IsLeaf]]=1,Tasks[[#This Row],[_LeafTotalWork]]&gt;0),Tasks[[#This Row],[_Res3Work]]&gt;0),Tasks[[#This Row],[_Res3Work]]/(Tasks[[#This Row],[_FinishWorkday]]-Tasks[[#This Row],[_StartWorkday]]+1),0)</f>
        <v>0</v>
      </c>
      <c r="EF186" s="43" t="n">
        <f aca="false">Tasks[[#This Row],[_Res3WorkPerWD]]*MAX(0,Tasks[[#This Row],[_StartWorkday]]-1)</f>
        <v>0</v>
      </c>
      <c r="EG186" s="43" t="n">
        <f aca="false">Tasks[[#This Row],[_Res3Work]]*Tasks[[#This Row],[_LeafProgress]]</f>
        <v>0</v>
      </c>
      <c r="EH186" s="43" t="str">
        <f aca="false">IF(Tasks[[#This Row],[_Res4Text]]="","",IF(Tasks[[#This Row],[_Res4Row]]&gt;0,INDEX(res_Name,Tasks[[#This Row],[_Res4Row]]),TRIM(LEFT(Tasks[[#This Row],[_Res4Text]],FIND("[",Tasks[[#This Row],[_Res4Text]]&amp;"[")-1))))</f>
        <v/>
      </c>
      <c r="EI18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6" s="43" t="n">
        <f aca="false">IF(OR(NOT(Tasks[[#This Row],[_IsLeaf]]=1),Tasks[[#This Row],[_Res4Row]]=0),0,N(Tasks[[#This Row],[_Days]])*HoursPerDay*IF(Tasks[[#This Row],[_Res4Units]]="",DefaultUnits,Tasks[[#This Row],[_Res4Units]]))</f>
        <v>0</v>
      </c>
      <c r="EK186" s="43" t="n">
        <f aca="false">IF(AND(AND(Tasks[[#This Row],[_IsLeaf]]=1,Tasks[[#This Row],[_LeafTotalWork]]&gt;0),Tasks[[#This Row],[_Res4Work]]&gt;0),Tasks[[#This Row],[_Res4Work]]/(Tasks[[#This Row],[_FinishWorkday]]-Tasks[[#This Row],[_StartWorkday]]+1),0)</f>
        <v>0</v>
      </c>
      <c r="EL186" s="43" t="n">
        <f aca="false">Tasks[[#This Row],[_Res4WorkPerWD]]*MAX(0,Tasks[[#This Row],[_StartWorkday]]-1)</f>
        <v>0</v>
      </c>
      <c r="EM186" s="43" t="n">
        <f aca="false">Tasks[[#This Row],[_Res4Work]]*Tasks[[#This Row],[_LeafProgress]]</f>
        <v>0</v>
      </c>
      <c r="EN186" s="43" t="n">
        <f aca="false">IF(ISNUMBER(Tasks[[#This Row],[% Complete]]),Tasks[[#This Row],[% Complete]],IF(Tasks[[#This Row],[Stage]]="",0,IFERROR(INDEX(stg_Pct,MATCH(Tasks[[#This Row],[Stage]],stg_Name,0)),0)))</f>
        <v>0</v>
      </c>
      <c r="EO186" s="43" t="n">
        <f aca="false">IF(NOT(Tasks[[#This Row],[_IsLeaf]]=1),0,IF(N(Tasks[[#This Row],[Actual Finish]])&gt;0,1,MIN(1,Tasks[[#This Row],[_Pct]])))</f>
        <v>0</v>
      </c>
      <c r="EP186" s="43" t="n">
        <f aca="false">IF(OR(NOT(Tasks[[#This Row],[_IsLeaf]]=1),Tasks[[#This Row],[_Res1Row]]=0),0,N(Tasks[[#This Row],[_Days]])*HoursPerDay*IF(Tasks[[#This Row],[_Units1]]="",DefaultUnits,Tasks[[#This Row],[_Units1]]))</f>
        <v>0</v>
      </c>
      <c r="EQ186" s="43" t="n">
        <f aca="false">Tasks[[#This Row],[_LeafWork]]+Tasks[[#This Row],[_Res2Work]]+Tasks[[#This Row],[_Res3Work]]+Tasks[[#This Row],[_Res4Work]]</f>
        <v>0</v>
      </c>
      <c r="ER18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6" s="43" t="n">
        <f aca="false">IF(NOT(Tasks[[#This Row],[_IsLeaf]]=1),0,MAX(_xlfn.MAXIFS(Tasks[_Row],Tasks[_Pred1UID],Tasks[[#This Row],[UID]]),_xlfn.MAXIFS(Tasks[_Row],Tasks[_Pred2UID],Tasks[[#This Row],[UID]]),_xlfn.MAXIFS(Tasks[_Row],Tasks[_Pred3UID],Tasks[[#This Row],[UID]]),_xlfn.MAXIFS(Tasks[_Row],Tasks[_Pred4UID],Tasks[[#This Row],[UID]])))</f>
        <v>0</v>
      </c>
      <c r="FA18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6" s="91" t="str">
        <f aca="false">IF(NOT(Tasks[[#This Row],[_IsLeaf]]=1),"",IF(N(Tasks[[#This Row],[_Days]])&lt;=0,Tasks[[#This Row],[_LeafLateFinish]],WORKDAY.INTL(Tasks[[#This Row],[_LeafLateFinish]],-(Tasks[[#This Row],[_Days]]-1),WorkWeek,Holidays)))</f>
        <v/>
      </c>
      <c r="FD18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6" s="90" t="b">
        <f aca="false">AND(Tasks[[#This Row],[_IsLeaf]]=1,Tasks[[#This Row],[_LeafProgress]]&lt;1,N(Tasks[[#This Row],[_LeafTotalSlack]])&lt;=CriticalSlackDays)</f>
        <v>0</v>
      </c>
      <c r="FF186" s="43" t="n">
        <f aca="false">IF(AND(Tasks[[#This Row],[_IsLeaf]]=1,Tasks[[#This Row],[_ConstraintCode]]=1,Tasks[[#This Row],[Mode]]&lt;&gt;"Manual",N(Tasks[[#This Row],[Actual Start]])=0),MAX(0,N(Tasks[[#This Row],[Free Slack]])),0)</f>
        <v>0</v>
      </c>
      <c r="FG186" s="91" t="str">
        <f aca="false">IF(NOT(Tasks[[#This Row],[_IsLeaf]]=1),"",IF(Tasks[[#This Row],[_AlapShift]]=0,Tasks[[#This Row],[_LeafCalcStart]],WORKDAY.INTL(Tasks[[#This Row],[_LeafCalcStart]],Tasks[[#This Row],[_AlapShift]],WorkWeek,Holidays)))</f>
        <v/>
      </c>
      <c r="FH186" s="91" t="str">
        <f aca="false">IF(NOT(Tasks[[#This Row],[_IsLeaf]]=1),"",IF(Tasks[[#This Row],[_AlapShift]]=0,Tasks[[#This Row],[_LeafCalcFinish]],WORKDAY.INTL(Tasks[[#This Row],[_LeafCalcFinish]],Tasks[[#This Row],[_AlapShift]],WorkWeek,Holidays)))</f>
        <v/>
      </c>
      <c r="FI186" s="91" t="str">
        <f aca="false">IF(NOT(Tasks[[#This Row],[_IsLeaf]]=1),"",IF(Tasks[[#This Row],[_AlapShift]]=0,Tasks[[#This Row],[_LeafFcstStart]],WORKDAY.INTL(Tasks[[#This Row],[_LeafFcstStart]],Tasks[[#This Row],[_AlapShift]],WorkWeek,Holidays)))</f>
        <v/>
      </c>
      <c r="FJ186" s="91" t="str">
        <f aca="false">IF(NOT(Tasks[[#This Row],[_IsLeaf]]=1),"",IF(Tasks[[#This Row],[_AlapShift]]=0,Tasks[[#This Row],[_LeafFcstFinish]],WORKDAY.INTL(Tasks[[#This Row],[_LeafFcstFinish]],Tasks[[#This Row],[_AlapShift]],WorkWeek,Holidays)))</f>
        <v/>
      </c>
      <c r="FK186" s="91" t="str">
        <f aca="false">IF(Tasks[[#This Row],[Task Name]]="","",IF(Tasks[[#This Row],[_IsSummary]],MIN(INDEX(Tasks[_ShownCalcStart],Tasks[[#This Row],[_Row]]+1):INDEX(Tasks[_ShownCalcStart],Tasks[[#This Row],[_Row]]+Tasks[[#This Row],[_Descendants]])),Tasks[[#This Row],[_ShownCalcStart]]))</f>
        <v/>
      </c>
      <c r="FL186" s="91" t="str">
        <f aca="false">IF(Tasks[[#This Row],[Task Name]]="","",IF(Tasks[[#This Row],[_IsSummary]],MAX(INDEX(Tasks[_ShownCalcFinish],Tasks[[#This Row],[_Row]]+1):INDEX(Tasks[_ShownCalcFinish],Tasks[[#This Row],[_Row]]+Tasks[[#This Row],[_Descendants]])),Tasks[[#This Row],[_ShownCalcFinish]]))</f>
        <v/>
      </c>
      <c r="FM18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6" s="43" t="n">
        <f aca="false">IF(AND(Tasks[[#This Row],[_IsLeaf]]=1,Tasks[[#This Row],[_LeafTotalWork]]&gt;0),NETWORKDAYS.INTL(ProjectStart,Tasks[[#This Row],[_ShownFcstStart]],WorkWeek,Holidays),0)</f>
        <v>0</v>
      </c>
      <c r="FZ186" s="43" t="n">
        <f aca="false">IF(AND(Tasks[[#This Row],[_IsLeaf]]=1,Tasks[[#This Row],[_LeafTotalWork]]&gt;0),MAX(Tasks[[#This Row],[_StartWorkday]],NETWORKDAYS.INTL(ProjectStart,Tasks[[#This Row],[_ShownFcstFinish]],WorkWeek,Holidays)),0)</f>
        <v>0</v>
      </c>
      <c r="GA186" s="43" t="n">
        <f aca="false">IF(AND(Tasks[[#This Row],[_IsLeaf]]=1,Tasks[[#This Row],[_LeafTotalWork]]&gt;0),Tasks[[#This Row],[_LeafWork]]/(Tasks[[#This Row],[_FinishWorkday]]-Tasks[[#This Row],[_StartWorkday]]+1),0)</f>
        <v>0</v>
      </c>
      <c r="GB186" s="43" t="n">
        <f aca="false">Tasks[[#This Row],[_WorkPerWorkday]]*(Tasks[[#This Row],[_StartWorkday]]-1)</f>
        <v>-0</v>
      </c>
      <c r="GC186" s="43" t="n">
        <f aca="false">IF(Tasks[[#This Row],[_IsLeaf]]=1,MAX(N(Tasks[[#This Row],[_Days]]),0.1),0)</f>
        <v>0</v>
      </c>
      <c r="GD186" s="43" t="n">
        <f aca="false">Tasks[[#This Row],[_WeightDur]]*Tasks[[#This Row],[_LeafProgress]]</f>
        <v>0</v>
      </c>
      <c r="GE186" s="43" t="n">
        <f aca="false">Tasks[[#This Row],[_WeightDur]]*Tasks[[#This Row],[_PlannedPct]]</f>
        <v>0</v>
      </c>
      <c r="GF18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6" s="43" t="str">
        <f aca="false">IF(AND(Tasks[[#This Row],[_IsLeaf]]=1,N(Tasks[[#This Row],[_Days]])=0,Tasks[[#This Row],[_LeafProgress]]&lt;1),Tasks[[#This Row],[_ShownFcstFinish]]+Tasks[[#This Row],[_Row]]/100000,"")</f>
        <v/>
      </c>
      <c r="GH18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6" s="43" t="str">
        <f aca="false">IF(Tasks[[#This Row],[Task Name]]="","",LEFT(Tasks[[#This Row],[WBS]],FIND(".",Tasks[[#This Row],[WBS]]&amp;".")-1))</f>
        <v/>
      </c>
      <c r="GJ186" s="43" t="str">
        <f aca="false">IF(AND(Tasks[[#This Row],[Task Name]]&lt;&gt;"",Tasks[[#This Row],[_Level]]=1),Tasks[[#This Row],[_Row]],"")</f>
        <v/>
      </c>
      <c r="GK186" s="43" t="str">
        <f aca="false">IF(AND(Tasks[[#This Row],[_IsLeaf]]=1,N(Tasks[[#This Row],[_Days]])=0),Tasks[[#This Row],[Planned Finish]]+Tasks[[#This Row],[_Row]]/100000,"")</f>
        <v/>
      </c>
      <c r="GL186" s="43" t="str">
        <f aca="false">IF(AND(Tasks[[#This Row],[_IsLeaf]]=1,Tasks[[#This Row],[_LeafProgress]]&lt;1,OR(N(Tasks[[#This Row],[Finish Var]])&gt;0,Tasks[[#This Row],[Status]]="Late Start")),MAX(0,Tasks[[#This Row],[Finish Var]])+1-Tasks[[#This Row],[_Row]]/1000000,"")</f>
        <v/>
      </c>
      <c r="GM186" s="43" t="str">
        <f aca="false">IF(AND(Tasks[[#This Row],[_IsLeaf]]=1,N(Tasks[[#This Row],[Actual Start]])=0,Tasks[[#This Row],[_ShownFcstStart]]&gt;=StatusDate,Tasks[[#This Row],[_ShownFcstStart]]&lt;=LookaheadEnd),Tasks[[#This Row],[_ShownFcstStart]]+Tasks[[#This Row],[_Row]]/100000,"")</f>
        <v/>
      </c>
      <c r="GN186" s="43" t="str">
        <f aca="false">IF(AND(Tasks[[#This Row],[_IsLeaf]]=1,Tasks[[#This Row],[_LeafProgress]]&lt;1,Tasks[[#This Row],[_ShownFcstFinish]]&gt;=StatusDate,Tasks[[#This Row],[_ShownFcstFinish]]&lt;=LookaheadEnd),Tasks[[#This Row],[_ShownFcstFinish]]+Tasks[[#This Row],[_Row]]/100000,"")</f>
        <v/>
      </c>
      <c r="GO186" s="43" t="str">
        <f aca="false">IF(Tasks[[#This Row],[_LeafCritical]],Tasks[[#This Row],[_ShownFcstStart]]+Tasks[[#This Row],[_Row]]/100000,"")</f>
        <v/>
      </c>
      <c r="GP186" s="43" t="n">
        <f aca="false">Tasks[[#This Row],[_LeafWork]]*Tasks[[#This Row],[_LeafProgress]]</f>
        <v>0</v>
      </c>
      <c r="GQ186" s="91" t="str">
        <f aca="false">IF(AND(Tasks[[#This Row],[_IsLeaf]]=1,Tasks[[#This Row],[_LeafProgress]]&gt;=1),IF(N(Tasks[[#This Row],[Actual Finish]])&gt;0,Tasks[[#This Row],[Actual Finish]],Tasks[[#This Row],[_ShownFcstFinish]]),"")</f>
        <v/>
      </c>
      <c r="GR186" s="43" t="n">
        <f aca="false">IF(Tasks[[#This Row],[_IsLeaf]]=1,N(Tasks[[#This Row],[Story Points]]),0)</f>
        <v>0</v>
      </c>
      <c r="GS186" s="43" t="str">
        <f aca="false">""</f>
        <v/>
      </c>
      <c r="GT186" s="90" t="b">
        <f aca="false">IF(Tasks[[#This Row],[Task Name]]="",FALSE(),AND(Tasks[[#This Row],[_IsLeaf]]=1,N(Tasks[[#This Row],[_Days]])=0))</f>
        <v>0</v>
      </c>
      <c r="GU186" s="91" t="n">
        <f aca="false">IF(Tasks[[#This Row],[Task Name]]="",0,IF(AND(Tasks[[#This Row],[_IsLeaf]]=1,NOT(Tasks[[#This Row],[_IsMilestone]]),N(Tasks[[#This Row],[Progress]])&gt;0),Tasks[[#This Row],[Start]],0))</f>
        <v>0</v>
      </c>
      <c r="GV186" s="91" t="n">
        <f aca="false">IF(Tasks[[#This Row],[_DoneFrom]]=0,0,IF(Tasks[[#This Row],[Progress]]&gt;=1,Tasks[[#This Row],[Finish]],MAX(Tasks[[#This Row],[_DoneFrom]],Tasks[[#This Row],[Start]]+ROUND((Tasks[[#This Row],[Finish]]-Tasks[[#This Row],[Start]]+1)*Tasks[[#This Row],[Progress]],0)-1)))</f>
        <v>0</v>
      </c>
      <c r="GW186" s="91" t="n">
        <f aca="false">IF(Tasks[[#This Row],[Task Name]]="",0,IF(OR(NOT(Tasks[[#This Row],[_IsLeaf]]=1),Tasks[[#This Row],[_IsMilestone]],N(Tasks[[#This Row],[Progress]])&gt;=1),0,IF(Tasks[[#This Row],[_DoneTo]]&gt;0,Tasks[[#This Row],[_DoneTo]]+1,Tasks[[#This Row],[Start]])))</f>
        <v>0</v>
      </c>
      <c r="GX186" s="91" t="n">
        <f aca="false">IF(Tasks[[#This Row],[_RemFrom]]=0,0,Tasks[[#This Row],[Finish]])</f>
        <v>0</v>
      </c>
      <c r="GY186" s="90" t="b">
        <f aca="false">IF(Tasks[[#This Row],[Task Name]]="",FALSE(),OR(NOT(BaselineSet),N(Tasks[[#This Row],[Baseline Start]])&gt;0))</f>
        <v>0</v>
      </c>
      <c r="GZ18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6" s="92" t="str">
        <f aca="false">IF(Tasks[[#This Row],[_IsLeaf]]=1,Tasks[[#This Row],[_Row]],"")</f>
        <v/>
      </c>
      <c r="HD186" s="92" t="str">
        <f aca="false">IFERROR(INDEX(Tasks[UID],SMALL(Tasks[_PickKey],Tasks[[#This Row],[_Row]]))&amp;" "&amp;INDEX(Tasks[Task Name],SMALL(Tasks[_PickKey],Tasks[[#This Row],[_Row]])),"")</f>
        <v/>
      </c>
      <c r="HE186" s="43" t="str">
        <f aca="false">IF(Tasks[[#This Row],[Task Name]]="","",IF(Tasks[[#This Row],[_IsSummary]],NETWORKDAYS.INTL(Tasks[[#This Row],[Start]],Tasks[[#This Row],[Finish]],WorkWeek,Holidays),N(Tasks[[#This Row],[_Days]])))</f>
        <v/>
      </c>
      <c r="HF186" s="43" t="n">
        <f aca="false">IF(Tasks[[#This Row],[Expected]]="",0,((Tasks[[#This Row],[Pessimistic]]-Tasks[[#This Row],[Optimistic]])/6)^2)</f>
        <v>0</v>
      </c>
      <c r="HG186" s="43" t="n">
        <f aca="false">IF(Tasks[[#This Row],[Expected]]="",0,Tasks[[#This Row],[Expected]]-N(Tasks[[#This Row],[_Days]]))</f>
        <v>0</v>
      </c>
    </row>
    <row r="187" customFormat="false" ht="15" hidden="false" customHeight="false" outlineLevel="0" collapsed="false">
      <c r="A187" s="21" t="str">
        <f aca="false">IF(Tasks[[#This Row],[Task Name]]="","",COUNTA(Tasks[[#Headers],[Task Name]]:Tasks[[#This Row],[Task Name]])-1)</f>
        <v/>
      </c>
      <c r="B187" s="22" t="n">
        <v>195</v>
      </c>
      <c r="C187" s="22"/>
      <c r="D187" s="23"/>
      <c r="E187" s="22"/>
      <c r="F187" s="23"/>
      <c r="G187" s="22"/>
      <c r="H187" s="22"/>
      <c r="I187" s="23"/>
      <c r="J187" s="22"/>
      <c r="K187" s="22"/>
      <c r="L187" s="23"/>
      <c r="M187" s="22"/>
      <c r="N187" s="22"/>
      <c r="O187" s="23"/>
      <c r="P187" s="22"/>
      <c r="Q187" s="22"/>
      <c r="R187" s="23"/>
      <c r="S187" s="23"/>
      <c r="T187" s="84"/>
      <c r="U187" s="23"/>
      <c r="V187" s="84"/>
      <c r="W187" s="23"/>
      <c r="X187" s="84"/>
      <c r="Y187" s="23"/>
      <c r="Z187" s="84"/>
      <c r="AA187" s="23"/>
      <c r="AB187" s="23"/>
      <c r="AC187" s="7"/>
      <c r="AD187" s="7"/>
      <c r="AE187" s="63" t="str">
        <f aca="false">IF(Tasks[[#This Row],[Task Name]]="","",IF(Tasks[[#This Row],[_IsSummary]],MIN(INDEX(Tasks[_ShownFcstStart],Tasks[[#This Row],[_Row]]+1):INDEX(Tasks[_ShownFcstStart],Tasks[[#This Row],[_Row]]+Tasks[[#This Row],[_Descendants]])),Tasks[[#This Row],[_ShownFcstStart]]))</f>
        <v/>
      </c>
      <c r="AF187" s="63" t="str">
        <f aca="false">IF(Tasks[[#This Row],[Task Name]]="","",IF(Tasks[[#This Row],[_IsSummary]],MAX(INDEX(Tasks[_ShownFcstFinish],Tasks[[#This Row],[_Row]]+1):INDEX(Tasks[_ShownFcstFinish],Tasks[[#This Row],[_Row]]+Tasks[[#This Row],[_Descendants]])),Tasks[[#This Row],[_ShownFcstFinish]]))</f>
        <v/>
      </c>
      <c r="AG187" s="21" t="str">
        <f aca="false">""</f>
        <v/>
      </c>
      <c r="AH187" s="23"/>
      <c r="AI1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7" s="7"/>
      <c r="AK187" s="22"/>
      <c r="AL187" s="23"/>
      <c r="AM187" s="7"/>
      <c r="AN187" s="47" t="str">
        <f aca="false">IF(Tasks[[#This Row],[Task Name]]="","",IF(Tasks[[#This Row],[Finish]]&gt;=Tasks[[#This Row],[Planned Finish]],NETWORKDAYS.INTL(Tasks[[#This Row],[Planned Finish]],Tasks[[#This Row],[Finish]],WorkWeek,Holidays)-1,1-NETWORKDAYS.INTL(Tasks[[#This Row],[Finish]],Tasks[[#This Row],[Planned Finish]],WorkWeek,Holidays)))</f>
        <v/>
      </c>
      <c r="AO187" s="21" t="str">
        <f aca="false">IF(Tasks[[#This Row],[Task Name]]="","",IF(Tasks[[#This Row],[Progress]]&gt;=1,"Complete",IF(OR(N(Tasks[[#This Row],[Actual Start]])&gt;0,Tasks[[#This Row],[Progress]]&gt;0),IF(Tasks[[#This Row],[Finish Var]]&gt;0,"Behind","In Progress"),IF(Tasks[[#This Row],[Planned Start]]&lt;StatusDate,"Late Start","Not Started"))))</f>
        <v/>
      </c>
      <c r="AP187" s="21" t="str">
        <f aca="false">IF(Tasks[[#This Row],[Task Name]]="","",IF(IF(Tasks[[#This Row],[_IsSummary]],COUNTIF(INDEX(Tasks[_LeafCritical],Tasks[[#This Row],[_Row]]+1):INDEX(Tasks[_LeafCritical],Tasks[[#This Row],[_Row]]+Tasks[[#This Row],[_Descendants]]),TRUE())&gt;0,Tasks[[#This Row],[_LeafCritical]]),"Yes",""))</f>
        <v/>
      </c>
      <c r="AQ187" s="63" t="str">
        <f aca="false">IF(Tasks[[#This Row],[Task Name]]="","",IF(N(Tasks[[#This Row],[Baseline Start]])&gt;0,Tasks[[#This Row],[Baseline Start]],Tasks[[#This Row],[_CalcStart]]))</f>
        <v/>
      </c>
      <c r="AR187" s="63" t="str">
        <f aca="false">IF(Tasks[[#This Row],[Task Name]]="","",IF(N(Tasks[[#This Row],[Baseline Finish]])&gt;0,Tasks[[#This Row],[Baseline Finish]],Tasks[[#This Row],[_CalcFinish]]))</f>
        <v/>
      </c>
      <c r="AS187" s="47" t="str">
        <f aca="false">IF(Tasks[[#This Row],[Task Name]]="","",IF(Tasks[[#This Row],[Start]]&gt;=Tasks[[#This Row],[Planned Start]],NETWORKDAYS.INTL(Tasks[[#This Row],[Planned Start]],Tasks[[#This Row],[Start]],WorkWeek,Holidays)-1,1-NETWORKDAYS.INTL(Tasks[[#This Row],[Start]],Tasks[[#This Row],[Planned Start]],WorkWeek,Holidays)))</f>
        <v/>
      </c>
      <c r="AT187" s="63" t="str">
        <f aca="false">IF(Tasks[[#This Row],[Task Name]]="","",IF(Tasks[[#This Row],[_IsSummary]],MIN(INDEX(Tasks[_LeafLateStart],Tasks[[#This Row],[_Row]]+1):INDEX(Tasks[_LeafLateStart],Tasks[[#This Row],[_Row]]+Tasks[[#This Row],[_Descendants]])),Tasks[[#This Row],[_LeafLateStart]]))</f>
        <v/>
      </c>
      <c r="AU187" s="63" t="str">
        <f aca="false">IF(Tasks[[#This Row],[Task Name]]="","",IF(Tasks[[#This Row],[_IsSummary]],MAX(INDEX(Tasks[_LeafLateFinish],Tasks[[#This Row],[_Row]]+1):INDEX(Tasks[_LeafLateFinish],Tasks[[#This Row],[_Row]]+Tasks[[#This Row],[_Descendants]])),Tasks[[#This Row],[_LeafLateFinish]]))</f>
        <v/>
      </c>
      <c r="AV187" s="47" t="str">
        <f aca="false">IF(Tasks[[#This Row],[Task Name]]="","",IF(Tasks[[#This Row],[_IsSummary]],MIN(INDEX(Tasks[_LeafTotalSlack],Tasks[[#This Row],[_Row]]+1):INDEX(Tasks[_LeafTotalSlack],Tasks[[#This Row],[_Row]]+Tasks[[#This Row],[_Descendants]])),Tasks[[#This Row],[_LeafTotalSlack]]))</f>
        <v/>
      </c>
      <c r="AW1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5"/>
      <c r="BA18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1" t="str">
        <f aca="false">IF(Tasks[[#This Row],[Task Name]]="","",IF(Tasks[[#This Row],[_Level]]&lt;=OutlineShowLevel,"Yes","No"))</f>
        <v/>
      </c>
      <c r="BE187" s="86" t="str">
        <f aca="false">IF(Tasks[[#This Row],[Task Name]]="","",IF(Tasks[[#This Row],[_IsSummary]],SUM(INDEX(Tasks[_LeafTotalWork],Tasks[[#This Row],[_Row]]+1):INDEX(Tasks[_LeafTotalWork],Tasks[[#This Row],[_Row]]+Tasks[[#This Row],[_Descendants]])),Tasks[[#This Row],[_LeafTotalWork]]))</f>
        <v/>
      </c>
      <c r="BF187" s="23"/>
      <c r="BG1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7" s="21" t="str">
        <f aca="false">""</f>
        <v/>
      </c>
      <c r="BI187" s="87"/>
      <c r="BJ187" s="22"/>
      <c r="BK187" s="47" t="str">
        <f aca="false">IF(OR(Tasks[[#This Row],[Task Name]]="",Tasks[[#This Row],[Baseline Duration]]=""),"",Tasks[[#This Row],[_SpanDays]]-N(Tasks[[#This Row],[Baseline Duration]]))</f>
        <v/>
      </c>
      <c r="BL187" s="86" t="str">
        <f aca="false">IF(OR(Tasks[[#This Row],[Task Name]]="",Tasks[[#This Row],[Baseline Work]]=""),"",Tasks[[#This Row],[Work]]-N(Tasks[[#This Row],[Baseline Work]]))</f>
        <v/>
      </c>
      <c r="BM187" s="63" t="str">
        <f aca="false">IF(Tasks[[#This Row],[Task Name]]="","",IF(OR(TakeBaseline="Yes",N(Tasks[[#This Row],[Baseline Start]])=0),Tasks[[#This Row],[Start]],Tasks[[#This Row],[Baseline Start]]))</f>
        <v/>
      </c>
      <c r="BN187" s="63" t="str">
        <f aca="false">IF(Tasks[[#This Row],[Task Name]]="","",IF(OR(TakeBaseline="Yes",N(Tasks[[#This Row],[Baseline Finish]])=0),Tasks[[#This Row],[Finish]],Tasks[[#This Row],[Baseline Finish]]))</f>
        <v/>
      </c>
      <c r="BO187" s="21" t="str">
        <f aca="false">IF(Tasks[[#This Row],[Task Name]]="","",IF(OR(TakeBaseline="Yes",N(Tasks[[#This Row],[Baseline Duration]])=0),Tasks[[#This Row],[_SpanDays]],Tasks[[#This Row],[Baseline Duration]]))</f>
        <v/>
      </c>
      <c r="BP187" s="86" t="str">
        <f aca="false">IF(Tasks[[#This Row],[Task Name]]="","",IF(OR(TakeBaseline="Yes",N(Tasks[[#This Row],[Baseline Work]])=0),Tasks[[#This Row],[Work]],Tasks[[#This Row],[Baseline Work]]))</f>
        <v/>
      </c>
      <c r="BQ187" s="7"/>
      <c r="BR187" s="7"/>
      <c r="BS187" s="22"/>
      <c r="BT187" s="88"/>
      <c r="BU187" s="23"/>
      <c r="BV187" s="23"/>
      <c r="BW187" s="23"/>
      <c r="BX187" s="89" t="str">
        <f aca="false">IF(AND(Tasks[[#This Row],[_IsLeaf]]=1,ISNUMBER(Tasks[[#This Row],[Optimistic]]),ISNUMBER(Tasks[[#This Row],[Pessimistic]])),ROUND((Tasks[[#This Row],[Optimistic]]+4*N(Tasks[[#This Row],[_Days]])+Tasks[[#This Row],[Pessimistic]])/6,1),"")</f>
        <v/>
      </c>
      <c r="BY187" s="87"/>
      <c r="BZ187" s="87"/>
      <c r="CA187" s="22"/>
      <c r="CB187" s="43" t="str">
        <f aca="false">IF(Tasks[[#This Row],[Task Name]]="","",MAX(1,N(Tasks[[#This Row],[Level]])))</f>
        <v/>
      </c>
      <c r="CC187" s="43" t="n">
        <f aca="false">ROW()-ROW(Tasks[[#Headers],[ID]])</f>
        <v>182</v>
      </c>
      <c r="CD187" s="43" t="n">
        <f aca="false">IF(OR(Tasks[[#This Row],[Task Name]]="",Tasks[[#This Row],[_Level]]&lt;=1),0,IFERROR(LOOKUP(2,1/(Tasks[[#Headers],[_Level]]:Tasks[[#This Row],[_Level]]=Tasks[[#This Row],[_Level]]-1),ROW(Tasks[[#Headers],[_Level]]:Tasks[[#This Row],[_Level]])),0))</f>
        <v>0</v>
      </c>
      <c r="CE187" s="43" t="n">
        <f aca="false">IFERROR(N(INDEX(Tasks[_Level],Tasks[[#This Row],[_Row]]+1)),0)</f>
        <v>0</v>
      </c>
      <c r="CF187" s="90" t="b">
        <f aca="false">AND(Tasks[[#This Row],[Task Name]]&lt;&gt;"",Tasks[[#This Row],[_NextLevel]]&gt;Tasks[[#This Row],[_Level]])</f>
        <v>0</v>
      </c>
      <c r="CG187" s="43" t="n">
        <f aca="false">IF(Tasks[[#This Row],[_IsSummary]],COUNTIF(Tasks[WBS],Tasks[[#This Row],[WBS]]&amp;".*"),0)</f>
        <v>0</v>
      </c>
      <c r="CH187" s="43" t="n">
        <f aca="false">IF(AND(Tasks[[#This Row],[Task Name]]&lt;&gt;"",NOT(Tasks[[#This Row],[_IsSummary]])),1,0)</f>
        <v>0</v>
      </c>
      <c r="CI187" s="43" t="n">
        <f aca="false">IF(N(Tasks[[#This Row],[_Pred1UID]])=0,0,IFERROR(MATCH(Tasks[[#This Row],[_Pred1UID]],Tasks[UID],0),-1))</f>
        <v>0</v>
      </c>
      <c r="CJ187" s="43" t="n">
        <f aca="false">IF(N(Tasks[[#This Row],[_Pred2UID]])=0,0,IFERROR(MATCH(Tasks[[#This Row],[_Pred2UID]],Tasks[UID],0),-1))</f>
        <v>0</v>
      </c>
      <c r="CK187" s="43" t="n">
        <f aca="false">IF(N(Tasks[[#This Row],[_Pred3UID]])=0,0,IFERROR(MATCH(Tasks[[#This Row],[_Pred3UID]],Tasks[UID],0),-1))</f>
        <v>0</v>
      </c>
      <c r="CL187" s="43" t="n">
        <f aca="false">IF(N(Tasks[[#This Row],[_Pred4UID]])=0,0,IFERROR(MATCH(Tasks[[#This Row],[_Pred4UID]],Tasks[UID],0),-1))</f>
        <v>0</v>
      </c>
      <c r="CM18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7" s="91" t="n">
        <f aca="false">IF(OR(Tasks[[#This Row],[_ConstraintCode]]=2,Tasks[[#This Row],[_ConstraintCode]]=3,Tasks[[#This Row],[_ConstraintCode]]=4,Tasks[[#This Row],[_ConstraintCode]]=6),Tasks[[#This Row],[_ConstraintStart]],0)</f>
        <v>0</v>
      </c>
      <c r="CP187" s="91" t="n">
        <f aca="false">IF(OR(Tasks[[#This Row],[_ConstraintCode]]=2,Tasks[[#This Row],[_ConstraintCode]]=3,Tasks[[#This Row],[_ConstraintCode]]=5,Tasks[[#This Row],[_ConstraintCode]]=7),Tasks[[#This Row],[_ConstraintStart]],2958465)</f>
        <v>2958465</v>
      </c>
      <c r="CQ18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7" s="91" t="str">
        <f aca="false">IF(NOT(Tasks[[#This Row],[_IsLeaf]]=1),"",IF(N(Tasks[[#This Row],[_Days]])&lt;=0,Tasks[[#This Row],[_LeafCalcStart]],WORKDAY.INTL(Tasks[[#This Row],[_LeafCalcStart]],Tasks[[#This Row],[_Days]]-1,WorkWeek,Holidays)))</f>
        <v/>
      </c>
      <c r="CS18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7" s="43" t="str">
        <f aca="false">IF(Tasks[[#This Row],[_Predecessors]]="","",TRIM(MID(SUBSTITUTE(SUBSTITUTE(SUBSTITUTE(UPPER(Tasks[[#This Row],[_Predecessors]]),";",",")," ",""),",",REPT(" ",99)),1,99)))</f>
        <v/>
      </c>
      <c r="CV187" s="43" t="str">
        <f aca="false">IF(Tasks[[#This Row],[_Pred1Text]]="","",IFERROR(VALUE(LEFT(Tasks[[#This Row],[_Pred1Text]],MIN(FIND("F",Tasks[[#This Row],[_Pred1Text]]&amp;"F"),FIND("S",Tasks[[#This Row],[_Pred1Text]]&amp;"S"),FIND("+",Tasks[[#This Row],[_Pred1Text]]&amp;"+"),FIND("-",Tasks[[#This Row],[_Pred1Text]]&amp;"-"))-1)),""))</f>
        <v/>
      </c>
      <c r="CW18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7" s="43" t="str">
        <f aca="false">IF(Tasks[[#This Row],[_Pred1Text]]="","",TRIM(MID(SUBSTITUTE(SUBSTITUTE(SUBSTITUTE(UPPER(Tasks[[#This Row],[_Predecessors]]),";",",")," ",""),",",REPT(" ",99)),100,99)))</f>
        <v/>
      </c>
      <c r="CZ187" s="43" t="str">
        <f aca="false">IF(Tasks[[#This Row],[_Pred2Text]]="","",IFERROR(VALUE(LEFT(Tasks[[#This Row],[_Pred2Text]],MIN(FIND("F",Tasks[[#This Row],[_Pred2Text]]&amp;"F"),FIND("S",Tasks[[#This Row],[_Pred2Text]]&amp;"S"),FIND("+",Tasks[[#This Row],[_Pred2Text]]&amp;"+"),FIND("-",Tasks[[#This Row],[_Pred2Text]]&amp;"-"))-1)),""))</f>
        <v/>
      </c>
      <c r="DA18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7" s="43" t="str">
        <f aca="false">IF(Tasks[[#This Row],[_Pred2Text]]="","",TRIM(MID(SUBSTITUTE(SUBSTITUTE(SUBSTITUTE(UPPER(Tasks[[#This Row],[_Predecessors]]),";",",")," ",""),",",REPT(" ",99)),199,99)))</f>
        <v/>
      </c>
      <c r="DD187" s="43" t="str">
        <f aca="false">IF(Tasks[[#This Row],[_Pred3Text]]="","",IFERROR(VALUE(LEFT(Tasks[[#This Row],[_Pred3Text]],MIN(FIND("F",Tasks[[#This Row],[_Pred3Text]]&amp;"F"),FIND("S",Tasks[[#This Row],[_Pred3Text]]&amp;"S"),FIND("+",Tasks[[#This Row],[_Pred3Text]]&amp;"+"),FIND("-",Tasks[[#This Row],[_Pred3Text]]&amp;"-"))-1)),""))</f>
        <v/>
      </c>
      <c r="DE18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7" s="43" t="str">
        <f aca="false">IF(Tasks[[#This Row],[_Pred3Text]]="","",TRIM(MID(SUBSTITUTE(SUBSTITUTE(SUBSTITUTE(UPPER(Tasks[[#This Row],[_Predecessors]]),";",",")," ",""),",",REPT(" ",99)),298,99)))</f>
        <v/>
      </c>
      <c r="DH187" s="43" t="str">
        <f aca="false">IF(Tasks[[#This Row],[_Pred4Text]]="","",IFERROR(VALUE(LEFT(Tasks[[#This Row],[_Pred4Text]],MIN(FIND("F",Tasks[[#This Row],[_Pred4Text]]&amp;"F"),FIND("S",Tasks[[#This Row],[_Pred4Text]]&amp;"S"),FIND("+",Tasks[[#This Row],[_Pred4Text]]&amp;"+"),FIND("-",Tasks[[#This Row],[_Pred4Text]]&amp;"-"))-1)),""))</f>
        <v/>
      </c>
      <c r="DI18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7" s="43" t="str">
        <f aca="false">IF(OR(Tasks[[#This Row],[Task Name]]="",Tasks[[#This Row],[_Resources]]=""),"",TRIM(MID(SUBSTITUTE(Tasks[[#This Row],[_Resources]],",",REPT(" ",99)),1,99)))</f>
        <v/>
      </c>
      <c r="DL187" s="43" t="str">
        <f aca="false">IF(Tasks[[#This Row],[_Res1Text]]="","",TRIM(MID(SUBSTITUTE(Tasks[[#This Row],[_Resources]],",",REPT(" ",99)),100,99)))</f>
        <v/>
      </c>
      <c r="DM187" s="43" t="str">
        <f aca="false">IF(Tasks[[#This Row],[_Res2Text]]="","",TRIM(MID(SUBSTITUTE(Tasks[[#This Row],[_Resources]],",",REPT(" ",99)),199,99)))</f>
        <v/>
      </c>
      <c r="DN187" s="43" t="str">
        <f aca="false">IF(Tasks[[#This Row],[_Res3Text]]="","",TRIM(MID(SUBSTITUTE(Tasks[[#This Row],[_Resources]],",",REPT(" ",99)),298,99)))</f>
        <v/>
      </c>
      <c r="DO187" s="43" t="n">
        <f aca="false">IF(Tasks[[#This Row],[_Res1Text]]="",0,IFERROR(MATCH(TRIM(LEFT(Tasks[[#This Row],[_Res1Text]],FIND("[",Tasks[[#This Row],[_Res1Text]]&amp;"[")-1)),res_Name,0),IFERROR(MATCH(TRIM(LEFT(Tasks[[#This Row],[_Res1Text]],FIND("[",Tasks[[#This Row],[_Res1Text]]&amp;"[")-1)),res_Initials,0),0)))</f>
        <v>0</v>
      </c>
      <c r="DP187" s="43" t="n">
        <f aca="false">IF(Tasks[[#This Row],[_Res2Text]]="",0,IFERROR(MATCH(TRIM(LEFT(Tasks[[#This Row],[_Res2Text]],FIND("[",Tasks[[#This Row],[_Res2Text]]&amp;"[")-1)),res_Name,0),IFERROR(MATCH(TRIM(LEFT(Tasks[[#This Row],[_Res2Text]],FIND("[",Tasks[[#This Row],[_Res2Text]]&amp;"[")-1)),res_Initials,0),0)))</f>
        <v>0</v>
      </c>
      <c r="DQ187" s="43" t="n">
        <f aca="false">IF(Tasks[[#This Row],[_Res3Text]]="",0,IFERROR(MATCH(TRIM(LEFT(Tasks[[#This Row],[_Res3Text]],FIND("[",Tasks[[#This Row],[_Res3Text]]&amp;"[")-1)),res_Name,0),IFERROR(MATCH(TRIM(LEFT(Tasks[[#This Row],[_Res3Text]],FIND("[",Tasks[[#This Row],[_Res3Text]]&amp;"[")-1)),res_Initials,0),0)))</f>
        <v>0</v>
      </c>
      <c r="DR187" s="43" t="n">
        <f aca="false">IF(Tasks[[#This Row],[_Res4Text]]="",0,IFERROR(MATCH(TRIM(LEFT(Tasks[[#This Row],[_Res4Text]],FIND("[",Tasks[[#This Row],[_Res4Text]]&amp;"[")-1)),res_Name,0),IFERROR(MATCH(TRIM(LEFT(Tasks[[#This Row],[_Res4Text]],FIND("[",Tasks[[#This Row],[_Res4Text]]&amp;"[")-1)),res_Initials,0),0)))</f>
        <v>0</v>
      </c>
      <c r="DS187" s="43" t="str">
        <f aca="false">IF(Tasks[[#This Row],[_Res1Text]]="","",IF(Tasks[[#This Row],[_Res1Row]]&gt;0,INDEX(res_Name,Tasks[[#This Row],[_Res1Row]]),TRIM(LEFT(Tasks[[#This Row],[_Res1Text]],FIND("[",Tasks[[#This Row],[_Res1Text]]&amp;"[")-1))))</f>
        <v/>
      </c>
      <c r="DT18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7" s="43" t="n">
        <f aca="false">IF(NOT(Tasks[[#This Row],[_IsLeaf]]=1),0,(Tasks[[#This Row],[_Resource1]]&lt;&gt;"")+(Tasks[[#This Row],[_Res2]]&lt;&gt;"")+(Tasks[[#This Row],[_Res3]]&lt;&gt;"")+(Tasks[[#This Row],[_Res4]]&lt;&gt;""))</f>
        <v>0</v>
      </c>
      <c r="DV187" s="43" t="str">
        <f aca="false">IF(Tasks[[#This Row],[_Res2Text]]="","",IF(Tasks[[#This Row],[_Res2Row]]&gt;0,INDEX(res_Name,Tasks[[#This Row],[_Res2Row]]),TRIM(LEFT(Tasks[[#This Row],[_Res2Text]],FIND("[",Tasks[[#This Row],[_Res2Text]]&amp;"[")-1))))</f>
        <v/>
      </c>
      <c r="DW18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7" s="43" t="n">
        <f aca="false">IF(OR(NOT(Tasks[[#This Row],[_IsLeaf]]=1),Tasks[[#This Row],[_Res2Row]]=0),0,N(Tasks[[#This Row],[_Days]])*HoursPerDay*IF(Tasks[[#This Row],[_Res2Units]]="",DefaultUnits,Tasks[[#This Row],[_Res2Units]]))</f>
        <v>0</v>
      </c>
      <c r="DY187" s="43" t="n">
        <f aca="false">IF(AND(AND(Tasks[[#This Row],[_IsLeaf]]=1,Tasks[[#This Row],[_LeafTotalWork]]&gt;0),Tasks[[#This Row],[_Res2Work]]&gt;0),Tasks[[#This Row],[_Res2Work]]/(Tasks[[#This Row],[_FinishWorkday]]-Tasks[[#This Row],[_StartWorkday]]+1),0)</f>
        <v>0</v>
      </c>
      <c r="DZ187" s="43" t="n">
        <f aca="false">Tasks[[#This Row],[_Res2WorkPerWD]]*MAX(0,Tasks[[#This Row],[_StartWorkday]]-1)</f>
        <v>0</v>
      </c>
      <c r="EA187" s="43" t="n">
        <f aca="false">Tasks[[#This Row],[_Res2Work]]*Tasks[[#This Row],[_LeafProgress]]</f>
        <v>0</v>
      </c>
      <c r="EB187" s="43" t="str">
        <f aca="false">IF(Tasks[[#This Row],[_Res3Text]]="","",IF(Tasks[[#This Row],[_Res3Row]]&gt;0,INDEX(res_Name,Tasks[[#This Row],[_Res3Row]]),TRIM(LEFT(Tasks[[#This Row],[_Res3Text]],FIND("[",Tasks[[#This Row],[_Res3Text]]&amp;"[")-1))))</f>
        <v/>
      </c>
      <c r="EC18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7" s="43" t="n">
        <f aca="false">IF(OR(NOT(Tasks[[#This Row],[_IsLeaf]]=1),Tasks[[#This Row],[_Res3Row]]=0),0,N(Tasks[[#This Row],[_Days]])*HoursPerDay*IF(Tasks[[#This Row],[_Res3Units]]="",DefaultUnits,Tasks[[#This Row],[_Res3Units]]))</f>
        <v>0</v>
      </c>
      <c r="EE187" s="43" t="n">
        <f aca="false">IF(AND(AND(Tasks[[#This Row],[_IsLeaf]]=1,Tasks[[#This Row],[_LeafTotalWork]]&gt;0),Tasks[[#This Row],[_Res3Work]]&gt;0),Tasks[[#This Row],[_Res3Work]]/(Tasks[[#This Row],[_FinishWorkday]]-Tasks[[#This Row],[_StartWorkday]]+1),0)</f>
        <v>0</v>
      </c>
      <c r="EF187" s="43" t="n">
        <f aca="false">Tasks[[#This Row],[_Res3WorkPerWD]]*MAX(0,Tasks[[#This Row],[_StartWorkday]]-1)</f>
        <v>0</v>
      </c>
      <c r="EG187" s="43" t="n">
        <f aca="false">Tasks[[#This Row],[_Res3Work]]*Tasks[[#This Row],[_LeafProgress]]</f>
        <v>0</v>
      </c>
      <c r="EH187" s="43" t="str">
        <f aca="false">IF(Tasks[[#This Row],[_Res4Text]]="","",IF(Tasks[[#This Row],[_Res4Row]]&gt;0,INDEX(res_Name,Tasks[[#This Row],[_Res4Row]]),TRIM(LEFT(Tasks[[#This Row],[_Res4Text]],FIND("[",Tasks[[#This Row],[_Res4Text]]&amp;"[")-1))))</f>
        <v/>
      </c>
      <c r="EI18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7" s="43" t="n">
        <f aca="false">IF(OR(NOT(Tasks[[#This Row],[_IsLeaf]]=1),Tasks[[#This Row],[_Res4Row]]=0),0,N(Tasks[[#This Row],[_Days]])*HoursPerDay*IF(Tasks[[#This Row],[_Res4Units]]="",DefaultUnits,Tasks[[#This Row],[_Res4Units]]))</f>
        <v>0</v>
      </c>
      <c r="EK187" s="43" t="n">
        <f aca="false">IF(AND(AND(Tasks[[#This Row],[_IsLeaf]]=1,Tasks[[#This Row],[_LeafTotalWork]]&gt;0),Tasks[[#This Row],[_Res4Work]]&gt;0),Tasks[[#This Row],[_Res4Work]]/(Tasks[[#This Row],[_FinishWorkday]]-Tasks[[#This Row],[_StartWorkday]]+1),0)</f>
        <v>0</v>
      </c>
      <c r="EL187" s="43" t="n">
        <f aca="false">Tasks[[#This Row],[_Res4WorkPerWD]]*MAX(0,Tasks[[#This Row],[_StartWorkday]]-1)</f>
        <v>0</v>
      </c>
      <c r="EM187" s="43" t="n">
        <f aca="false">Tasks[[#This Row],[_Res4Work]]*Tasks[[#This Row],[_LeafProgress]]</f>
        <v>0</v>
      </c>
      <c r="EN187" s="43" t="n">
        <f aca="false">IF(ISNUMBER(Tasks[[#This Row],[% Complete]]),Tasks[[#This Row],[% Complete]],IF(Tasks[[#This Row],[Stage]]="",0,IFERROR(INDEX(stg_Pct,MATCH(Tasks[[#This Row],[Stage]],stg_Name,0)),0)))</f>
        <v>0</v>
      </c>
      <c r="EO187" s="43" t="n">
        <f aca="false">IF(NOT(Tasks[[#This Row],[_IsLeaf]]=1),0,IF(N(Tasks[[#This Row],[Actual Finish]])&gt;0,1,MIN(1,Tasks[[#This Row],[_Pct]])))</f>
        <v>0</v>
      </c>
      <c r="EP187" s="43" t="n">
        <f aca="false">IF(OR(NOT(Tasks[[#This Row],[_IsLeaf]]=1),Tasks[[#This Row],[_Res1Row]]=0),0,N(Tasks[[#This Row],[_Days]])*HoursPerDay*IF(Tasks[[#This Row],[_Units1]]="",DefaultUnits,Tasks[[#This Row],[_Units1]]))</f>
        <v>0</v>
      </c>
      <c r="EQ187" s="43" t="n">
        <f aca="false">Tasks[[#This Row],[_LeafWork]]+Tasks[[#This Row],[_Res2Work]]+Tasks[[#This Row],[_Res3Work]]+Tasks[[#This Row],[_Res4Work]]</f>
        <v>0</v>
      </c>
      <c r="ER18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7" s="43" t="n">
        <f aca="false">IF(NOT(Tasks[[#This Row],[_IsLeaf]]=1),0,MAX(_xlfn.MAXIFS(Tasks[_Row],Tasks[_Pred1UID],Tasks[[#This Row],[UID]]),_xlfn.MAXIFS(Tasks[_Row],Tasks[_Pred2UID],Tasks[[#This Row],[UID]]),_xlfn.MAXIFS(Tasks[_Row],Tasks[_Pred3UID],Tasks[[#This Row],[UID]]),_xlfn.MAXIFS(Tasks[_Row],Tasks[_Pred4UID],Tasks[[#This Row],[UID]])))</f>
        <v>0</v>
      </c>
      <c r="FA18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7" s="91" t="str">
        <f aca="false">IF(NOT(Tasks[[#This Row],[_IsLeaf]]=1),"",IF(N(Tasks[[#This Row],[_Days]])&lt;=0,Tasks[[#This Row],[_LeafLateFinish]],WORKDAY.INTL(Tasks[[#This Row],[_LeafLateFinish]],-(Tasks[[#This Row],[_Days]]-1),WorkWeek,Holidays)))</f>
        <v/>
      </c>
      <c r="FD18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7" s="90" t="b">
        <f aca="false">AND(Tasks[[#This Row],[_IsLeaf]]=1,Tasks[[#This Row],[_LeafProgress]]&lt;1,N(Tasks[[#This Row],[_LeafTotalSlack]])&lt;=CriticalSlackDays)</f>
        <v>0</v>
      </c>
      <c r="FF187" s="43" t="n">
        <f aca="false">IF(AND(Tasks[[#This Row],[_IsLeaf]]=1,Tasks[[#This Row],[_ConstraintCode]]=1,Tasks[[#This Row],[Mode]]&lt;&gt;"Manual",N(Tasks[[#This Row],[Actual Start]])=0),MAX(0,N(Tasks[[#This Row],[Free Slack]])),0)</f>
        <v>0</v>
      </c>
      <c r="FG187" s="91" t="str">
        <f aca="false">IF(NOT(Tasks[[#This Row],[_IsLeaf]]=1),"",IF(Tasks[[#This Row],[_AlapShift]]=0,Tasks[[#This Row],[_LeafCalcStart]],WORKDAY.INTL(Tasks[[#This Row],[_LeafCalcStart]],Tasks[[#This Row],[_AlapShift]],WorkWeek,Holidays)))</f>
        <v/>
      </c>
      <c r="FH187" s="91" t="str">
        <f aca="false">IF(NOT(Tasks[[#This Row],[_IsLeaf]]=1),"",IF(Tasks[[#This Row],[_AlapShift]]=0,Tasks[[#This Row],[_LeafCalcFinish]],WORKDAY.INTL(Tasks[[#This Row],[_LeafCalcFinish]],Tasks[[#This Row],[_AlapShift]],WorkWeek,Holidays)))</f>
        <v/>
      </c>
      <c r="FI187" s="91" t="str">
        <f aca="false">IF(NOT(Tasks[[#This Row],[_IsLeaf]]=1),"",IF(Tasks[[#This Row],[_AlapShift]]=0,Tasks[[#This Row],[_LeafFcstStart]],WORKDAY.INTL(Tasks[[#This Row],[_LeafFcstStart]],Tasks[[#This Row],[_AlapShift]],WorkWeek,Holidays)))</f>
        <v/>
      </c>
      <c r="FJ187" s="91" t="str">
        <f aca="false">IF(NOT(Tasks[[#This Row],[_IsLeaf]]=1),"",IF(Tasks[[#This Row],[_AlapShift]]=0,Tasks[[#This Row],[_LeafFcstFinish]],WORKDAY.INTL(Tasks[[#This Row],[_LeafFcstFinish]],Tasks[[#This Row],[_AlapShift]],WorkWeek,Holidays)))</f>
        <v/>
      </c>
      <c r="FK187" s="91" t="str">
        <f aca="false">IF(Tasks[[#This Row],[Task Name]]="","",IF(Tasks[[#This Row],[_IsSummary]],MIN(INDEX(Tasks[_ShownCalcStart],Tasks[[#This Row],[_Row]]+1):INDEX(Tasks[_ShownCalcStart],Tasks[[#This Row],[_Row]]+Tasks[[#This Row],[_Descendants]])),Tasks[[#This Row],[_ShownCalcStart]]))</f>
        <v/>
      </c>
      <c r="FL187" s="91" t="str">
        <f aca="false">IF(Tasks[[#This Row],[Task Name]]="","",IF(Tasks[[#This Row],[_IsSummary]],MAX(INDEX(Tasks[_ShownCalcFinish],Tasks[[#This Row],[_Row]]+1):INDEX(Tasks[_ShownCalcFinish],Tasks[[#This Row],[_Row]]+Tasks[[#This Row],[_Descendants]])),Tasks[[#This Row],[_ShownCalcFinish]]))</f>
        <v/>
      </c>
      <c r="FM18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7" s="43" t="n">
        <f aca="false">IF(AND(Tasks[[#This Row],[_IsLeaf]]=1,Tasks[[#This Row],[_LeafTotalWork]]&gt;0),NETWORKDAYS.INTL(ProjectStart,Tasks[[#This Row],[_ShownFcstStart]],WorkWeek,Holidays),0)</f>
        <v>0</v>
      </c>
      <c r="FZ187" s="43" t="n">
        <f aca="false">IF(AND(Tasks[[#This Row],[_IsLeaf]]=1,Tasks[[#This Row],[_LeafTotalWork]]&gt;0),MAX(Tasks[[#This Row],[_StartWorkday]],NETWORKDAYS.INTL(ProjectStart,Tasks[[#This Row],[_ShownFcstFinish]],WorkWeek,Holidays)),0)</f>
        <v>0</v>
      </c>
      <c r="GA187" s="43" t="n">
        <f aca="false">IF(AND(Tasks[[#This Row],[_IsLeaf]]=1,Tasks[[#This Row],[_LeafTotalWork]]&gt;0),Tasks[[#This Row],[_LeafWork]]/(Tasks[[#This Row],[_FinishWorkday]]-Tasks[[#This Row],[_StartWorkday]]+1),0)</f>
        <v>0</v>
      </c>
      <c r="GB187" s="43" t="n">
        <f aca="false">Tasks[[#This Row],[_WorkPerWorkday]]*(Tasks[[#This Row],[_StartWorkday]]-1)</f>
        <v>-0</v>
      </c>
      <c r="GC187" s="43" t="n">
        <f aca="false">IF(Tasks[[#This Row],[_IsLeaf]]=1,MAX(N(Tasks[[#This Row],[_Days]]),0.1),0)</f>
        <v>0</v>
      </c>
      <c r="GD187" s="43" t="n">
        <f aca="false">Tasks[[#This Row],[_WeightDur]]*Tasks[[#This Row],[_LeafProgress]]</f>
        <v>0</v>
      </c>
      <c r="GE187" s="43" t="n">
        <f aca="false">Tasks[[#This Row],[_WeightDur]]*Tasks[[#This Row],[_PlannedPct]]</f>
        <v>0</v>
      </c>
      <c r="GF18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7" s="43" t="str">
        <f aca="false">IF(AND(Tasks[[#This Row],[_IsLeaf]]=1,N(Tasks[[#This Row],[_Days]])=0,Tasks[[#This Row],[_LeafProgress]]&lt;1),Tasks[[#This Row],[_ShownFcstFinish]]+Tasks[[#This Row],[_Row]]/100000,"")</f>
        <v/>
      </c>
      <c r="GH18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7" s="43" t="str">
        <f aca="false">IF(Tasks[[#This Row],[Task Name]]="","",LEFT(Tasks[[#This Row],[WBS]],FIND(".",Tasks[[#This Row],[WBS]]&amp;".")-1))</f>
        <v/>
      </c>
      <c r="GJ187" s="43" t="str">
        <f aca="false">IF(AND(Tasks[[#This Row],[Task Name]]&lt;&gt;"",Tasks[[#This Row],[_Level]]=1),Tasks[[#This Row],[_Row]],"")</f>
        <v/>
      </c>
      <c r="GK187" s="43" t="str">
        <f aca="false">IF(AND(Tasks[[#This Row],[_IsLeaf]]=1,N(Tasks[[#This Row],[_Days]])=0),Tasks[[#This Row],[Planned Finish]]+Tasks[[#This Row],[_Row]]/100000,"")</f>
        <v/>
      </c>
      <c r="GL187" s="43" t="str">
        <f aca="false">IF(AND(Tasks[[#This Row],[_IsLeaf]]=1,Tasks[[#This Row],[_LeafProgress]]&lt;1,OR(N(Tasks[[#This Row],[Finish Var]])&gt;0,Tasks[[#This Row],[Status]]="Late Start")),MAX(0,Tasks[[#This Row],[Finish Var]])+1-Tasks[[#This Row],[_Row]]/1000000,"")</f>
        <v/>
      </c>
      <c r="GM187" s="43" t="str">
        <f aca="false">IF(AND(Tasks[[#This Row],[_IsLeaf]]=1,N(Tasks[[#This Row],[Actual Start]])=0,Tasks[[#This Row],[_ShownFcstStart]]&gt;=StatusDate,Tasks[[#This Row],[_ShownFcstStart]]&lt;=LookaheadEnd),Tasks[[#This Row],[_ShownFcstStart]]+Tasks[[#This Row],[_Row]]/100000,"")</f>
        <v/>
      </c>
      <c r="GN187" s="43" t="str">
        <f aca="false">IF(AND(Tasks[[#This Row],[_IsLeaf]]=1,Tasks[[#This Row],[_LeafProgress]]&lt;1,Tasks[[#This Row],[_ShownFcstFinish]]&gt;=StatusDate,Tasks[[#This Row],[_ShownFcstFinish]]&lt;=LookaheadEnd),Tasks[[#This Row],[_ShownFcstFinish]]+Tasks[[#This Row],[_Row]]/100000,"")</f>
        <v/>
      </c>
      <c r="GO187" s="43" t="str">
        <f aca="false">IF(Tasks[[#This Row],[_LeafCritical]],Tasks[[#This Row],[_ShownFcstStart]]+Tasks[[#This Row],[_Row]]/100000,"")</f>
        <v/>
      </c>
      <c r="GP187" s="43" t="n">
        <f aca="false">Tasks[[#This Row],[_LeafWork]]*Tasks[[#This Row],[_LeafProgress]]</f>
        <v>0</v>
      </c>
      <c r="GQ187" s="91" t="str">
        <f aca="false">IF(AND(Tasks[[#This Row],[_IsLeaf]]=1,Tasks[[#This Row],[_LeafProgress]]&gt;=1),IF(N(Tasks[[#This Row],[Actual Finish]])&gt;0,Tasks[[#This Row],[Actual Finish]],Tasks[[#This Row],[_ShownFcstFinish]]),"")</f>
        <v/>
      </c>
      <c r="GR187" s="43" t="n">
        <f aca="false">IF(Tasks[[#This Row],[_IsLeaf]]=1,N(Tasks[[#This Row],[Story Points]]),0)</f>
        <v>0</v>
      </c>
      <c r="GS187" s="43" t="str">
        <f aca="false">""</f>
        <v/>
      </c>
      <c r="GT187" s="90" t="b">
        <f aca="false">IF(Tasks[[#This Row],[Task Name]]="",FALSE(),AND(Tasks[[#This Row],[_IsLeaf]]=1,N(Tasks[[#This Row],[_Days]])=0))</f>
        <v>0</v>
      </c>
      <c r="GU187" s="91" t="n">
        <f aca="false">IF(Tasks[[#This Row],[Task Name]]="",0,IF(AND(Tasks[[#This Row],[_IsLeaf]]=1,NOT(Tasks[[#This Row],[_IsMilestone]]),N(Tasks[[#This Row],[Progress]])&gt;0),Tasks[[#This Row],[Start]],0))</f>
        <v>0</v>
      </c>
      <c r="GV187" s="91" t="n">
        <f aca="false">IF(Tasks[[#This Row],[_DoneFrom]]=0,0,IF(Tasks[[#This Row],[Progress]]&gt;=1,Tasks[[#This Row],[Finish]],MAX(Tasks[[#This Row],[_DoneFrom]],Tasks[[#This Row],[Start]]+ROUND((Tasks[[#This Row],[Finish]]-Tasks[[#This Row],[Start]]+1)*Tasks[[#This Row],[Progress]],0)-1)))</f>
        <v>0</v>
      </c>
      <c r="GW187" s="91" t="n">
        <f aca="false">IF(Tasks[[#This Row],[Task Name]]="",0,IF(OR(NOT(Tasks[[#This Row],[_IsLeaf]]=1),Tasks[[#This Row],[_IsMilestone]],N(Tasks[[#This Row],[Progress]])&gt;=1),0,IF(Tasks[[#This Row],[_DoneTo]]&gt;0,Tasks[[#This Row],[_DoneTo]]+1,Tasks[[#This Row],[Start]])))</f>
        <v>0</v>
      </c>
      <c r="GX187" s="91" t="n">
        <f aca="false">IF(Tasks[[#This Row],[_RemFrom]]=0,0,Tasks[[#This Row],[Finish]])</f>
        <v>0</v>
      </c>
      <c r="GY187" s="90" t="b">
        <f aca="false">IF(Tasks[[#This Row],[Task Name]]="",FALSE(),OR(NOT(BaselineSet),N(Tasks[[#This Row],[Baseline Start]])&gt;0))</f>
        <v>0</v>
      </c>
      <c r="GZ18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7" s="92" t="str">
        <f aca="false">IF(Tasks[[#This Row],[_IsLeaf]]=1,Tasks[[#This Row],[_Row]],"")</f>
        <v/>
      </c>
      <c r="HD187" s="92" t="str">
        <f aca="false">IFERROR(INDEX(Tasks[UID],SMALL(Tasks[_PickKey],Tasks[[#This Row],[_Row]]))&amp;" "&amp;INDEX(Tasks[Task Name],SMALL(Tasks[_PickKey],Tasks[[#This Row],[_Row]])),"")</f>
        <v/>
      </c>
      <c r="HE187" s="43" t="str">
        <f aca="false">IF(Tasks[[#This Row],[Task Name]]="","",IF(Tasks[[#This Row],[_IsSummary]],NETWORKDAYS.INTL(Tasks[[#This Row],[Start]],Tasks[[#This Row],[Finish]],WorkWeek,Holidays),N(Tasks[[#This Row],[_Days]])))</f>
        <v/>
      </c>
      <c r="HF187" s="43" t="n">
        <f aca="false">IF(Tasks[[#This Row],[Expected]]="",0,((Tasks[[#This Row],[Pessimistic]]-Tasks[[#This Row],[Optimistic]])/6)^2)</f>
        <v>0</v>
      </c>
      <c r="HG187" s="43" t="n">
        <f aca="false">IF(Tasks[[#This Row],[Expected]]="",0,Tasks[[#This Row],[Expected]]-N(Tasks[[#This Row],[_Days]]))</f>
        <v>0</v>
      </c>
    </row>
    <row r="188" customFormat="false" ht="15" hidden="false" customHeight="false" outlineLevel="0" collapsed="false">
      <c r="A188" s="21" t="str">
        <f aca="false">IF(Tasks[[#This Row],[Task Name]]="","",COUNTA(Tasks[[#Headers],[Task Name]]:Tasks[[#This Row],[Task Name]])-1)</f>
        <v/>
      </c>
      <c r="B188" s="22" t="n">
        <v>196</v>
      </c>
      <c r="C188" s="22"/>
      <c r="D188" s="23"/>
      <c r="E188" s="22"/>
      <c r="F188" s="23"/>
      <c r="G188" s="22"/>
      <c r="H188" s="22"/>
      <c r="I188" s="23"/>
      <c r="J188" s="22"/>
      <c r="K188" s="22"/>
      <c r="L188" s="23"/>
      <c r="M188" s="22"/>
      <c r="N188" s="22"/>
      <c r="O188" s="23"/>
      <c r="P188" s="22"/>
      <c r="Q188" s="22"/>
      <c r="R188" s="23"/>
      <c r="S188" s="23"/>
      <c r="T188" s="84"/>
      <c r="U188" s="23"/>
      <c r="V188" s="84"/>
      <c r="W188" s="23"/>
      <c r="X188" s="84"/>
      <c r="Y188" s="23"/>
      <c r="Z188" s="84"/>
      <c r="AA188" s="23"/>
      <c r="AB188" s="23"/>
      <c r="AC188" s="7"/>
      <c r="AD188" s="7"/>
      <c r="AE188" s="63" t="str">
        <f aca="false">IF(Tasks[[#This Row],[Task Name]]="","",IF(Tasks[[#This Row],[_IsSummary]],MIN(INDEX(Tasks[_ShownFcstStart],Tasks[[#This Row],[_Row]]+1):INDEX(Tasks[_ShownFcstStart],Tasks[[#This Row],[_Row]]+Tasks[[#This Row],[_Descendants]])),Tasks[[#This Row],[_ShownFcstStart]]))</f>
        <v/>
      </c>
      <c r="AF188" s="63" t="str">
        <f aca="false">IF(Tasks[[#This Row],[Task Name]]="","",IF(Tasks[[#This Row],[_IsSummary]],MAX(INDEX(Tasks[_ShownFcstFinish],Tasks[[#This Row],[_Row]]+1):INDEX(Tasks[_ShownFcstFinish],Tasks[[#This Row],[_Row]]+Tasks[[#This Row],[_Descendants]])),Tasks[[#This Row],[_ShownFcstFinish]]))</f>
        <v/>
      </c>
      <c r="AG188" s="21" t="str">
        <f aca="false">""</f>
        <v/>
      </c>
      <c r="AH188" s="23"/>
      <c r="AI1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8" s="7"/>
      <c r="AK188" s="22"/>
      <c r="AL188" s="23"/>
      <c r="AM188" s="7"/>
      <c r="AN188" s="47" t="str">
        <f aca="false">IF(Tasks[[#This Row],[Task Name]]="","",IF(Tasks[[#This Row],[Finish]]&gt;=Tasks[[#This Row],[Planned Finish]],NETWORKDAYS.INTL(Tasks[[#This Row],[Planned Finish]],Tasks[[#This Row],[Finish]],WorkWeek,Holidays)-1,1-NETWORKDAYS.INTL(Tasks[[#This Row],[Finish]],Tasks[[#This Row],[Planned Finish]],WorkWeek,Holidays)))</f>
        <v/>
      </c>
      <c r="AO188" s="21" t="str">
        <f aca="false">IF(Tasks[[#This Row],[Task Name]]="","",IF(Tasks[[#This Row],[Progress]]&gt;=1,"Complete",IF(OR(N(Tasks[[#This Row],[Actual Start]])&gt;0,Tasks[[#This Row],[Progress]]&gt;0),IF(Tasks[[#This Row],[Finish Var]]&gt;0,"Behind","In Progress"),IF(Tasks[[#This Row],[Planned Start]]&lt;StatusDate,"Late Start","Not Started"))))</f>
        <v/>
      </c>
      <c r="AP188" s="21" t="str">
        <f aca="false">IF(Tasks[[#This Row],[Task Name]]="","",IF(IF(Tasks[[#This Row],[_IsSummary]],COUNTIF(INDEX(Tasks[_LeafCritical],Tasks[[#This Row],[_Row]]+1):INDEX(Tasks[_LeafCritical],Tasks[[#This Row],[_Row]]+Tasks[[#This Row],[_Descendants]]),TRUE())&gt;0,Tasks[[#This Row],[_LeafCritical]]),"Yes",""))</f>
        <v/>
      </c>
      <c r="AQ188" s="63" t="str">
        <f aca="false">IF(Tasks[[#This Row],[Task Name]]="","",IF(N(Tasks[[#This Row],[Baseline Start]])&gt;0,Tasks[[#This Row],[Baseline Start]],Tasks[[#This Row],[_CalcStart]]))</f>
        <v/>
      </c>
      <c r="AR188" s="63" t="str">
        <f aca="false">IF(Tasks[[#This Row],[Task Name]]="","",IF(N(Tasks[[#This Row],[Baseline Finish]])&gt;0,Tasks[[#This Row],[Baseline Finish]],Tasks[[#This Row],[_CalcFinish]]))</f>
        <v/>
      </c>
      <c r="AS188" s="47" t="str">
        <f aca="false">IF(Tasks[[#This Row],[Task Name]]="","",IF(Tasks[[#This Row],[Start]]&gt;=Tasks[[#This Row],[Planned Start]],NETWORKDAYS.INTL(Tasks[[#This Row],[Planned Start]],Tasks[[#This Row],[Start]],WorkWeek,Holidays)-1,1-NETWORKDAYS.INTL(Tasks[[#This Row],[Start]],Tasks[[#This Row],[Planned Start]],WorkWeek,Holidays)))</f>
        <v/>
      </c>
      <c r="AT188" s="63" t="str">
        <f aca="false">IF(Tasks[[#This Row],[Task Name]]="","",IF(Tasks[[#This Row],[_IsSummary]],MIN(INDEX(Tasks[_LeafLateStart],Tasks[[#This Row],[_Row]]+1):INDEX(Tasks[_LeafLateStart],Tasks[[#This Row],[_Row]]+Tasks[[#This Row],[_Descendants]])),Tasks[[#This Row],[_LeafLateStart]]))</f>
        <v/>
      </c>
      <c r="AU188" s="63" t="str">
        <f aca="false">IF(Tasks[[#This Row],[Task Name]]="","",IF(Tasks[[#This Row],[_IsSummary]],MAX(INDEX(Tasks[_LeafLateFinish],Tasks[[#This Row],[_Row]]+1):INDEX(Tasks[_LeafLateFinish],Tasks[[#This Row],[_Row]]+Tasks[[#This Row],[_Descendants]])),Tasks[[#This Row],[_LeafLateFinish]]))</f>
        <v/>
      </c>
      <c r="AV188" s="47" t="str">
        <f aca="false">IF(Tasks[[#This Row],[Task Name]]="","",IF(Tasks[[#This Row],[_IsSummary]],MIN(INDEX(Tasks[_LeafTotalSlack],Tasks[[#This Row],[_Row]]+1):INDEX(Tasks[_LeafTotalSlack],Tasks[[#This Row],[_Row]]+Tasks[[#This Row],[_Descendants]])),Tasks[[#This Row],[_LeafTotalSlack]]))</f>
        <v/>
      </c>
      <c r="AW1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5"/>
      <c r="BA18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1" t="str">
        <f aca="false">IF(Tasks[[#This Row],[Task Name]]="","",IF(Tasks[[#This Row],[_Level]]&lt;=OutlineShowLevel,"Yes","No"))</f>
        <v/>
      </c>
      <c r="BE188" s="86" t="str">
        <f aca="false">IF(Tasks[[#This Row],[Task Name]]="","",IF(Tasks[[#This Row],[_IsSummary]],SUM(INDEX(Tasks[_LeafTotalWork],Tasks[[#This Row],[_Row]]+1):INDEX(Tasks[_LeafTotalWork],Tasks[[#This Row],[_Row]]+Tasks[[#This Row],[_Descendants]])),Tasks[[#This Row],[_LeafTotalWork]]))</f>
        <v/>
      </c>
      <c r="BF188" s="23"/>
      <c r="BG1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8" s="21" t="str">
        <f aca="false">""</f>
        <v/>
      </c>
      <c r="BI188" s="87"/>
      <c r="BJ188" s="22"/>
      <c r="BK188" s="47" t="str">
        <f aca="false">IF(OR(Tasks[[#This Row],[Task Name]]="",Tasks[[#This Row],[Baseline Duration]]=""),"",Tasks[[#This Row],[_SpanDays]]-N(Tasks[[#This Row],[Baseline Duration]]))</f>
        <v/>
      </c>
      <c r="BL188" s="86" t="str">
        <f aca="false">IF(OR(Tasks[[#This Row],[Task Name]]="",Tasks[[#This Row],[Baseline Work]]=""),"",Tasks[[#This Row],[Work]]-N(Tasks[[#This Row],[Baseline Work]]))</f>
        <v/>
      </c>
      <c r="BM188" s="63" t="str">
        <f aca="false">IF(Tasks[[#This Row],[Task Name]]="","",IF(OR(TakeBaseline="Yes",N(Tasks[[#This Row],[Baseline Start]])=0),Tasks[[#This Row],[Start]],Tasks[[#This Row],[Baseline Start]]))</f>
        <v/>
      </c>
      <c r="BN188" s="63" t="str">
        <f aca="false">IF(Tasks[[#This Row],[Task Name]]="","",IF(OR(TakeBaseline="Yes",N(Tasks[[#This Row],[Baseline Finish]])=0),Tasks[[#This Row],[Finish]],Tasks[[#This Row],[Baseline Finish]]))</f>
        <v/>
      </c>
      <c r="BO188" s="21" t="str">
        <f aca="false">IF(Tasks[[#This Row],[Task Name]]="","",IF(OR(TakeBaseline="Yes",N(Tasks[[#This Row],[Baseline Duration]])=0),Tasks[[#This Row],[_SpanDays]],Tasks[[#This Row],[Baseline Duration]]))</f>
        <v/>
      </c>
      <c r="BP188" s="86" t="str">
        <f aca="false">IF(Tasks[[#This Row],[Task Name]]="","",IF(OR(TakeBaseline="Yes",N(Tasks[[#This Row],[Baseline Work]])=0),Tasks[[#This Row],[Work]],Tasks[[#This Row],[Baseline Work]]))</f>
        <v/>
      </c>
      <c r="BQ188" s="7"/>
      <c r="BR188" s="7"/>
      <c r="BS188" s="22"/>
      <c r="BT188" s="88"/>
      <c r="BU188" s="23"/>
      <c r="BV188" s="23"/>
      <c r="BW188" s="23"/>
      <c r="BX188" s="89" t="str">
        <f aca="false">IF(AND(Tasks[[#This Row],[_IsLeaf]]=1,ISNUMBER(Tasks[[#This Row],[Optimistic]]),ISNUMBER(Tasks[[#This Row],[Pessimistic]])),ROUND((Tasks[[#This Row],[Optimistic]]+4*N(Tasks[[#This Row],[_Days]])+Tasks[[#This Row],[Pessimistic]])/6,1),"")</f>
        <v/>
      </c>
      <c r="BY188" s="87"/>
      <c r="BZ188" s="87"/>
      <c r="CA188" s="22"/>
      <c r="CB188" s="43" t="str">
        <f aca="false">IF(Tasks[[#This Row],[Task Name]]="","",MAX(1,N(Tasks[[#This Row],[Level]])))</f>
        <v/>
      </c>
      <c r="CC188" s="43" t="n">
        <f aca="false">ROW()-ROW(Tasks[[#Headers],[ID]])</f>
        <v>183</v>
      </c>
      <c r="CD188" s="43" t="n">
        <f aca="false">IF(OR(Tasks[[#This Row],[Task Name]]="",Tasks[[#This Row],[_Level]]&lt;=1),0,IFERROR(LOOKUP(2,1/(Tasks[[#Headers],[_Level]]:Tasks[[#This Row],[_Level]]=Tasks[[#This Row],[_Level]]-1),ROW(Tasks[[#Headers],[_Level]]:Tasks[[#This Row],[_Level]])),0))</f>
        <v>0</v>
      </c>
      <c r="CE188" s="43" t="n">
        <f aca="false">IFERROR(N(INDEX(Tasks[_Level],Tasks[[#This Row],[_Row]]+1)),0)</f>
        <v>0</v>
      </c>
      <c r="CF188" s="90" t="b">
        <f aca="false">AND(Tasks[[#This Row],[Task Name]]&lt;&gt;"",Tasks[[#This Row],[_NextLevel]]&gt;Tasks[[#This Row],[_Level]])</f>
        <v>0</v>
      </c>
      <c r="CG188" s="43" t="n">
        <f aca="false">IF(Tasks[[#This Row],[_IsSummary]],COUNTIF(Tasks[WBS],Tasks[[#This Row],[WBS]]&amp;".*"),0)</f>
        <v>0</v>
      </c>
      <c r="CH188" s="43" t="n">
        <f aca="false">IF(AND(Tasks[[#This Row],[Task Name]]&lt;&gt;"",NOT(Tasks[[#This Row],[_IsSummary]])),1,0)</f>
        <v>0</v>
      </c>
      <c r="CI188" s="43" t="n">
        <f aca="false">IF(N(Tasks[[#This Row],[_Pred1UID]])=0,0,IFERROR(MATCH(Tasks[[#This Row],[_Pred1UID]],Tasks[UID],0),-1))</f>
        <v>0</v>
      </c>
      <c r="CJ188" s="43" t="n">
        <f aca="false">IF(N(Tasks[[#This Row],[_Pred2UID]])=0,0,IFERROR(MATCH(Tasks[[#This Row],[_Pred2UID]],Tasks[UID],0),-1))</f>
        <v>0</v>
      </c>
      <c r="CK188" s="43" t="n">
        <f aca="false">IF(N(Tasks[[#This Row],[_Pred3UID]])=0,0,IFERROR(MATCH(Tasks[[#This Row],[_Pred3UID]],Tasks[UID],0),-1))</f>
        <v>0</v>
      </c>
      <c r="CL188" s="43" t="n">
        <f aca="false">IF(N(Tasks[[#This Row],[_Pred4UID]])=0,0,IFERROR(MATCH(Tasks[[#This Row],[_Pred4UID]],Tasks[UID],0),-1))</f>
        <v>0</v>
      </c>
      <c r="CM18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8" s="91" t="n">
        <f aca="false">IF(OR(Tasks[[#This Row],[_ConstraintCode]]=2,Tasks[[#This Row],[_ConstraintCode]]=3,Tasks[[#This Row],[_ConstraintCode]]=4,Tasks[[#This Row],[_ConstraintCode]]=6),Tasks[[#This Row],[_ConstraintStart]],0)</f>
        <v>0</v>
      </c>
      <c r="CP188" s="91" t="n">
        <f aca="false">IF(OR(Tasks[[#This Row],[_ConstraintCode]]=2,Tasks[[#This Row],[_ConstraintCode]]=3,Tasks[[#This Row],[_ConstraintCode]]=5,Tasks[[#This Row],[_ConstraintCode]]=7),Tasks[[#This Row],[_ConstraintStart]],2958465)</f>
        <v>2958465</v>
      </c>
      <c r="CQ18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8" s="91" t="str">
        <f aca="false">IF(NOT(Tasks[[#This Row],[_IsLeaf]]=1),"",IF(N(Tasks[[#This Row],[_Days]])&lt;=0,Tasks[[#This Row],[_LeafCalcStart]],WORKDAY.INTL(Tasks[[#This Row],[_LeafCalcStart]],Tasks[[#This Row],[_Days]]-1,WorkWeek,Holidays)))</f>
        <v/>
      </c>
      <c r="CS18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8" s="43" t="str">
        <f aca="false">IF(Tasks[[#This Row],[_Predecessors]]="","",TRIM(MID(SUBSTITUTE(SUBSTITUTE(SUBSTITUTE(UPPER(Tasks[[#This Row],[_Predecessors]]),";",",")," ",""),",",REPT(" ",99)),1,99)))</f>
        <v/>
      </c>
      <c r="CV188" s="43" t="str">
        <f aca="false">IF(Tasks[[#This Row],[_Pred1Text]]="","",IFERROR(VALUE(LEFT(Tasks[[#This Row],[_Pred1Text]],MIN(FIND("F",Tasks[[#This Row],[_Pred1Text]]&amp;"F"),FIND("S",Tasks[[#This Row],[_Pred1Text]]&amp;"S"),FIND("+",Tasks[[#This Row],[_Pred1Text]]&amp;"+"),FIND("-",Tasks[[#This Row],[_Pred1Text]]&amp;"-"))-1)),""))</f>
        <v/>
      </c>
      <c r="CW18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8" s="43" t="str">
        <f aca="false">IF(Tasks[[#This Row],[_Pred1Text]]="","",TRIM(MID(SUBSTITUTE(SUBSTITUTE(SUBSTITUTE(UPPER(Tasks[[#This Row],[_Predecessors]]),";",",")," ",""),",",REPT(" ",99)),100,99)))</f>
        <v/>
      </c>
      <c r="CZ188" s="43" t="str">
        <f aca="false">IF(Tasks[[#This Row],[_Pred2Text]]="","",IFERROR(VALUE(LEFT(Tasks[[#This Row],[_Pred2Text]],MIN(FIND("F",Tasks[[#This Row],[_Pred2Text]]&amp;"F"),FIND("S",Tasks[[#This Row],[_Pred2Text]]&amp;"S"),FIND("+",Tasks[[#This Row],[_Pred2Text]]&amp;"+"),FIND("-",Tasks[[#This Row],[_Pred2Text]]&amp;"-"))-1)),""))</f>
        <v/>
      </c>
      <c r="DA18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8" s="43" t="str">
        <f aca="false">IF(Tasks[[#This Row],[_Pred2Text]]="","",TRIM(MID(SUBSTITUTE(SUBSTITUTE(SUBSTITUTE(UPPER(Tasks[[#This Row],[_Predecessors]]),";",",")," ",""),",",REPT(" ",99)),199,99)))</f>
        <v/>
      </c>
      <c r="DD188" s="43" t="str">
        <f aca="false">IF(Tasks[[#This Row],[_Pred3Text]]="","",IFERROR(VALUE(LEFT(Tasks[[#This Row],[_Pred3Text]],MIN(FIND("F",Tasks[[#This Row],[_Pred3Text]]&amp;"F"),FIND("S",Tasks[[#This Row],[_Pred3Text]]&amp;"S"),FIND("+",Tasks[[#This Row],[_Pred3Text]]&amp;"+"),FIND("-",Tasks[[#This Row],[_Pred3Text]]&amp;"-"))-1)),""))</f>
        <v/>
      </c>
      <c r="DE18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8" s="43" t="str">
        <f aca="false">IF(Tasks[[#This Row],[_Pred3Text]]="","",TRIM(MID(SUBSTITUTE(SUBSTITUTE(SUBSTITUTE(UPPER(Tasks[[#This Row],[_Predecessors]]),";",",")," ",""),",",REPT(" ",99)),298,99)))</f>
        <v/>
      </c>
      <c r="DH188" s="43" t="str">
        <f aca="false">IF(Tasks[[#This Row],[_Pred4Text]]="","",IFERROR(VALUE(LEFT(Tasks[[#This Row],[_Pred4Text]],MIN(FIND("F",Tasks[[#This Row],[_Pred4Text]]&amp;"F"),FIND("S",Tasks[[#This Row],[_Pred4Text]]&amp;"S"),FIND("+",Tasks[[#This Row],[_Pred4Text]]&amp;"+"),FIND("-",Tasks[[#This Row],[_Pred4Text]]&amp;"-"))-1)),""))</f>
        <v/>
      </c>
      <c r="DI18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8" s="43" t="str">
        <f aca="false">IF(OR(Tasks[[#This Row],[Task Name]]="",Tasks[[#This Row],[_Resources]]=""),"",TRIM(MID(SUBSTITUTE(Tasks[[#This Row],[_Resources]],",",REPT(" ",99)),1,99)))</f>
        <v/>
      </c>
      <c r="DL188" s="43" t="str">
        <f aca="false">IF(Tasks[[#This Row],[_Res1Text]]="","",TRIM(MID(SUBSTITUTE(Tasks[[#This Row],[_Resources]],",",REPT(" ",99)),100,99)))</f>
        <v/>
      </c>
      <c r="DM188" s="43" t="str">
        <f aca="false">IF(Tasks[[#This Row],[_Res2Text]]="","",TRIM(MID(SUBSTITUTE(Tasks[[#This Row],[_Resources]],",",REPT(" ",99)),199,99)))</f>
        <v/>
      </c>
      <c r="DN188" s="43" t="str">
        <f aca="false">IF(Tasks[[#This Row],[_Res3Text]]="","",TRIM(MID(SUBSTITUTE(Tasks[[#This Row],[_Resources]],",",REPT(" ",99)),298,99)))</f>
        <v/>
      </c>
      <c r="DO188" s="43" t="n">
        <f aca="false">IF(Tasks[[#This Row],[_Res1Text]]="",0,IFERROR(MATCH(TRIM(LEFT(Tasks[[#This Row],[_Res1Text]],FIND("[",Tasks[[#This Row],[_Res1Text]]&amp;"[")-1)),res_Name,0),IFERROR(MATCH(TRIM(LEFT(Tasks[[#This Row],[_Res1Text]],FIND("[",Tasks[[#This Row],[_Res1Text]]&amp;"[")-1)),res_Initials,0),0)))</f>
        <v>0</v>
      </c>
      <c r="DP188" s="43" t="n">
        <f aca="false">IF(Tasks[[#This Row],[_Res2Text]]="",0,IFERROR(MATCH(TRIM(LEFT(Tasks[[#This Row],[_Res2Text]],FIND("[",Tasks[[#This Row],[_Res2Text]]&amp;"[")-1)),res_Name,0),IFERROR(MATCH(TRIM(LEFT(Tasks[[#This Row],[_Res2Text]],FIND("[",Tasks[[#This Row],[_Res2Text]]&amp;"[")-1)),res_Initials,0),0)))</f>
        <v>0</v>
      </c>
      <c r="DQ188" s="43" t="n">
        <f aca="false">IF(Tasks[[#This Row],[_Res3Text]]="",0,IFERROR(MATCH(TRIM(LEFT(Tasks[[#This Row],[_Res3Text]],FIND("[",Tasks[[#This Row],[_Res3Text]]&amp;"[")-1)),res_Name,0),IFERROR(MATCH(TRIM(LEFT(Tasks[[#This Row],[_Res3Text]],FIND("[",Tasks[[#This Row],[_Res3Text]]&amp;"[")-1)),res_Initials,0),0)))</f>
        <v>0</v>
      </c>
      <c r="DR188" s="43" t="n">
        <f aca="false">IF(Tasks[[#This Row],[_Res4Text]]="",0,IFERROR(MATCH(TRIM(LEFT(Tasks[[#This Row],[_Res4Text]],FIND("[",Tasks[[#This Row],[_Res4Text]]&amp;"[")-1)),res_Name,0),IFERROR(MATCH(TRIM(LEFT(Tasks[[#This Row],[_Res4Text]],FIND("[",Tasks[[#This Row],[_Res4Text]]&amp;"[")-1)),res_Initials,0),0)))</f>
        <v>0</v>
      </c>
      <c r="DS188" s="43" t="str">
        <f aca="false">IF(Tasks[[#This Row],[_Res1Text]]="","",IF(Tasks[[#This Row],[_Res1Row]]&gt;0,INDEX(res_Name,Tasks[[#This Row],[_Res1Row]]),TRIM(LEFT(Tasks[[#This Row],[_Res1Text]],FIND("[",Tasks[[#This Row],[_Res1Text]]&amp;"[")-1))))</f>
        <v/>
      </c>
      <c r="DT18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8" s="43" t="n">
        <f aca="false">IF(NOT(Tasks[[#This Row],[_IsLeaf]]=1),0,(Tasks[[#This Row],[_Resource1]]&lt;&gt;"")+(Tasks[[#This Row],[_Res2]]&lt;&gt;"")+(Tasks[[#This Row],[_Res3]]&lt;&gt;"")+(Tasks[[#This Row],[_Res4]]&lt;&gt;""))</f>
        <v>0</v>
      </c>
      <c r="DV188" s="43" t="str">
        <f aca="false">IF(Tasks[[#This Row],[_Res2Text]]="","",IF(Tasks[[#This Row],[_Res2Row]]&gt;0,INDEX(res_Name,Tasks[[#This Row],[_Res2Row]]),TRIM(LEFT(Tasks[[#This Row],[_Res2Text]],FIND("[",Tasks[[#This Row],[_Res2Text]]&amp;"[")-1))))</f>
        <v/>
      </c>
      <c r="DW18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8" s="43" t="n">
        <f aca="false">IF(OR(NOT(Tasks[[#This Row],[_IsLeaf]]=1),Tasks[[#This Row],[_Res2Row]]=0),0,N(Tasks[[#This Row],[_Days]])*HoursPerDay*IF(Tasks[[#This Row],[_Res2Units]]="",DefaultUnits,Tasks[[#This Row],[_Res2Units]]))</f>
        <v>0</v>
      </c>
      <c r="DY188" s="43" t="n">
        <f aca="false">IF(AND(AND(Tasks[[#This Row],[_IsLeaf]]=1,Tasks[[#This Row],[_LeafTotalWork]]&gt;0),Tasks[[#This Row],[_Res2Work]]&gt;0),Tasks[[#This Row],[_Res2Work]]/(Tasks[[#This Row],[_FinishWorkday]]-Tasks[[#This Row],[_StartWorkday]]+1),0)</f>
        <v>0</v>
      </c>
      <c r="DZ188" s="43" t="n">
        <f aca="false">Tasks[[#This Row],[_Res2WorkPerWD]]*MAX(0,Tasks[[#This Row],[_StartWorkday]]-1)</f>
        <v>0</v>
      </c>
      <c r="EA188" s="43" t="n">
        <f aca="false">Tasks[[#This Row],[_Res2Work]]*Tasks[[#This Row],[_LeafProgress]]</f>
        <v>0</v>
      </c>
      <c r="EB188" s="43" t="str">
        <f aca="false">IF(Tasks[[#This Row],[_Res3Text]]="","",IF(Tasks[[#This Row],[_Res3Row]]&gt;0,INDEX(res_Name,Tasks[[#This Row],[_Res3Row]]),TRIM(LEFT(Tasks[[#This Row],[_Res3Text]],FIND("[",Tasks[[#This Row],[_Res3Text]]&amp;"[")-1))))</f>
        <v/>
      </c>
      <c r="EC18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8" s="43" t="n">
        <f aca="false">IF(OR(NOT(Tasks[[#This Row],[_IsLeaf]]=1),Tasks[[#This Row],[_Res3Row]]=0),0,N(Tasks[[#This Row],[_Days]])*HoursPerDay*IF(Tasks[[#This Row],[_Res3Units]]="",DefaultUnits,Tasks[[#This Row],[_Res3Units]]))</f>
        <v>0</v>
      </c>
      <c r="EE188" s="43" t="n">
        <f aca="false">IF(AND(AND(Tasks[[#This Row],[_IsLeaf]]=1,Tasks[[#This Row],[_LeafTotalWork]]&gt;0),Tasks[[#This Row],[_Res3Work]]&gt;0),Tasks[[#This Row],[_Res3Work]]/(Tasks[[#This Row],[_FinishWorkday]]-Tasks[[#This Row],[_StartWorkday]]+1),0)</f>
        <v>0</v>
      </c>
      <c r="EF188" s="43" t="n">
        <f aca="false">Tasks[[#This Row],[_Res3WorkPerWD]]*MAX(0,Tasks[[#This Row],[_StartWorkday]]-1)</f>
        <v>0</v>
      </c>
      <c r="EG188" s="43" t="n">
        <f aca="false">Tasks[[#This Row],[_Res3Work]]*Tasks[[#This Row],[_LeafProgress]]</f>
        <v>0</v>
      </c>
      <c r="EH188" s="43" t="str">
        <f aca="false">IF(Tasks[[#This Row],[_Res4Text]]="","",IF(Tasks[[#This Row],[_Res4Row]]&gt;0,INDEX(res_Name,Tasks[[#This Row],[_Res4Row]]),TRIM(LEFT(Tasks[[#This Row],[_Res4Text]],FIND("[",Tasks[[#This Row],[_Res4Text]]&amp;"[")-1))))</f>
        <v/>
      </c>
      <c r="EI18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8" s="43" t="n">
        <f aca="false">IF(OR(NOT(Tasks[[#This Row],[_IsLeaf]]=1),Tasks[[#This Row],[_Res4Row]]=0),0,N(Tasks[[#This Row],[_Days]])*HoursPerDay*IF(Tasks[[#This Row],[_Res4Units]]="",DefaultUnits,Tasks[[#This Row],[_Res4Units]]))</f>
        <v>0</v>
      </c>
      <c r="EK188" s="43" t="n">
        <f aca="false">IF(AND(AND(Tasks[[#This Row],[_IsLeaf]]=1,Tasks[[#This Row],[_LeafTotalWork]]&gt;0),Tasks[[#This Row],[_Res4Work]]&gt;0),Tasks[[#This Row],[_Res4Work]]/(Tasks[[#This Row],[_FinishWorkday]]-Tasks[[#This Row],[_StartWorkday]]+1),0)</f>
        <v>0</v>
      </c>
      <c r="EL188" s="43" t="n">
        <f aca="false">Tasks[[#This Row],[_Res4WorkPerWD]]*MAX(0,Tasks[[#This Row],[_StartWorkday]]-1)</f>
        <v>0</v>
      </c>
      <c r="EM188" s="43" t="n">
        <f aca="false">Tasks[[#This Row],[_Res4Work]]*Tasks[[#This Row],[_LeafProgress]]</f>
        <v>0</v>
      </c>
      <c r="EN188" s="43" t="n">
        <f aca="false">IF(ISNUMBER(Tasks[[#This Row],[% Complete]]),Tasks[[#This Row],[% Complete]],IF(Tasks[[#This Row],[Stage]]="",0,IFERROR(INDEX(stg_Pct,MATCH(Tasks[[#This Row],[Stage]],stg_Name,0)),0)))</f>
        <v>0</v>
      </c>
      <c r="EO188" s="43" t="n">
        <f aca="false">IF(NOT(Tasks[[#This Row],[_IsLeaf]]=1),0,IF(N(Tasks[[#This Row],[Actual Finish]])&gt;0,1,MIN(1,Tasks[[#This Row],[_Pct]])))</f>
        <v>0</v>
      </c>
      <c r="EP188" s="43" t="n">
        <f aca="false">IF(OR(NOT(Tasks[[#This Row],[_IsLeaf]]=1),Tasks[[#This Row],[_Res1Row]]=0),0,N(Tasks[[#This Row],[_Days]])*HoursPerDay*IF(Tasks[[#This Row],[_Units1]]="",DefaultUnits,Tasks[[#This Row],[_Units1]]))</f>
        <v>0</v>
      </c>
      <c r="EQ188" s="43" t="n">
        <f aca="false">Tasks[[#This Row],[_LeafWork]]+Tasks[[#This Row],[_Res2Work]]+Tasks[[#This Row],[_Res3Work]]+Tasks[[#This Row],[_Res4Work]]</f>
        <v>0</v>
      </c>
      <c r="ER18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8" s="43" t="n">
        <f aca="false">IF(NOT(Tasks[[#This Row],[_IsLeaf]]=1),0,MAX(_xlfn.MAXIFS(Tasks[_Row],Tasks[_Pred1UID],Tasks[[#This Row],[UID]]),_xlfn.MAXIFS(Tasks[_Row],Tasks[_Pred2UID],Tasks[[#This Row],[UID]]),_xlfn.MAXIFS(Tasks[_Row],Tasks[_Pred3UID],Tasks[[#This Row],[UID]]),_xlfn.MAXIFS(Tasks[_Row],Tasks[_Pred4UID],Tasks[[#This Row],[UID]])))</f>
        <v>0</v>
      </c>
      <c r="FA18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8" s="91" t="str">
        <f aca="false">IF(NOT(Tasks[[#This Row],[_IsLeaf]]=1),"",IF(N(Tasks[[#This Row],[_Days]])&lt;=0,Tasks[[#This Row],[_LeafLateFinish]],WORKDAY.INTL(Tasks[[#This Row],[_LeafLateFinish]],-(Tasks[[#This Row],[_Days]]-1),WorkWeek,Holidays)))</f>
        <v/>
      </c>
      <c r="FD18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8" s="90" t="b">
        <f aca="false">AND(Tasks[[#This Row],[_IsLeaf]]=1,Tasks[[#This Row],[_LeafProgress]]&lt;1,N(Tasks[[#This Row],[_LeafTotalSlack]])&lt;=CriticalSlackDays)</f>
        <v>0</v>
      </c>
      <c r="FF188" s="43" t="n">
        <f aca="false">IF(AND(Tasks[[#This Row],[_IsLeaf]]=1,Tasks[[#This Row],[_ConstraintCode]]=1,Tasks[[#This Row],[Mode]]&lt;&gt;"Manual",N(Tasks[[#This Row],[Actual Start]])=0),MAX(0,N(Tasks[[#This Row],[Free Slack]])),0)</f>
        <v>0</v>
      </c>
      <c r="FG188" s="91" t="str">
        <f aca="false">IF(NOT(Tasks[[#This Row],[_IsLeaf]]=1),"",IF(Tasks[[#This Row],[_AlapShift]]=0,Tasks[[#This Row],[_LeafCalcStart]],WORKDAY.INTL(Tasks[[#This Row],[_LeafCalcStart]],Tasks[[#This Row],[_AlapShift]],WorkWeek,Holidays)))</f>
        <v/>
      </c>
      <c r="FH188" s="91" t="str">
        <f aca="false">IF(NOT(Tasks[[#This Row],[_IsLeaf]]=1),"",IF(Tasks[[#This Row],[_AlapShift]]=0,Tasks[[#This Row],[_LeafCalcFinish]],WORKDAY.INTL(Tasks[[#This Row],[_LeafCalcFinish]],Tasks[[#This Row],[_AlapShift]],WorkWeek,Holidays)))</f>
        <v/>
      </c>
      <c r="FI188" s="91" t="str">
        <f aca="false">IF(NOT(Tasks[[#This Row],[_IsLeaf]]=1),"",IF(Tasks[[#This Row],[_AlapShift]]=0,Tasks[[#This Row],[_LeafFcstStart]],WORKDAY.INTL(Tasks[[#This Row],[_LeafFcstStart]],Tasks[[#This Row],[_AlapShift]],WorkWeek,Holidays)))</f>
        <v/>
      </c>
      <c r="FJ188" s="91" t="str">
        <f aca="false">IF(NOT(Tasks[[#This Row],[_IsLeaf]]=1),"",IF(Tasks[[#This Row],[_AlapShift]]=0,Tasks[[#This Row],[_LeafFcstFinish]],WORKDAY.INTL(Tasks[[#This Row],[_LeafFcstFinish]],Tasks[[#This Row],[_AlapShift]],WorkWeek,Holidays)))</f>
        <v/>
      </c>
      <c r="FK188" s="91" t="str">
        <f aca="false">IF(Tasks[[#This Row],[Task Name]]="","",IF(Tasks[[#This Row],[_IsSummary]],MIN(INDEX(Tasks[_ShownCalcStart],Tasks[[#This Row],[_Row]]+1):INDEX(Tasks[_ShownCalcStart],Tasks[[#This Row],[_Row]]+Tasks[[#This Row],[_Descendants]])),Tasks[[#This Row],[_ShownCalcStart]]))</f>
        <v/>
      </c>
      <c r="FL188" s="91" t="str">
        <f aca="false">IF(Tasks[[#This Row],[Task Name]]="","",IF(Tasks[[#This Row],[_IsSummary]],MAX(INDEX(Tasks[_ShownCalcFinish],Tasks[[#This Row],[_Row]]+1):INDEX(Tasks[_ShownCalcFinish],Tasks[[#This Row],[_Row]]+Tasks[[#This Row],[_Descendants]])),Tasks[[#This Row],[_ShownCalcFinish]]))</f>
        <v/>
      </c>
      <c r="FM18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8" s="43" t="n">
        <f aca="false">IF(AND(Tasks[[#This Row],[_IsLeaf]]=1,Tasks[[#This Row],[_LeafTotalWork]]&gt;0),NETWORKDAYS.INTL(ProjectStart,Tasks[[#This Row],[_ShownFcstStart]],WorkWeek,Holidays),0)</f>
        <v>0</v>
      </c>
      <c r="FZ188" s="43" t="n">
        <f aca="false">IF(AND(Tasks[[#This Row],[_IsLeaf]]=1,Tasks[[#This Row],[_LeafTotalWork]]&gt;0),MAX(Tasks[[#This Row],[_StartWorkday]],NETWORKDAYS.INTL(ProjectStart,Tasks[[#This Row],[_ShownFcstFinish]],WorkWeek,Holidays)),0)</f>
        <v>0</v>
      </c>
      <c r="GA188" s="43" t="n">
        <f aca="false">IF(AND(Tasks[[#This Row],[_IsLeaf]]=1,Tasks[[#This Row],[_LeafTotalWork]]&gt;0),Tasks[[#This Row],[_LeafWork]]/(Tasks[[#This Row],[_FinishWorkday]]-Tasks[[#This Row],[_StartWorkday]]+1),0)</f>
        <v>0</v>
      </c>
      <c r="GB188" s="43" t="n">
        <f aca="false">Tasks[[#This Row],[_WorkPerWorkday]]*(Tasks[[#This Row],[_StartWorkday]]-1)</f>
        <v>-0</v>
      </c>
      <c r="GC188" s="43" t="n">
        <f aca="false">IF(Tasks[[#This Row],[_IsLeaf]]=1,MAX(N(Tasks[[#This Row],[_Days]]),0.1),0)</f>
        <v>0</v>
      </c>
      <c r="GD188" s="43" t="n">
        <f aca="false">Tasks[[#This Row],[_WeightDur]]*Tasks[[#This Row],[_LeafProgress]]</f>
        <v>0</v>
      </c>
      <c r="GE188" s="43" t="n">
        <f aca="false">Tasks[[#This Row],[_WeightDur]]*Tasks[[#This Row],[_PlannedPct]]</f>
        <v>0</v>
      </c>
      <c r="GF18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8" s="43" t="str">
        <f aca="false">IF(AND(Tasks[[#This Row],[_IsLeaf]]=1,N(Tasks[[#This Row],[_Days]])=0,Tasks[[#This Row],[_LeafProgress]]&lt;1),Tasks[[#This Row],[_ShownFcstFinish]]+Tasks[[#This Row],[_Row]]/100000,"")</f>
        <v/>
      </c>
      <c r="GH18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8" s="43" t="str">
        <f aca="false">IF(Tasks[[#This Row],[Task Name]]="","",LEFT(Tasks[[#This Row],[WBS]],FIND(".",Tasks[[#This Row],[WBS]]&amp;".")-1))</f>
        <v/>
      </c>
      <c r="GJ188" s="43" t="str">
        <f aca="false">IF(AND(Tasks[[#This Row],[Task Name]]&lt;&gt;"",Tasks[[#This Row],[_Level]]=1),Tasks[[#This Row],[_Row]],"")</f>
        <v/>
      </c>
      <c r="GK188" s="43" t="str">
        <f aca="false">IF(AND(Tasks[[#This Row],[_IsLeaf]]=1,N(Tasks[[#This Row],[_Days]])=0),Tasks[[#This Row],[Planned Finish]]+Tasks[[#This Row],[_Row]]/100000,"")</f>
        <v/>
      </c>
      <c r="GL188" s="43" t="str">
        <f aca="false">IF(AND(Tasks[[#This Row],[_IsLeaf]]=1,Tasks[[#This Row],[_LeafProgress]]&lt;1,OR(N(Tasks[[#This Row],[Finish Var]])&gt;0,Tasks[[#This Row],[Status]]="Late Start")),MAX(0,Tasks[[#This Row],[Finish Var]])+1-Tasks[[#This Row],[_Row]]/1000000,"")</f>
        <v/>
      </c>
      <c r="GM188" s="43" t="str">
        <f aca="false">IF(AND(Tasks[[#This Row],[_IsLeaf]]=1,N(Tasks[[#This Row],[Actual Start]])=0,Tasks[[#This Row],[_ShownFcstStart]]&gt;=StatusDate,Tasks[[#This Row],[_ShownFcstStart]]&lt;=LookaheadEnd),Tasks[[#This Row],[_ShownFcstStart]]+Tasks[[#This Row],[_Row]]/100000,"")</f>
        <v/>
      </c>
      <c r="GN188" s="43" t="str">
        <f aca="false">IF(AND(Tasks[[#This Row],[_IsLeaf]]=1,Tasks[[#This Row],[_LeafProgress]]&lt;1,Tasks[[#This Row],[_ShownFcstFinish]]&gt;=StatusDate,Tasks[[#This Row],[_ShownFcstFinish]]&lt;=LookaheadEnd),Tasks[[#This Row],[_ShownFcstFinish]]+Tasks[[#This Row],[_Row]]/100000,"")</f>
        <v/>
      </c>
      <c r="GO188" s="43" t="str">
        <f aca="false">IF(Tasks[[#This Row],[_LeafCritical]],Tasks[[#This Row],[_ShownFcstStart]]+Tasks[[#This Row],[_Row]]/100000,"")</f>
        <v/>
      </c>
      <c r="GP188" s="43" t="n">
        <f aca="false">Tasks[[#This Row],[_LeafWork]]*Tasks[[#This Row],[_LeafProgress]]</f>
        <v>0</v>
      </c>
      <c r="GQ188" s="91" t="str">
        <f aca="false">IF(AND(Tasks[[#This Row],[_IsLeaf]]=1,Tasks[[#This Row],[_LeafProgress]]&gt;=1),IF(N(Tasks[[#This Row],[Actual Finish]])&gt;0,Tasks[[#This Row],[Actual Finish]],Tasks[[#This Row],[_ShownFcstFinish]]),"")</f>
        <v/>
      </c>
      <c r="GR188" s="43" t="n">
        <f aca="false">IF(Tasks[[#This Row],[_IsLeaf]]=1,N(Tasks[[#This Row],[Story Points]]),0)</f>
        <v>0</v>
      </c>
      <c r="GS188" s="43" t="str">
        <f aca="false">""</f>
        <v/>
      </c>
      <c r="GT188" s="90" t="b">
        <f aca="false">IF(Tasks[[#This Row],[Task Name]]="",FALSE(),AND(Tasks[[#This Row],[_IsLeaf]]=1,N(Tasks[[#This Row],[_Days]])=0))</f>
        <v>0</v>
      </c>
      <c r="GU188" s="91" t="n">
        <f aca="false">IF(Tasks[[#This Row],[Task Name]]="",0,IF(AND(Tasks[[#This Row],[_IsLeaf]]=1,NOT(Tasks[[#This Row],[_IsMilestone]]),N(Tasks[[#This Row],[Progress]])&gt;0),Tasks[[#This Row],[Start]],0))</f>
        <v>0</v>
      </c>
      <c r="GV188" s="91" t="n">
        <f aca="false">IF(Tasks[[#This Row],[_DoneFrom]]=0,0,IF(Tasks[[#This Row],[Progress]]&gt;=1,Tasks[[#This Row],[Finish]],MAX(Tasks[[#This Row],[_DoneFrom]],Tasks[[#This Row],[Start]]+ROUND((Tasks[[#This Row],[Finish]]-Tasks[[#This Row],[Start]]+1)*Tasks[[#This Row],[Progress]],0)-1)))</f>
        <v>0</v>
      </c>
      <c r="GW188" s="91" t="n">
        <f aca="false">IF(Tasks[[#This Row],[Task Name]]="",0,IF(OR(NOT(Tasks[[#This Row],[_IsLeaf]]=1),Tasks[[#This Row],[_IsMilestone]],N(Tasks[[#This Row],[Progress]])&gt;=1),0,IF(Tasks[[#This Row],[_DoneTo]]&gt;0,Tasks[[#This Row],[_DoneTo]]+1,Tasks[[#This Row],[Start]])))</f>
        <v>0</v>
      </c>
      <c r="GX188" s="91" t="n">
        <f aca="false">IF(Tasks[[#This Row],[_RemFrom]]=0,0,Tasks[[#This Row],[Finish]])</f>
        <v>0</v>
      </c>
      <c r="GY188" s="90" t="b">
        <f aca="false">IF(Tasks[[#This Row],[Task Name]]="",FALSE(),OR(NOT(BaselineSet),N(Tasks[[#This Row],[Baseline Start]])&gt;0))</f>
        <v>0</v>
      </c>
      <c r="GZ18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8" s="92" t="str">
        <f aca="false">IF(Tasks[[#This Row],[_IsLeaf]]=1,Tasks[[#This Row],[_Row]],"")</f>
        <v/>
      </c>
      <c r="HD188" s="92" t="str">
        <f aca="false">IFERROR(INDEX(Tasks[UID],SMALL(Tasks[_PickKey],Tasks[[#This Row],[_Row]]))&amp;" "&amp;INDEX(Tasks[Task Name],SMALL(Tasks[_PickKey],Tasks[[#This Row],[_Row]])),"")</f>
        <v/>
      </c>
      <c r="HE188" s="43" t="str">
        <f aca="false">IF(Tasks[[#This Row],[Task Name]]="","",IF(Tasks[[#This Row],[_IsSummary]],NETWORKDAYS.INTL(Tasks[[#This Row],[Start]],Tasks[[#This Row],[Finish]],WorkWeek,Holidays),N(Tasks[[#This Row],[_Days]])))</f>
        <v/>
      </c>
      <c r="HF188" s="43" t="n">
        <f aca="false">IF(Tasks[[#This Row],[Expected]]="",0,((Tasks[[#This Row],[Pessimistic]]-Tasks[[#This Row],[Optimistic]])/6)^2)</f>
        <v>0</v>
      </c>
      <c r="HG188" s="43" t="n">
        <f aca="false">IF(Tasks[[#This Row],[Expected]]="",0,Tasks[[#This Row],[Expected]]-N(Tasks[[#This Row],[_Days]]))</f>
        <v>0</v>
      </c>
    </row>
    <row r="189" customFormat="false" ht="15" hidden="false" customHeight="false" outlineLevel="0" collapsed="false">
      <c r="A189" s="21" t="str">
        <f aca="false">IF(Tasks[[#This Row],[Task Name]]="","",COUNTA(Tasks[[#Headers],[Task Name]]:Tasks[[#This Row],[Task Name]])-1)</f>
        <v/>
      </c>
      <c r="B189" s="22" t="n">
        <v>197</v>
      </c>
      <c r="C189" s="22"/>
      <c r="D189" s="23"/>
      <c r="E189" s="22"/>
      <c r="F189" s="23"/>
      <c r="G189" s="22"/>
      <c r="H189" s="22"/>
      <c r="I189" s="23"/>
      <c r="J189" s="22"/>
      <c r="K189" s="22"/>
      <c r="L189" s="23"/>
      <c r="M189" s="22"/>
      <c r="N189" s="22"/>
      <c r="O189" s="23"/>
      <c r="P189" s="22"/>
      <c r="Q189" s="22"/>
      <c r="R189" s="23"/>
      <c r="S189" s="23"/>
      <c r="T189" s="84"/>
      <c r="U189" s="23"/>
      <c r="V189" s="84"/>
      <c r="W189" s="23"/>
      <c r="X189" s="84"/>
      <c r="Y189" s="23"/>
      <c r="Z189" s="84"/>
      <c r="AA189" s="23"/>
      <c r="AB189" s="23"/>
      <c r="AC189" s="7"/>
      <c r="AD189" s="7"/>
      <c r="AE189" s="63" t="str">
        <f aca="false">IF(Tasks[[#This Row],[Task Name]]="","",IF(Tasks[[#This Row],[_IsSummary]],MIN(INDEX(Tasks[_ShownFcstStart],Tasks[[#This Row],[_Row]]+1):INDEX(Tasks[_ShownFcstStart],Tasks[[#This Row],[_Row]]+Tasks[[#This Row],[_Descendants]])),Tasks[[#This Row],[_ShownFcstStart]]))</f>
        <v/>
      </c>
      <c r="AF189" s="63" t="str">
        <f aca="false">IF(Tasks[[#This Row],[Task Name]]="","",IF(Tasks[[#This Row],[_IsSummary]],MAX(INDEX(Tasks[_ShownFcstFinish],Tasks[[#This Row],[_Row]]+1):INDEX(Tasks[_ShownFcstFinish],Tasks[[#This Row],[_Row]]+Tasks[[#This Row],[_Descendants]])),Tasks[[#This Row],[_ShownFcstFinish]]))</f>
        <v/>
      </c>
      <c r="AG189" s="21" t="str">
        <f aca="false">""</f>
        <v/>
      </c>
      <c r="AH189" s="23"/>
      <c r="AI1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9" s="7"/>
      <c r="AK189" s="22"/>
      <c r="AL189" s="23"/>
      <c r="AM189" s="7"/>
      <c r="AN189" s="47" t="str">
        <f aca="false">IF(Tasks[[#This Row],[Task Name]]="","",IF(Tasks[[#This Row],[Finish]]&gt;=Tasks[[#This Row],[Planned Finish]],NETWORKDAYS.INTL(Tasks[[#This Row],[Planned Finish]],Tasks[[#This Row],[Finish]],WorkWeek,Holidays)-1,1-NETWORKDAYS.INTL(Tasks[[#This Row],[Finish]],Tasks[[#This Row],[Planned Finish]],WorkWeek,Holidays)))</f>
        <v/>
      </c>
      <c r="AO189" s="21" t="str">
        <f aca="false">IF(Tasks[[#This Row],[Task Name]]="","",IF(Tasks[[#This Row],[Progress]]&gt;=1,"Complete",IF(OR(N(Tasks[[#This Row],[Actual Start]])&gt;0,Tasks[[#This Row],[Progress]]&gt;0),IF(Tasks[[#This Row],[Finish Var]]&gt;0,"Behind","In Progress"),IF(Tasks[[#This Row],[Planned Start]]&lt;StatusDate,"Late Start","Not Started"))))</f>
        <v/>
      </c>
      <c r="AP189" s="21" t="str">
        <f aca="false">IF(Tasks[[#This Row],[Task Name]]="","",IF(IF(Tasks[[#This Row],[_IsSummary]],COUNTIF(INDEX(Tasks[_LeafCritical],Tasks[[#This Row],[_Row]]+1):INDEX(Tasks[_LeafCritical],Tasks[[#This Row],[_Row]]+Tasks[[#This Row],[_Descendants]]),TRUE())&gt;0,Tasks[[#This Row],[_LeafCritical]]),"Yes",""))</f>
        <v/>
      </c>
      <c r="AQ189" s="63" t="str">
        <f aca="false">IF(Tasks[[#This Row],[Task Name]]="","",IF(N(Tasks[[#This Row],[Baseline Start]])&gt;0,Tasks[[#This Row],[Baseline Start]],Tasks[[#This Row],[_CalcStart]]))</f>
        <v/>
      </c>
      <c r="AR189" s="63" t="str">
        <f aca="false">IF(Tasks[[#This Row],[Task Name]]="","",IF(N(Tasks[[#This Row],[Baseline Finish]])&gt;0,Tasks[[#This Row],[Baseline Finish]],Tasks[[#This Row],[_CalcFinish]]))</f>
        <v/>
      </c>
      <c r="AS189" s="47" t="str">
        <f aca="false">IF(Tasks[[#This Row],[Task Name]]="","",IF(Tasks[[#This Row],[Start]]&gt;=Tasks[[#This Row],[Planned Start]],NETWORKDAYS.INTL(Tasks[[#This Row],[Planned Start]],Tasks[[#This Row],[Start]],WorkWeek,Holidays)-1,1-NETWORKDAYS.INTL(Tasks[[#This Row],[Start]],Tasks[[#This Row],[Planned Start]],WorkWeek,Holidays)))</f>
        <v/>
      </c>
      <c r="AT189" s="63" t="str">
        <f aca="false">IF(Tasks[[#This Row],[Task Name]]="","",IF(Tasks[[#This Row],[_IsSummary]],MIN(INDEX(Tasks[_LeafLateStart],Tasks[[#This Row],[_Row]]+1):INDEX(Tasks[_LeafLateStart],Tasks[[#This Row],[_Row]]+Tasks[[#This Row],[_Descendants]])),Tasks[[#This Row],[_LeafLateStart]]))</f>
        <v/>
      </c>
      <c r="AU189" s="63" t="str">
        <f aca="false">IF(Tasks[[#This Row],[Task Name]]="","",IF(Tasks[[#This Row],[_IsSummary]],MAX(INDEX(Tasks[_LeafLateFinish],Tasks[[#This Row],[_Row]]+1):INDEX(Tasks[_LeafLateFinish],Tasks[[#This Row],[_Row]]+Tasks[[#This Row],[_Descendants]])),Tasks[[#This Row],[_LeafLateFinish]]))</f>
        <v/>
      </c>
      <c r="AV189" s="47" t="str">
        <f aca="false">IF(Tasks[[#This Row],[Task Name]]="","",IF(Tasks[[#This Row],[_IsSummary]],MIN(INDEX(Tasks[_LeafTotalSlack],Tasks[[#This Row],[_Row]]+1):INDEX(Tasks[_LeafTotalSlack],Tasks[[#This Row],[_Row]]+Tasks[[#This Row],[_Descendants]])),Tasks[[#This Row],[_LeafTotalSlack]]))</f>
        <v/>
      </c>
      <c r="AW1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5"/>
      <c r="BA18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1" t="str">
        <f aca="false">IF(Tasks[[#This Row],[Task Name]]="","",IF(Tasks[[#This Row],[_Level]]&lt;=OutlineShowLevel,"Yes","No"))</f>
        <v/>
      </c>
      <c r="BE189" s="86" t="str">
        <f aca="false">IF(Tasks[[#This Row],[Task Name]]="","",IF(Tasks[[#This Row],[_IsSummary]],SUM(INDEX(Tasks[_LeafTotalWork],Tasks[[#This Row],[_Row]]+1):INDEX(Tasks[_LeafTotalWork],Tasks[[#This Row],[_Row]]+Tasks[[#This Row],[_Descendants]])),Tasks[[#This Row],[_LeafTotalWork]]))</f>
        <v/>
      </c>
      <c r="BF189" s="23"/>
      <c r="BG1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9" s="21" t="str">
        <f aca="false">""</f>
        <v/>
      </c>
      <c r="BI189" s="87"/>
      <c r="BJ189" s="22"/>
      <c r="BK189" s="47" t="str">
        <f aca="false">IF(OR(Tasks[[#This Row],[Task Name]]="",Tasks[[#This Row],[Baseline Duration]]=""),"",Tasks[[#This Row],[_SpanDays]]-N(Tasks[[#This Row],[Baseline Duration]]))</f>
        <v/>
      </c>
      <c r="BL189" s="86" t="str">
        <f aca="false">IF(OR(Tasks[[#This Row],[Task Name]]="",Tasks[[#This Row],[Baseline Work]]=""),"",Tasks[[#This Row],[Work]]-N(Tasks[[#This Row],[Baseline Work]]))</f>
        <v/>
      </c>
      <c r="BM189" s="63" t="str">
        <f aca="false">IF(Tasks[[#This Row],[Task Name]]="","",IF(OR(TakeBaseline="Yes",N(Tasks[[#This Row],[Baseline Start]])=0),Tasks[[#This Row],[Start]],Tasks[[#This Row],[Baseline Start]]))</f>
        <v/>
      </c>
      <c r="BN189" s="63" t="str">
        <f aca="false">IF(Tasks[[#This Row],[Task Name]]="","",IF(OR(TakeBaseline="Yes",N(Tasks[[#This Row],[Baseline Finish]])=0),Tasks[[#This Row],[Finish]],Tasks[[#This Row],[Baseline Finish]]))</f>
        <v/>
      </c>
      <c r="BO189" s="21" t="str">
        <f aca="false">IF(Tasks[[#This Row],[Task Name]]="","",IF(OR(TakeBaseline="Yes",N(Tasks[[#This Row],[Baseline Duration]])=0),Tasks[[#This Row],[_SpanDays]],Tasks[[#This Row],[Baseline Duration]]))</f>
        <v/>
      </c>
      <c r="BP189" s="86" t="str">
        <f aca="false">IF(Tasks[[#This Row],[Task Name]]="","",IF(OR(TakeBaseline="Yes",N(Tasks[[#This Row],[Baseline Work]])=0),Tasks[[#This Row],[Work]],Tasks[[#This Row],[Baseline Work]]))</f>
        <v/>
      </c>
      <c r="BQ189" s="7"/>
      <c r="BR189" s="7"/>
      <c r="BS189" s="22"/>
      <c r="BT189" s="88"/>
      <c r="BU189" s="23"/>
      <c r="BV189" s="23"/>
      <c r="BW189" s="23"/>
      <c r="BX189" s="89" t="str">
        <f aca="false">IF(AND(Tasks[[#This Row],[_IsLeaf]]=1,ISNUMBER(Tasks[[#This Row],[Optimistic]]),ISNUMBER(Tasks[[#This Row],[Pessimistic]])),ROUND((Tasks[[#This Row],[Optimistic]]+4*N(Tasks[[#This Row],[_Days]])+Tasks[[#This Row],[Pessimistic]])/6,1),"")</f>
        <v/>
      </c>
      <c r="BY189" s="87"/>
      <c r="BZ189" s="87"/>
      <c r="CA189" s="22"/>
      <c r="CB189" s="43" t="str">
        <f aca="false">IF(Tasks[[#This Row],[Task Name]]="","",MAX(1,N(Tasks[[#This Row],[Level]])))</f>
        <v/>
      </c>
      <c r="CC189" s="43" t="n">
        <f aca="false">ROW()-ROW(Tasks[[#Headers],[ID]])</f>
        <v>184</v>
      </c>
      <c r="CD189" s="43" t="n">
        <f aca="false">IF(OR(Tasks[[#This Row],[Task Name]]="",Tasks[[#This Row],[_Level]]&lt;=1),0,IFERROR(LOOKUP(2,1/(Tasks[[#Headers],[_Level]]:Tasks[[#This Row],[_Level]]=Tasks[[#This Row],[_Level]]-1),ROW(Tasks[[#Headers],[_Level]]:Tasks[[#This Row],[_Level]])),0))</f>
        <v>0</v>
      </c>
      <c r="CE189" s="43" t="n">
        <f aca="false">IFERROR(N(INDEX(Tasks[_Level],Tasks[[#This Row],[_Row]]+1)),0)</f>
        <v>0</v>
      </c>
      <c r="CF189" s="90" t="b">
        <f aca="false">AND(Tasks[[#This Row],[Task Name]]&lt;&gt;"",Tasks[[#This Row],[_NextLevel]]&gt;Tasks[[#This Row],[_Level]])</f>
        <v>0</v>
      </c>
      <c r="CG189" s="43" t="n">
        <f aca="false">IF(Tasks[[#This Row],[_IsSummary]],COUNTIF(Tasks[WBS],Tasks[[#This Row],[WBS]]&amp;".*"),0)</f>
        <v>0</v>
      </c>
      <c r="CH189" s="43" t="n">
        <f aca="false">IF(AND(Tasks[[#This Row],[Task Name]]&lt;&gt;"",NOT(Tasks[[#This Row],[_IsSummary]])),1,0)</f>
        <v>0</v>
      </c>
      <c r="CI189" s="43" t="n">
        <f aca="false">IF(N(Tasks[[#This Row],[_Pred1UID]])=0,0,IFERROR(MATCH(Tasks[[#This Row],[_Pred1UID]],Tasks[UID],0),-1))</f>
        <v>0</v>
      </c>
      <c r="CJ189" s="43" t="n">
        <f aca="false">IF(N(Tasks[[#This Row],[_Pred2UID]])=0,0,IFERROR(MATCH(Tasks[[#This Row],[_Pred2UID]],Tasks[UID],0),-1))</f>
        <v>0</v>
      </c>
      <c r="CK189" s="43" t="n">
        <f aca="false">IF(N(Tasks[[#This Row],[_Pred3UID]])=0,0,IFERROR(MATCH(Tasks[[#This Row],[_Pred3UID]],Tasks[UID],0),-1))</f>
        <v>0</v>
      </c>
      <c r="CL189" s="43" t="n">
        <f aca="false">IF(N(Tasks[[#This Row],[_Pred4UID]])=0,0,IFERROR(MATCH(Tasks[[#This Row],[_Pred4UID]],Tasks[UID],0),-1))</f>
        <v>0</v>
      </c>
      <c r="CM18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9" s="91" t="n">
        <f aca="false">IF(OR(Tasks[[#This Row],[_ConstraintCode]]=2,Tasks[[#This Row],[_ConstraintCode]]=3,Tasks[[#This Row],[_ConstraintCode]]=4,Tasks[[#This Row],[_ConstraintCode]]=6),Tasks[[#This Row],[_ConstraintStart]],0)</f>
        <v>0</v>
      </c>
      <c r="CP189" s="91" t="n">
        <f aca="false">IF(OR(Tasks[[#This Row],[_ConstraintCode]]=2,Tasks[[#This Row],[_ConstraintCode]]=3,Tasks[[#This Row],[_ConstraintCode]]=5,Tasks[[#This Row],[_ConstraintCode]]=7),Tasks[[#This Row],[_ConstraintStart]],2958465)</f>
        <v>2958465</v>
      </c>
      <c r="CQ18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9" s="91" t="str">
        <f aca="false">IF(NOT(Tasks[[#This Row],[_IsLeaf]]=1),"",IF(N(Tasks[[#This Row],[_Days]])&lt;=0,Tasks[[#This Row],[_LeafCalcStart]],WORKDAY.INTL(Tasks[[#This Row],[_LeafCalcStart]],Tasks[[#This Row],[_Days]]-1,WorkWeek,Holidays)))</f>
        <v/>
      </c>
      <c r="CS18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9" s="43" t="str">
        <f aca="false">IF(Tasks[[#This Row],[_Predecessors]]="","",TRIM(MID(SUBSTITUTE(SUBSTITUTE(SUBSTITUTE(UPPER(Tasks[[#This Row],[_Predecessors]]),";",",")," ",""),",",REPT(" ",99)),1,99)))</f>
        <v/>
      </c>
      <c r="CV189" s="43" t="str">
        <f aca="false">IF(Tasks[[#This Row],[_Pred1Text]]="","",IFERROR(VALUE(LEFT(Tasks[[#This Row],[_Pred1Text]],MIN(FIND("F",Tasks[[#This Row],[_Pred1Text]]&amp;"F"),FIND("S",Tasks[[#This Row],[_Pred1Text]]&amp;"S"),FIND("+",Tasks[[#This Row],[_Pred1Text]]&amp;"+"),FIND("-",Tasks[[#This Row],[_Pred1Text]]&amp;"-"))-1)),""))</f>
        <v/>
      </c>
      <c r="CW18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9" s="43" t="str">
        <f aca="false">IF(Tasks[[#This Row],[_Pred1Text]]="","",TRIM(MID(SUBSTITUTE(SUBSTITUTE(SUBSTITUTE(UPPER(Tasks[[#This Row],[_Predecessors]]),";",",")," ",""),",",REPT(" ",99)),100,99)))</f>
        <v/>
      </c>
      <c r="CZ189" s="43" t="str">
        <f aca="false">IF(Tasks[[#This Row],[_Pred2Text]]="","",IFERROR(VALUE(LEFT(Tasks[[#This Row],[_Pred2Text]],MIN(FIND("F",Tasks[[#This Row],[_Pred2Text]]&amp;"F"),FIND("S",Tasks[[#This Row],[_Pred2Text]]&amp;"S"),FIND("+",Tasks[[#This Row],[_Pred2Text]]&amp;"+"),FIND("-",Tasks[[#This Row],[_Pred2Text]]&amp;"-"))-1)),""))</f>
        <v/>
      </c>
      <c r="DA18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9" s="43" t="str">
        <f aca="false">IF(Tasks[[#This Row],[_Pred2Text]]="","",TRIM(MID(SUBSTITUTE(SUBSTITUTE(SUBSTITUTE(UPPER(Tasks[[#This Row],[_Predecessors]]),";",",")," ",""),",",REPT(" ",99)),199,99)))</f>
        <v/>
      </c>
      <c r="DD189" s="43" t="str">
        <f aca="false">IF(Tasks[[#This Row],[_Pred3Text]]="","",IFERROR(VALUE(LEFT(Tasks[[#This Row],[_Pred3Text]],MIN(FIND("F",Tasks[[#This Row],[_Pred3Text]]&amp;"F"),FIND("S",Tasks[[#This Row],[_Pred3Text]]&amp;"S"),FIND("+",Tasks[[#This Row],[_Pred3Text]]&amp;"+"),FIND("-",Tasks[[#This Row],[_Pred3Text]]&amp;"-"))-1)),""))</f>
        <v/>
      </c>
      <c r="DE18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9" s="43" t="str">
        <f aca="false">IF(Tasks[[#This Row],[_Pred3Text]]="","",TRIM(MID(SUBSTITUTE(SUBSTITUTE(SUBSTITUTE(UPPER(Tasks[[#This Row],[_Predecessors]]),";",",")," ",""),",",REPT(" ",99)),298,99)))</f>
        <v/>
      </c>
      <c r="DH189" s="43" t="str">
        <f aca="false">IF(Tasks[[#This Row],[_Pred4Text]]="","",IFERROR(VALUE(LEFT(Tasks[[#This Row],[_Pred4Text]],MIN(FIND("F",Tasks[[#This Row],[_Pred4Text]]&amp;"F"),FIND("S",Tasks[[#This Row],[_Pred4Text]]&amp;"S"),FIND("+",Tasks[[#This Row],[_Pred4Text]]&amp;"+"),FIND("-",Tasks[[#This Row],[_Pred4Text]]&amp;"-"))-1)),""))</f>
        <v/>
      </c>
      <c r="DI18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9" s="43" t="str">
        <f aca="false">IF(OR(Tasks[[#This Row],[Task Name]]="",Tasks[[#This Row],[_Resources]]=""),"",TRIM(MID(SUBSTITUTE(Tasks[[#This Row],[_Resources]],",",REPT(" ",99)),1,99)))</f>
        <v/>
      </c>
      <c r="DL189" s="43" t="str">
        <f aca="false">IF(Tasks[[#This Row],[_Res1Text]]="","",TRIM(MID(SUBSTITUTE(Tasks[[#This Row],[_Resources]],",",REPT(" ",99)),100,99)))</f>
        <v/>
      </c>
      <c r="DM189" s="43" t="str">
        <f aca="false">IF(Tasks[[#This Row],[_Res2Text]]="","",TRIM(MID(SUBSTITUTE(Tasks[[#This Row],[_Resources]],",",REPT(" ",99)),199,99)))</f>
        <v/>
      </c>
      <c r="DN189" s="43" t="str">
        <f aca="false">IF(Tasks[[#This Row],[_Res3Text]]="","",TRIM(MID(SUBSTITUTE(Tasks[[#This Row],[_Resources]],",",REPT(" ",99)),298,99)))</f>
        <v/>
      </c>
      <c r="DO189" s="43" t="n">
        <f aca="false">IF(Tasks[[#This Row],[_Res1Text]]="",0,IFERROR(MATCH(TRIM(LEFT(Tasks[[#This Row],[_Res1Text]],FIND("[",Tasks[[#This Row],[_Res1Text]]&amp;"[")-1)),res_Name,0),IFERROR(MATCH(TRIM(LEFT(Tasks[[#This Row],[_Res1Text]],FIND("[",Tasks[[#This Row],[_Res1Text]]&amp;"[")-1)),res_Initials,0),0)))</f>
        <v>0</v>
      </c>
      <c r="DP189" s="43" t="n">
        <f aca="false">IF(Tasks[[#This Row],[_Res2Text]]="",0,IFERROR(MATCH(TRIM(LEFT(Tasks[[#This Row],[_Res2Text]],FIND("[",Tasks[[#This Row],[_Res2Text]]&amp;"[")-1)),res_Name,0),IFERROR(MATCH(TRIM(LEFT(Tasks[[#This Row],[_Res2Text]],FIND("[",Tasks[[#This Row],[_Res2Text]]&amp;"[")-1)),res_Initials,0),0)))</f>
        <v>0</v>
      </c>
      <c r="DQ189" s="43" t="n">
        <f aca="false">IF(Tasks[[#This Row],[_Res3Text]]="",0,IFERROR(MATCH(TRIM(LEFT(Tasks[[#This Row],[_Res3Text]],FIND("[",Tasks[[#This Row],[_Res3Text]]&amp;"[")-1)),res_Name,0),IFERROR(MATCH(TRIM(LEFT(Tasks[[#This Row],[_Res3Text]],FIND("[",Tasks[[#This Row],[_Res3Text]]&amp;"[")-1)),res_Initials,0),0)))</f>
        <v>0</v>
      </c>
      <c r="DR189" s="43" t="n">
        <f aca="false">IF(Tasks[[#This Row],[_Res4Text]]="",0,IFERROR(MATCH(TRIM(LEFT(Tasks[[#This Row],[_Res4Text]],FIND("[",Tasks[[#This Row],[_Res4Text]]&amp;"[")-1)),res_Name,0),IFERROR(MATCH(TRIM(LEFT(Tasks[[#This Row],[_Res4Text]],FIND("[",Tasks[[#This Row],[_Res4Text]]&amp;"[")-1)),res_Initials,0),0)))</f>
        <v>0</v>
      </c>
      <c r="DS189" s="43" t="str">
        <f aca="false">IF(Tasks[[#This Row],[_Res1Text]]="","",IF(Tasks[[#This Row],[_Res1Row]]&gt;0,INDEX(res_Name,Tasks[[#This Row],[_Res1Row]]),TRIM(LEFT(Tasks[[#This Row],[_Res1Text]],FIND("[",Tasks[[#This Row],[_Res1Text]]&amp;"[")-1))))</f>
        <v/>
      </c>
      <c r="DT18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9" s="43" t="n">
        <f aca="false">IF(NOT(Tasks[[#This Row],[_IsLeaf]]=1),0,(Tasks[[#This Row],[_Resource1]]&lt;&gt;"")+(Tasks[[#This Row],[_Res2]]&lt;&gt;"")+(Tasks[[#This Row],[_Res3]]&lt;&gt;"")+(Tasks[[#This Row],[_Res4]]&lt;&gt;""))</f>
        <v>0</v>
      </c>
      <c r="DV189" s="43" t="str">
        <f aca="false">IF(Tasks[[#This Row],[_Res2Text]]="","",IF(Tasks[[#This Row],[_Res2Row]]&gt;0,INDEX(res_Name,Tasks[[#This Row],[_Res2Row]]),TRIM(LEFT(Tasks[[#This Row],[_Res2Text]],FIND("[",Tasks[[#This Row],[_Res2Text]]&amp;"[")-1))))</f>
        <v/>
      </c>
      <c r="DW18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9" s="43" t="n">
        <f aca="false">IF(OR(NOT(Tasks[[#This Row],[_IsLeaf]]=1),Tasks[[#This Row],[_Res2Row]]=0),0,N(Tasks[[#This Row],[_Days]])*HoursPerDay*IF(Tasks[[#This Row],[_Res2Units]]="",DefaultUnits,Tasks[[#This Row],[_Res2Units]]))</f>
        <v>0</v>
      </c>
      <c r="DY189" s="43" t="n">
        <f aca="false">IF(AND(AND(Tasks[[#This Row],[_IsLeaf]]=1,Tasks[[#This Row],[_LeafTotalWork]]&gt;0),Tasks[[#This Row],[_Res2Work]]&gt;0),Tasks[[#This Row],[_Res2Work]]/(Tasks[[#This Row],[_FinishWorkday]]-Tasks[[#This Row],[_StartWorkday]]+1),0)</f>
        <v>0</v>
      </c>
      <c r="DZ189" s="43" t="n">
        <f aca="false">Tasks[[#This Row],[_Res2WorkPerWD]]*MAX(0,Tasks[[#This Row],[_StartWorkday]]-1)</f>
        <v>0</v>
      </c>
      <c r="EA189" s="43" t="n">
        <f aca="false">Tasks[[#This Row],[_Res2Work]]*Tasks[[#This Row],[_LeafProgress]]</f>
        <v>0</v>
      </c>
      <c r="EB189" s="43" t="str">
        <f aca="false">IF(Tasks[[#This Row],[_Res3Text]]="","",IF(Tasks[[#This Row],[_Res3Row]]&gt;0,INDEX(res_Name,Tasks[[#This Row],[_Res3Row]]),TRIM(LEFT(Tasks[[#This Row],[_Res3Text]],FIND("[",Tasks[[#This Row],[_Res3Text]]&amp;"[")-1))))</f>
        <v/>
      </c>
      <c r="EC18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9" s="43" t="n">
        <f aca="false">IF(OR(NOT(Tasks[[#This Row],[_IsLeaf]]=1),Tasks[[#This Row],[_Res3Row]]=0),0,N(Tasks[[#This Row],[_Days]])*HoursPerDay*IF(Tasks[[#This Row],[_Res3Units]]="",DefaultUnits,Tasks[[#This Row],[_Res3Units]]))</f>
        <v>0</v>
      </c>
      <c r="EE189" s="43" t="n">
        <f aca="false">IF(AND(AND(Tasks[[#This Row],[_IsLeaf]]=1,Tasks[[#This Row],[_LeafTotalWork]]&gt;0),Tasks[[#This Row],[_Res3Work]]&gt;0),Tasks[[#This Row],[_Res3Work]]/(Tasks[[#This Row],[_FinishWorkday]]-Tasks[[#This Row],[_StartWorkday]]+1),0)</f>
        <v>0</v>
      </c>
      <c r="EF189" s="43" t="n">
        <f aca="false">Tasks[[#This Row],[_Res3WorkPerWD]]*MAX(0,Tasks[[#This Row],[_StartWorkday]]-1)</f>
        <v>0</v>
      </c>
      <c r="EG189" s="43" t="n">
        <f aca="false">Tasks[[#This Row],[_Res3Work]]*Tasks[[#This Row],[_LeafProgress]]</f>
        <v>0</v>
      </c>
      <c r="EH189" s="43" t="str">
        <f aca="false">IF(Tasks[[#This Row],[_Res4Text]]="","",IF(Tasks[[#This Row],[_Res4Row]]&gt;0,INDEX(res_Name,Tasks[[#This Row],[_Res4Row]]),TRIM(LEFT(Tasks[[#This Row],[_Res4Text]],FIND("[",Tasks[[#This Row],[_Res4Text]]&amp;"[")-1))))</f>
        <v/>
      </c>
      <c r="EI18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9" s="43" t="n">
        <f aca="false">IF(OR(NOT(Tasks[[#This Row],[_IsLeaf]]=1),Tasks[[#This Row],[_Res4Row]]=0),0,N(Tasks[[#This Row],[_Days]])*HoursPerDay*IF(Tasks[[#This Row],[_Res4Units]]="",DefaultUnits,Tasks[[#This Row],[_Res4Units]]))</f>
        <v>0</v>
      </c>
      <c r="EK189" s="43" t="n">
        <f aca="false">IF(AND(AND(Tasks[[#This Row],[_IsLeaf]]=1,Tasks[[#This Row],[_LeafTotalWork]]&gt;0),Tasks[[#This Row],[_Res4Work]]&gt;0),Tasks[[#This Row],[_Res4Work]]/(Tasks[[#This Row],[_FinishWorkday]]-Tasks[[#This Row],[_StartWorkday]]+1),0)</f>
        <v>0</v>
      </c>
      <c r="EL189" s="43" t="n">
        <f aca="false">Tasks[[#This Row],[_Res4WorkPerWD]]*MAX(0,Tasks[[#This Row],[_StartWorkday]]-1)</f>
        <v>0</v>
      </c>
      <c r="EM189" s="43" t="n">
        <f aca="false">Tasks[[#This Row],[_Res4Work]]*Tasks[[#This Row],[_LeafProgress]]</f>
        <v>0</v>
      </c>
      <c r="EN189" s="43" t="n">
        <f aca="false">IF(ISNUMBER(Tasks[[#This Row],[% Complete]]),Tasks[[#This Row],[% Complete]],IF(Tasks[[#This Row],[Stage]]="",0,IFERROR(INDEX(stg_Pct,MATCH(Tasks[[#This Row],[Stage]],stg_Name,0)),0)))</f>
        <v>0</v>
      </c>
      <c r="EO189" s="43" t="n">
        <f aca="false">IF(NOT(Tasks[[#This Row],[_IsLeaf]]=1),0,IF(N(Tasks[[#This Row],[Actual Finish]])&gt;0,1,MIN(1,Tasks[[#This Row],[_Pct]])))</f>
        <v>0</v>
      </c>
      <c r="EP189" s="43" t="n">
        <f aca="false">IF(OR(NOT(Tasks[[#This Row],[_IsLeaf]]=1),Tasks[[#This Row],[_Res1Row]]=0),0,N(Tasks[[#This Row],[_Days]])*HoursPerDay*IF(Tasks[[#This Row],[_Units1]]="",DefaultUnits,Tasks[[#This Row],[_Units1]]))</f>
        <v>0</v>
      </c>
      <c r="EQ189" s="43" t="n">
        <f aca="false">Tasks[[#This Row],[_LeafWork]]+Tasks[[#This Row],[_Res2Work]]+Tasks[[#This Row],[_Res3Work]]+Tasks[[#This Row],[_Res4Work]]</f>
        <v>0</v>
      </c>
      <c r="ER18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9" s="43" t="n">
        <f aca="false">IF(NOT(Tasks[[#This Row],[_IsLeaf]]=1),0,MAX(_xlfn.MAXIFS(Tasks[_Row],Tasks[_Pred1UID],Tasks[[#This Row],[UID]]),_xlfn.MAXIFS(Tasks[_Row],Tasks[_Pred2UID],Tasks[[#This Row],[UID]]),_xlfn.MAXIFS(Tasks[_Row],Tasks[_Pred3UID],Tasks[[#This Row],[UID]]),_xlfn.MAXIFS(Tasks[_Row],Tasks[_Pred4UID],Tasks[[#This Row],[UID]])))</f>
        <v>0</v>
      </c>
      <c r="FA18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9" s="91" t="str">
        <f aca="false">IF(NOT(Tasks[[#This Row],[_IsLeaf]]=1),"",IF(N(Tasks[[#This Row],[_Days]])&lt;=0,Tasks[[#This Row],[_LeafLateFinish]],WORKDAY.INTL(Tasks[[#This Row],[_LeafLateFinish]],-(Tasks[[#This Row],[_Days]]-1),WorkWeek,Holidays)))</f>
        <v/>
      </c>
      <c r="FD18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9" s="90" t="b">
        <f aca="false">AND(Tasks[[#This Row],[_IsLeaf]]=1,Tasks[[#This Row],[_LeafProgress]]&lt;1,N(Tasks[[#This Row],[_LeafTotalSlack]])&lt;=CriticalSlackDays)</f>
        <v>0</v>
      </c>
      <c r="FF189" s="43" t="n">
        <f aca="false">IF(AND(Tasks[[#This Row],[_IsLeaf]]=1,Tasks[[#This Row],[_ConstraintCode]]=1,Tasks[[#This Row],[Mode]]&lt;&gt;"Manual",N(Tasks[[#This Row],[Actual Start]])=0),MAX(0,N(Tasks[[#This Row],[Free Slack]])),0)</f>
        <v>0</v>
      </c>
      <c r="FG189" s="91" t="str">
        <f aca="false">IF(NOT(Tasks[[#This Row],[_IsLeaf]]=1),"",IF(Tasks[[#This Row],[_AlapShift]]=0,Tasks[[#This Row],[_LeafCalcStart]],WORKDAY.INTL(Tasks[[#This Row],[_LeafCalcStart]],Tasks[[#This Row],[_AlapShift]],WorkWeek,Holidays)))</f>
        <v/>
      </c>
      <c r="FH189" s="91" t="str">
        <f aca="false">IF(NOT(Tasks[[#This Row],[_IsLeaf]]=1),"",IF(Tasks[[#This Row],[_AlapShift]]=0,Tasks[[#This Row],[_LeafCalcFinish]],WORKDAY.INTL(Tasks[[#This Row],[_LeafCalcFinish]],Tasks[[#This Row],[_AlapShift]],WorkWeek,Holidays)))</f>
        <v/>
      </c>
      <c r="FI189" s="91" t="str">
        <f aca="false">IF(NOT(Tasks[[#This Row],[_IsLeaf]]=1),"",IF(Tasks[[#This Row],[_AlapShift]]=0,Tasks[[#This Row],[_LeafFcstStart]],WORKDAY.INTL(Tasks[[#This Row],[_LeafFcstStart]],Tasks[[#This Row],[_AlapShift]],WorkWeek,Holidays)))</f>
        <v/>
      </c>
      <c r="FJ189" s="91" t="str">
        <f aca="false">IF(NOT(Tasks[[#This Row],[_IsLeaf]]=1),"",IF(Tasks[[#This Row],[_AlapShift]]=0,Tasks[[#This Row],[_LeafFcstFinish]],WORKDAY.INTL(Tasks[[#This Row],[_LeafFcstFinish]],Tasks[[#This Row],[_AlapShift]],WorkWeek,Holidays)))</f>
        <v/>
      </c>
      <c r="FK189" s="91" t="str">
        <f aca="false">IF(Tasks[[#This Row],[Task Name]]="","",IF(Tasks[[#This Row],[_IsSummary]],MIN(INDEX(Tasks[_ShownCalcStart],Tasks[[#This Row],[_Row]]+1):INDEX(Tasks[_ShownCalcStart],Tasks[[#This Row],[_Row]]+Tasks[[#This Row],[_Descendants]])),Tasks[[#This Row],[_ShownCalcStart]]))</f>
        <v/>
      </c>
      <c r="FL189" s="91" t="str">
        <f aca="false">IF(Tasks[[#This Row],[Task Name]]="","",IF(Tasks[[#This Row],[_IsSummary]],MAX(INDEX(Tasks[_ShownCalcFinish],Tasks[[#This Row],[_Row]]+1):INDEX(Tasks[_ShownCalcFinish],Tasks[[#This Row],[_Row]]+Tasks[[#This Row],[_Descendants]])),Tasks[[#This Row],[_ShownCalcFinish]]))</f>
        <v/>
      </c>
      <c r="FM18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9" s="43" t="n">
        <f aca="false">IF(AND(Tasks[[#This Row],[_IsLeaf]]=1,Tasks[[#This Row],[_LeafTotalWork]]&gt;0),NETWORKDAYS.INTL(ProjectStart,Tasks[[#This Row],[_ShownFcstStart]],WorkWeek,Holidays),0)</f>
        <v>0</v>
      </c>
      <c r="FZ189" s="43" t="n">
        <f aca="false">IF(AND(Tasks[[#This Row],[_IsLeaf]]=1,Tasks[[#This Row],[_LeafTotalWork]]&gt;0),MAX(Tasks[[#This Row],[_StartWorkday]],NETWORKDAYS.INTL(ProjectStart,Tasks[[#This Row],[_ShownFcstFinish]],WorkWeek,Holidays)),0)</f>
        <v>0</v>
      </c>
      <c r="GA189" s="43" t="n">
        <f aca="false">IF(AND(Tasks[[#This Row],[_IsLeaf]]=1,Tasks[[#This Row],[_LeafTotalWork]]&gt;0),Tasks[[#This Row],[_LeafWork]]/(Tasks[[#This Row],[_FinishWorkday]]-Tasks[[#This Row],[_StartWorkday]]+1),0)</f>
        <v>0</v>
      </c>
      <c r="GB189" s="43" t="n">
        <f aca="false">Tasks[[#This Row],[_WorkPerWorkday]]*(Tasks[[#This Row],[_StartWorkday]]-1)</f>
        <v>-0</v>
      </c>
      <c r="GC189" s="43" t="n">
        <f aca="false">IF(Tasks[[#This Row],[_IsLeaf]]=1,MAX(N(Tasks[[#This Row],[_Days]]),0.1),0)</f>
        <v>0</v>
      </c>
      <c r="GD189" s="43" t="n">
        <f aca="false">Tasks[[#This Row],[_WeightDur]]*Tasks[[#This Row],[_LeafProgress]]</f>
        <v>0</v>
      </c>
      <c r="GE189" s="43" t="n">
        <f aca="false">Tasks[[#This Row],[_WeightDur]]*Tasks[[#This Row],[_PlannedPct]]</f>
        <v>0</v>
      </c>
      <c r="GF18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9" s="43" t="str">
        <f aca="false">IF(AND(Tasks[[#This Row],[_IsLeaf]]=1,N(Tasks[[#This Row],[_Days]])=0,Tasks[[#This Row],[_LeafProgress]]&lt;1),Tasks[[#This Row],[_ShownFcstFinish]]+Tasks[[#This Row],[_Row]]/100000,"")</f>
        <v/>
      </c>
      <c r="GH18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9" s="43" t="str">
        <f aca="false">IF(Tasks[[#This Row],[Task Name]]="","",LEFT(Tasks[[#This Row],[WBS]],FIND(".",Tasks[[#This Row],[WBS]]&amp;".")-1))</f>
        <v/>
      </c>
      <c r="GJ189" s="43" t="str">
        <f aca="false">IF(AND(Tasks[[#This Row],[Task Name]]&lt;&gt;"",Tasks[[#This Row],[_Level]]=1),Tasks[[#This Row],[_Row]],"")</f>
        <v/>
      </c>
      <c r="GK189" s="43" t="str">
        <f aca="false">IF(AND(Tasks[[#This Row],[_IsLeaf]]=1,N(Tasks[[#This Row],[_Days]])=0),Tasks[[#This Row],[Planned Finish]]+Tasks[[#This Row],[_Row]]/100000,"")</f>
        <v/>
      </c>
      <c r="GL189" s="43" t="str">
        <f aca="false">IF(AND(Tasks[[#This Row],[_IsLeaf]]=1,Tasks[[#This Row],[_LeafProgress]]&lt;1,OR(N(Tasks[[#This Row],[Finish Var]])&gt;0,Tasks[[#This Row],[Status]]="Late Start")),MAX(0,Tasks[[#This Row],[Finish Var]])+1-Tasks[[#This Row],[_Row]]/1000000,"")</f>
        <v/>
      </c>
      <c r="GM189" s="43" t="str">
        <f aca="false">IF(AND(Tasks[[#This Row],[_IsLeaf]]=1,N(Tasks[[#This Row],[Actual Start]])=0,Tasks[[#This Row],[_ShownFcstStart]]&gt;=StatusDate,Tasks[[#This Row],[_ShownFcstStart]]&lt;=LookaheadEnd),Tasks[[#This Row],[_ShownFcstStart]]+Tasks[[#This Row],[_Row]]/100000,"")</f>
        <v/>
      </c>
      <c r="GN189" s="43" t="str">
        <f aca="false">IF(AND(Tasks[[#This Row],[_IsLeaf]]=1,Tasks[[#This Row],[_LeafProgress]]&lt;1,Tasks[[#This Row],[_ShownFcstFinish]]&gt;=StatusDate,Tasks[[#This Row],[_ShownFcstFinish]]&lt;=LookaheadEnd),Tasks[[#This Row],[_ShownFcstFinish]]+Tasks[[#This Row],[_Row]]/100000,"")</f>
        <v/>
      </c>
      <c r="GO189" s="43" t="str">
        <f aca="false">IF(Tasks[[#This Row],[_LeafCritical]],Tasks[[#This Row],[_ShownFcstStart]]+Tasks[[#This Row],[_Row]]/100000,"")</f>
        <v/>
      </c>
      <c r="GP189" s="43" t="n">
        <f aca="false">Tasks[[#This Row],[_LeafWork]]*Tasks[[#This Row],[_LeafProgress]]</f>
        <v>0</v>
      </c>
      <c r="GQ189" s="91" t="str">
        <f aca="false">IF(AND(Tasks[[#This Row],[_IsLeaf]]=1,Tasks[[#This Row],[_LeafProgress]]&gt;=1),IF(N(Tasks[[#This Row],[Actual Finish]])&gt;0,Tasks[[#This Row],[Actual Finish]],Tasks[[#This Row],[_ShownFcstFinish]]),"")</f>
        <v/>
      </c>
      <c r="GR189" s="43" t="n">
        <f aca="false">IF(Tasks[[#This Row],[_IsLeaf]]=1,N(Tasks[[#This Row],[Story Points]]),0)</f>
        <v>0</v>
      </c>
      <c r="GS189" s="43" t="str">
        <f aca="false">""</f>
        <v/>
      </c>
      <c r="GT189" s="90" t="b">
        <f aca="false">IF(Tasks[[#This Row],[Task Name]]="",FALSE(),AND(Tasks[[#This Row],[_IsLeaf]]=1,N(Tasks[[#This Row],[_Days]])=0))</f>
        <v>0</v>
      </c>
      <c r="GU189" s="91" t="n">
        <f aca="false">IF(Tasks[[#This Row],[Task Name]]="",0,IF(AND(Tasks[[#This Row],[_IsLeaf]]=1,NOT(Tasks[[#This Row],[_IsMilestone]]),N(Tasks[[#This Row],[Progress]])&gt;0),Tasks[[#This Row],[Start]],0))</f>
        <v>0</v>
      </c>
      <c r="GV189" s="91" t="n">
        <f aca="false">IF(Tasks[[#This Row],[_DoneFrom]]=0,0,IF(Tasks[[#This Row],[Progress]]&gt;=1,Tasks[[#This Row],[Finish]],MAX(Tasks[[#This Row],[_DoneFrom]],Tasks[[#This Row],[Start]]+ROUND((Tasks[[#This Row],[Finish]]-Tasks[[#This Row],[Start]]+1)*Tasks[[#This Row],[Progress]],0)-1)))</f>
        <v>0</v>
      </c>
      <c r="GW189" s="91" t="n">
        <f aca="false">IF(Tasks[[#This Row],[Task Name]]="",0,IF(OR(NOT(Tasks[[#This Row],[_IsLeaf]]=1),Tasks[[#This Row],[_IsMilestone]],N(Tasks[[#This Row],[Progress]])&gt;=1),0,IF(Tasks[[#This Row],[_DoneTo]]&gt;0,Tasks[[#This Row],[_DoneTo]]+1,Tasks[[#This Row],[Start]])))</f>
        <v>0</v>
      </c>
      <c r="GX189" s="91" t="n">
        <f aca="false">IF(Tasks[[#This Row],[_RemFrom]]=0,0,Tasks[[#This Row],[Finish]])</f>
        <v>0</v>
      </c>
      <c r="GY189" s="90" t="b">
        <f aca="false">IF(Tasks[[#This Row],[Task Name]]="",FALSE(),OR(NOT(BaselineSet),N(Tasks[[#This Row],[Baseline Start]])&gt;0))</f>
        <v>0</v>
      </c>
      <c r="GZ18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9" s="92" t="str">
        <f aca="false">IF(Tasks[[#This Row],[_IsLeaf]]=1,Tasks[[#This Row],[_Row]],"")</f>
        <v/>
      </c>
      <c r="HD189" s="92" t="str">
        <f aca="false">IFERROR(INDEX(Tasks[UID],SMALL(Tasks[_PickKey],Tasks[[#This Row],[_Row]]))&amp;" "&amp;INDEX(Tasks[Task Name],SMALL(Tasks[_PickKey],Tasks[[#This Row],[_Row]])),"")</f>
        <v/>
      </c>
      <c r="HE189" s="43" t="str">
        <f aca="false">IF(Tasks[[#This Row],[Task Name]]="","",IF(Tasks[[#This Row],[_IsSummary]],NETWORKDAYS.INTL(Tasks[[#This Row],[Start]],Tasks[[#This Row],[Finish]],WorkWeek,Holidays),N(Tasks[[#This Row],[_Days]])))</f>
        <v/>
      </c>
      <c r="HF189" s="43" t="n">
        <f aca="false">IF(Tasks[[#This Row],[Expected]]="",0,((Tasks[[#This Row],[Pessimistic]]-Tasks[[#This Row],[Optimistic]])/6)^2)</f>
        <v>0</v>
      </c>
      <c r="HG189" s="43" t="n">
        <f aca="false">IF(Tasks[[#This Row],[Expected]]="",0,Tasks[[#This Row],[Expected]]-N(Tasks[[#This Row],[_Days]]))</f>
        <v>0</v>
      </c>
    </row>
    <row r="190" customFormat="false" ht="15" hidden="false" customHeight="false" outlineLevel="0" collapsed="false">
      <c r="A190" s="21" t="str">
        <f aca="false">IF(Tasks[[#This Row],[Task Name]]="","",COUNTA(Tasks[[#Headers],[Task Name]]:Tasks[[#This Row],[Task Name]])-1)</f>
        <v/>
      </c>
      <c r="B190" s="22" t="n">
        <v>198</v>
      </c>
      <c r="C190" s="22"/>
      <c r="D190" s="23"/>
      <c r="E190" s="22"/>
      <c r="F190" s="23"/>
      <c r="G190" s="22"/>
      <c r="H190" s="22"/>
      <c r="I190" s="23"/>
      <c r="J190" s="22"/>
      <c r="K190" s="22"/>
      <c r="L190" s="23"/>
      <c r="M190" s="22"/>
      <c r="N190" s="22"/>
      <c r="O190" s="23"/>
      <c r="P190" s="22"/>
      <c r="Q190" s="22"/>
      <c r="R190" s="23"/>
      <c r="S190" s="23"/>
      <c r="T190" s="84"/>
      <c r="U190" s="23"/>
      <c r="V190" s="84"/>
      <c r="W190" s="23"/>
      <c r="X190" s="84"/>
      <c r="Y190" s="23"/>
      <c r="Z190" s="84"/>
      <c r="AA190" s="23"/>
      <c r="AB190" s="23"/>
      <c r="AC190" s="7"/>
      <c r="AD190" s="7"/>
      <c r="AE190" s="63" t="str">
        <f aca="false">IF(Tasks[[#This Row],[Task Name]]="","",IF(Tasks[[#This Row],[_IsSummary]],MIN(INDEX(Tasks[_ShownFcstStart],Tasks[[#This Row],[_Row]]+1):INDEX(Tasks[_ShownFcstStart],Tasks[[#This Row],[_Row]]+Tasks[[#This Row],[_Descendants]])),Tasks[[#This Row],[_ShownFcstStart]]))</f>
        <v/>
      </c>
      <c r="AF190" s="63" t="str">
        <f aca="false">IF(Tasks[[#This Row],[Task Name]]="","",IF(Tasks[[#This Row],[_IsSummary]],MAX(INDEX(Tasks[_ShownFcstFinish],Tasks[[#This Row],[_Row]]+1):INDEX(Tasks[_ShownFcstFinish],Tasks[[#This Row],[_Row]]+Tasks[[#This Row],[_Descendants]])),Tasks[[#This Row],[_ShownFcstFinish]]))</f>
        <v/>
      </c>
      <c r="AG190" s="21" t="str">
        <f aca="false">""</f>
        <v/>
      </c>
      <c r="AH190" s="23"/>
      <c r="AI1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0" s="7"/>
      <c r="AK190" s="22"/>
      <c r="AL190" s="23"/>
      <c r="AM190" s="7"/>
      <c r="AN190" s="47" t="str">
        <f aca="false">IF(Tasks[[#This Row],[Task Name]]="","",IF(Tasks[[#This Row],[Finish]]&gt;=Tasks[[#This Row],[Planned Finish]],NETWORKDAYS.INTL(Tasks[[#This Row],[Planned Finish]],Tasks[[#This Row],[Finish]],WorkWeek,Holidays)-1,1-NETWORKDAYS.INTL(Tasks[[#This Row],[Finish]],Tasks[[#This Row],[Planned Finish]],WorkWeek,Holidays)))</f>
        <v/>
      </c>
      <c r="AO190" s="21" t="str">
        <f aca="false">IF(Tasks[[#This Row],[Task Name]]="","",IF(Tasks[[#This Row],[Progress]]&gt;=1,"Complete",IF(OR(N(Tasks[[#This Row],[Actual Start]])&gt;0,Tasks[[#This Row],[Progress]]&gt;0),IF(Tasks[[#This Row],[Finish Var]]&gt;0,"Behind","In Progress"),IF(Tasks[[#This Row],[Planned Start]]&lt;StatusDate,"Late Start","Not Started"))))</f>
        <v/>
      </c>
      <c r="AP190" s="21" t="str">
        <f aca="false">IF(Tasks[[#This Row],[Task Name]]="","",IF(IF(Tasks[[#This Row],[_IsSummary]],COUNTIF(INDEX(Tasks[_LeafCritical],Tasks[[#This Row],[_Row]]+1):INDEX(Tasks[_LeafCritical],Tasks[[#This Row],[_Row]]+Tasks[[#This Row],[_Descendants]]),TRUE())&gt;0,Tasks[[#This Row],[_LeafCritical]]),"Yes",""))</f>
        <v/>
      </c>
      <c r="AQ190" s="63" t="str">
        <f aca="false">IF(Tasks[[#This Row],[Task Name]]="","",IF(N(Tasks[[#This Row],[Baseline Start]])&gt;0,Tasks[[#This Row],[Baseline Start]],Tasks[[#This Row],[_CalcStart]]))</f>
        <v/>
      </c>
      <c r="AR190" s="63" t="str">
        <f aca="false">IF(Tasks[[#This Row],[Task Name]]="","",IF(N(Tasks[[#This Row],[Baseline Finish]])&gt;0,Tasks[[#This Row],[Baseline Finish]],Tasks[[#This Row],[_CalcFinish]]))</f>
        <v/>
      </c>
      <c r="AS190" s="47" t="str">
        <f aca="false">IF(Tasks[[#This Row],[Task Name]]="","",IF(Tasks[[#This Row],[Start]]&gt;=Tasks[[#This Row],[Planned Start]],NETWORKDAYS.INTL(Tasks[[#This Row],[Planned Start]],Tasks[[#This Row],[Start]],WorkWeek,Holidays)-1,1-NETWORKDAYS.INTL(Tasks[[#This Row],[Start]],Tasks[[#This Row],[Planned Start]],WorkWeek,Holidays)))</f>
        <v/>
      </c>
      <c r="AT190" s="63" t="str">
        <f aca="false">IF(Tasks[[#This Row],[Task Name]]="","",IF(Tasks[[#This Row],[_IsSummary]],MIN(INDEX(Tasks[_LeafLateStart],Tasks[[#This Row],[_Row]]+1):INDEX(Tasks[_LeafLateStart],Tasks[[#This Row],[_Row]]+Tasks[[#This Row],[_Descendants]])),Tasks[[#This Row],[_LeafLateStart]]))</f>
        <v/>
      </c>
      <c r="AU190" s="63" t="str">
        <f aca="false">IF(Tasks[[#This Row],[Task Name]]="","",IF(Tasks[[#This Row],[_IsSummary]],MAX(INDEX(Tasks[_LeafLateFinish],Tasks[[#This Row],[_Row]]+1):INDEX(Tasks[_LeafLateFinish],Tasks[[#This Row],[_Row]]+Tasks[[#This Row],[_Descendants]])),Tasks[[#This Row],[_LeafLateFinish]]))</f>
        <v/>
      </c>
      <c r="AV190" s="47" t="str">
        <f aca="false">IF(Tasks[[#This Row],[Task Name]]="","",IF(Tasks[[#This Row],[_IsSummary]],MIN(INDEX(Tasks[_LeafTotalSlack],Tasks[[#This Row],[_Row]]+1):INDEX(Tasks[_LeafTotalSlack],Tasks[[#This Row],[_Row]]+Tasks[[#This Row],[_Descendants]])),Tasks[[#This Row],[_LeafTotalSlack]]))</f>
        <v/>
      </c>
      <c r="AW1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5"/>
      <c r="BA19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1" t="str">
        <f aca="false">IF(Tasks[[#This Row],[Task Name]]="","",IF(Tasks[[#This Row],[_Level]]&lt;=OutlineShowLevel,"Yes","No"))</f>
        <v/>
      </c>
      <c r="BE190" s="86" t="str">
        <f aca="false">IF(Tasks[[#This Row],[Task Name]]="","",IF(Tasks[[#This Row],[_IsSummary]],SUM(INDEX(Tasks[_LeafTotalWork],Tasks[[#This Row],[_Row]]+1):INDEX(Tasks[_LeafTotalWork],Tasks[[#This Row],[_Row]]+Tasks[[#This Row],[_Descendants]])),Tasks[[#This Row],[_LeafTotalWork]]))</f>
        <v/>
      </c>
      <c r="BF190" s="23"/>
      <c r="BG1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0" s="21" t="str">
        <f aca="false">""</f>
        <v/>
      </c>
      <c r="BI190" s="87"/>
      <c r="BJ190" s="22"/>
      <c r="BK190" s="47" t="str">
        <f aca="false">IF(OR(Tasks[[#This Row],[Task Name]]="",Tasks[[#This Row],[Baseline Duration]]=""),"",Tasks[[#This Row],[_SpanDays]]-N(Tasks[[#This Row],[Baseline Duration]]))</f>
        <v/>
      </c>
      <c r="BL190" s="86" t="str">
        <f aca="false">IF(OR(Tasks[[#This Row],[Task Name]]="",Tasks[[#This Row],[Baseline Work]]=""),"",Tasks[[#This Row],[Work]]-N(Tasks[[#This Row],[Baseline Work]]))</f>
        <v/>
      </c>
      <c r="BM190" s="63" t="str">
        <f aca="false">IF(Tasks[[#This Row],[Task Name]]="","",IF(OR(TakeBaseline="Yes",N(Tasks[[#This Row],[Baseline Start]])=0),Tasks[[#This Row],[Start]],Tasks[[#This Row],[Baseline Start]]))</f>
        <v/>
      </c>
      <c r="BN190" s="63" t="str">
        <f aca="false">IF(Tasks[[#This Row],[Task Name]]="","",IF(OR(TakeBaseline="Yes",N(Tasks[[#This Row],[Baseline Finish]])=0),Tasks[[#This Row],[Finish]],Tasks[[#This Row],[Baseline Finish]]))</f>
        <v/>
      </c>
      <c r="BO190" s="21" t="str">
        <f aca="false">IF(Tasks[[#This Row],[Task Name]]="","",IF(OR(TakeBaseline="Yes",N(Tasks[[#This Row],[Baseline Duration]])=0),Tasks[[#This Row],[_SpanDays]],Tasks[[#This Row],[Baseline Duration]]))</f>
        <v/>
      </c>
      <c r="BP190" s="86" t="str">
        <f aca="false">IF(Tasks[[#This Row],[Task Name]]="","",IF(OR(TakeBaseline="Yes",N(Tasks[[#This Row],[Baseline Work]])=0),Tasks[[#This Row],[Work]],Tasks[[#This Row],[Baseline Work]]))</f>
        <v/>
      </c>
      <c r="BQ190" s="7"/>
      <c r="BR190" s="7"/>
      <c r="BS190" s="22"/>
      <c r="BT190" s="88"/>
      <c r="BU190" s="23"/>
      <c r="BV190" s="23"/>
      <c r="BW190" s="23"/>
      <c r="BX190" s="89" t="str">
        <f aca="false">IF(AND(Tasks[[#This Row],[_IsLeaf]]=1,ISNUMBER(Tasks[[#This Row],[Optimistic]]),ISNUMBER(Tasks[[#This Row],[Pessimistic]])),ROUND((Tasks[[#This Row],[Optimistic]]+4*N(Tasks[[#This Row],[_Days]])+Tasks[[#This Row],[Pessimistic]])/6,1),"")</f>
        <v/>
      </c>
      <c r="BY190" s="87"/>
      <c r="BZ190" s="87"/>
      <c r="CA190" s="22"/>
      <c r="CB190" s="43" t="str">
        <f aca="false">IF(Tasks[[#This Row],[Task Name]]="","",MAX(1,N(Tasks[[#This Row],[Level]])))</f>
        <v/>
      </c>
      <c r="CC190" s="43" t="n">
        <f aca="false">ROW()-ROW(Tasks[[#Headers],[ID]])</f>
        <v>185</v>
      </c>
      <c r="CD190" s="43" t="n">
        <f aca="false">IF(OR(Tasks[[#This Row],[Task Name]]="",Tasks[[#This Row],[_Level]]&lt;=1),0,IFERROR(LOOKUP(2,1/(Tasks[[#Headers],[_Level]]:Tasks[[#This Row],[_Level]]=Tasks[[#This Row],[_Level]]-1),ROW(Tasks[[#Headers],[_Level]]:Tasks[[#This Row],[_Level]])),0))</f>
        <v>0</v>
      </c>
      <c r="CE190" s="43" t="n">
        <f aca="false">IFERROR(N(INDEX(Tasks[_Level],Tasks[[#This Row],[_Row]]+1)),0)</f>
        <v>0</v>
      </c>
      <c r="CF190" s="90" t="b">
        <f aca="false">AND(Tasks[[#This Row],[Task Name]]&lt;&gt;"",Tasks[[#This Row],[_NextLevel]]&gt;Tasks[[#This Row],[_Level]])</f>
        <v>0</v>
      </c>
      <c r="CG190" s="43" t="n">
        <f aca="false">IF(Tasks[[#This Row],[_IsSummary]],COUNTIF(Tasks[WBS],Tasks[[#This Row],[WBS]]&amp;".*"),0)</f>
        <v>0</v>
      </c>
      <c r="CH190" s="43" t="n">
        <f aca="false">IF(AND(Tasks[[#This Row],[Task Name]]&lt;&gt;"",NOT(Tasks[[#This Row],[_IsSummary]])),1,0)</f>
        <v>0</v>
      </c>
      <c r="CI190" s="43" t="n">
        <f aca="false">IF(N(Tasks[[#This Row],[_Pred1UID]])=0,0,IFERROR(MATCH(Tasks[[#This Row],[_Pred1UID]],Tasks[UID],0),-1))</f>
        <v>0</v>
      </c>
      <c r="CJ190" s="43" t="n">
        <f aca="false">IF(N(Tasks[[#This Row],[_Pred2UID]])=0,0,IFERROR(MATCH(Tasks[[#This Row],[_Pred2UID]],Tasks[UID],0),-1))</f>
        <v>0</v>
      </c>
      <c r="CK190" s="43" t="n">
        <f aca="false">IF(N(Tasks[[#This Row],[_Pred3UID]])=0,0,IFERROR(MATCH(Tasks[[#This Row],[_Pred3UID]],Tasks[UID],0),-1))</f>
        <v>0</v>
      </c>
      <c r="CL190" s="43" t="n">
        <f aca="false">IF(N(Tasks[[#This Row],[_Pred4UID]])=0,0,IFERROR(MATCH(Tasks[[#This Row],[_Pred4UID]],Tasks[UID],0),-1))</f>
        <v>0</v>
      </c>
      <c r="CM19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0" s="91" t="n">
        <f aca="false">IF(OR(Tasks[[#This Row],[_ConstraintCode]]=2,Tasks[[#This Row],[_ConstraintCode]]=3,Tasks[[#This Row],[_ConstraintCode]]=4,Tasks[[#This Row],[_ConstraintCode]]=6),Tasks[[#This Row],[_ConstraintStart]],0)</f>
        <v>0</v>
      </c>
      <c r="CP190" s="91" t="n">
        <f aca="false">IF(OR(Tasks[[#This Row],[_ConstraintCode]]=2,Tasks[[#This Row],[_ConstraintCode]]=3,Tasks[[#This Row],[_ConstraintCode]]=5,Tasks[[#This Row],[_ConstraintCode]]=7),Tasks[[#This Row],[_ConstraintStart]],2958465)</f>
        <v>2958465</v>
      </c>
      <c r="CQ19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0" s="91" t="str">
        <f aca="false">IF(NOT(Tasks[[#This Row],[_IsLeaf]]=1),"",IF(N(Tasks[[#This Row],[_Days]])&lt;=0,Tasks[[#This Row],[_LeafCalcStart]],WORKDAY.INTL(Tasks[[#This Row],[_LeafCalcStart]],Tasks[[#This Row],[_Days]]-1,WorkWeek,Holidays)))</f>
        <v/>
      </c>
      <c r="CS19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0" s="43" t="str">
        <f aca="false">IF(Tasks[[#This Row],[_Predecessors]]="","",TRIM(MID(SUBSTITUTE(SUBSTITUTE(SUBSTITUTE(UPPER(Tasks[[#This Row],[_Predecessors]]),";",",")," ",""),",",REPT(" ",99)),1,99)))</f>
        <v/>
      </c>
      <c r="CV190" s="43" t="str">
        <f aca="false">IF(Tasks[[#This Row],[_Pred1Text]]="","",IFERROR(VALUE(LEFT(Tasks[[#This Row],[_Pred1Text]],MIN(FIND("F",Tasks[[#This Row],[_Pred1Text]]&amp;"F"),FIND("S",Tasks[[#This Row],[_Pred1Text]]&amp;"S"),FIND("+",Tasks[[#This Row],[_Pred1Text]]&amp;"+"),FIND("-",Tasks[[#This Row],[_Pred1Text]]&amp;"-"))-1)),""))</f>
        <v/>
      </c>
      <c r="CW19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0" s="43" t="str">
        <f aca="false">IF(Tasks[[#This Row],[_Pred1Text]]="","",TRIM(MID(SUBSTITUTE(SUBSTITUTE(SUBSTITUTE(UPPER(Tasks[[#This Row],[_Predecessors]]),";",",")," ",""),",",REPT(" ",99)),100,99)))</f>
        <v/>
      </c>
      <c r="CZ190" s="43" t="str">
        <f aca="false">IF(Tasks[[#This Row],[_Pred2Text]]="","",IFERROR(VALUE(LEFT(Tasks[[#This Row],[_Pred2Text]],MIN(FIND("F",Tasks[[#This Row],[_Pred2Text]]&amp;"F"),FIND("S",Tasks[[#This Row],[_Pred2Text]]&amp;"S"),FIND("+",Tasks[[#This Row],[_Pred2Text]]&amp;"+"),FIND("-",Tasks[[#This Row],[_Pred2Text]]&amp;"-"))-1)),""))</f>
        <v/>
      </c>
      <c r="DA19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0" s="43" t="str">
        <f aca="false">IF(Tasks[[#This Row],[_Pred2Text]]="","",TRIM(MID(SUBSTITUTE(SUBSTITUTE(SUBSTITUTE(UPPER(Tasks[[#This Row],[_Predecessors]]),";",",")," ",""),",",REPT(" ",99)),199,99)))</f>
        <v/>
      </c>
      <c r="DD190" s="43" t="str">
        <f aca="false">IF(Tasks[[#This Row],[_Pred3Text]]="","",IFERROR(VALUE(LEFT(Tasks[[#This Row],[_Pred3Text]],MIN(FIND("F",Tasks[[#This Row],[_Pred3Text]]&amp;"F"),FIND("S",Tasks[[#This Row],[_Pred3Text]]&amp;"S"),FIND("+",Tasks[[#This Row],[_Pred3Text]]&amp;"+"),FIND("-",Tasks[[#This Row],[_Pred3Text]]&amp;"-"))-1)),""))</f>
        <v/>
      </c>
      <c r="DE19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0" s="43" t="str">
        <f aca="false">IF(Tasks[[#This Row],[_Pred3Text]]="","",TRIM(MID(SUBSTITUTE(SUBSTITUTE(SUBSTITUTE(UPPER(Tasks[[#This Row],[_Predecessors]]),";",",")," ",""),",",REPT(" ",99)),298,99)))</f>
        <v/>
      </c>
      <c r="DH190" s="43" t="str">
        <f aca="false">IF(Tasks[[#This Row],[_Pred4Text]]="","",IFERROR(VALUE(LEFT(Tasks[[#This Row],[_Pred4Text]],MIN(FIND("F",Tasks[[#This Row],[_Pred4Text]]&amp;"F"),FIND("S",Tasks[[#This Row],[_Pred4Text]]&amp;"S"),FIND("+",Tasks[[#This Row],[_Pred4Text]]&amp;"+"),FIND("-",Tasks[[#This Row],[_Pred4Text]]&amp;"-"))-1)),""))</f>
        <v/>
      </c>
      <c r="DI19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0" s="43" t="str">
        <f aca="false">IF(OR(Tasks[[#This Row],[Task Name]]="",Tasks[[#This Row],[_Resources]]=""),"",TRIM(MID(SUBSTITUTE(Tasks[[#This Row],[_Resources]],",",REPT(" ",99)),1,99)))</f>
        <v/>
      </c>
      <c r="DL190" s="43" t="str">
        <f aca="false">IF(Tasks[[#This Row],[_Res1Text]]="","",TRIM(MID(SUBSTITUTE(Tasks[[#This Row],[_Resources]],",",REPT(" ",99)),100,99)))</f>
        <v/>
      </c>
      <c r="DM190" s="43" t="str">
        <f aca="false">IF(Tasks[[#This Row],[_Res2Text]]="","",TRIM(MID(SUBSTITUTE(Tasks[[#This Row],[_Resources]],",",REPT(" ",99)),199,99)))</f>
        <v/>
      </c>
      <c r="DN190" s="43" t="str">
        <f aca="false">IF(Tasks[[#This Row],[_Res3Text]]="","",TRIM(MID(SUBSTITUTE(Tasks[[#This Row],[_Resources]],",",REPT(" ",99)),298,99)))</f>
        <v/>
      </c>
      <c r="DO190" s="43" t="n">
        <f aca="false">IF(Tasks[[#This Row],[_Res1Text]]="",0,IFERROR(MATCH(TRIM(LEFT(Tasks[[#This Row],[_Res1Text]],FIND("[",Tasks[[#This Row],[_Res1Text]]&amp;"[")-1)),res_Name,0),IFERROR(MATCH(TRIM(LEFT(Tasks[[#This Row],[_Res1Text]],FIND("[",Tasks[[#This Row],[_Res1Text]]&amp;"[")-1)),res_Initials,0),0)))</f>
        <v>0</v>
      </c>
      <c r="DP190" s="43" t="n">
        <f aca="false">IF(Tasks[[#This Row],[_Res2Text]]="",0,IFERROR(MATCH(TRIM(LEFT(Tasks[[#This Row],[_Res2Text]],FIND("[",Tasks[[#This Row],[_Res2Text]]&amp;"[")-1)),res_Name,0),IFERROR(MATCH(TRIM(LEFT(Tasks[[#This Row],[_Res2Text]],FIND("[",Tasks[[#This Row],[_Res2Text]]&amp;"[")-1)),res_Initials,0),0)))</f>
        <v>0</v>
      </c>
      <c r="DQ190" s="43" t="n">
        <f aca="false">IF(Tasks[[#This Row],[_Res3Text]]="",0,IFERROR(MATCH(TRIM(LEFT(Tasks[[#This Row],[_Res3Text]],FIND("[",Tasks[[#This Row],[_Res3Text]]&amp;"[")-1)),res_Name,0),IFERROR(MATCH(TRIM(LEFT(Tasks[[#This Row],[_Res3Text]],FIND("[",Tasks[[#This Row],[_Res3Text]]&amp;"[")-1)),res_Initials,0),0)))</f>
        <v>0</v>
      </c>
      <c r="DR190" s="43" t="n">
        <f aca="false">IF(Tasks[[#This Row],[_Res4Text]]="",0,IFERROR(MATCH(TRIM(LEFT(Tasks[[#This Row],[_Res4Text]],FIND("[",Tasks[[#This Row],[_Res4Text]]&amp;"[")-1)),res_Name,0),IFERROR(MATCH(TRIM(LEFT(Tasks[[#This Row],[_Res4Text]],FIND("[",Tasks[[#This Row],[_Res4Text]]&amp;"[")-1)),res_Initials,0),0)))</f>
        <v>0</v>
      </c>
      <c r="DS190" s="43" t="str">
        <f aca="false">IF(Tasks[[#This Row],[_Res1Text]]="","",IF(Tasks[[#This Row],[_Res1Row]]&gt;0,INDEX(res_Name,Tasks[[#This Row],[_Res1Row]]),TRIM(LEFT(Tasks[[#This Row],[_Res1Text]],FIND("[",Tasks[[#This Row],[_Res1Text]]&amp;"[")-1))))</f>
        <v/>
      </c>
      <c r="DT19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0" s="43" t="n">
        <f aca="false">IF(NOT(Tasks[[#This Row],[_IsLeaf]]=1),0,(Tasks[[#This Row],[_Resource1]]&lt;&gt;"")+(Tasks[[#This Row],[_Res2]]&lt;&gt;"")+(Tasks[[#This Row],[_Res3]]&lt;&gt;"")+(Tasks[[#This Row],[_Res4]]&lt;&gt;""))</f>
        <v>0</v>
      </c>
      <c r="DV190" s="43" t="str">
        <f aca="false">IF(Tasks[[#This Row],[_Res2Text]]="","",IF(Tasks[[#This Row],[_Res2Row]]&gt;0,INDEX(res_Name,Tasks[[#This Row],[_Res2Row]]),TRIM(LEFT(Tasks[[#This Row],[_Res2Text]],FIND("[",Tasks[[#This Row],[_Res2Text]]&amp;"[")-1))))</f>
        <v/>
      </c>
      <c r="DW19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0" s="43" t="n">
        <f aca="false">IF(OR(NOT(Tasks[[#This Row],[_IsLeaf]]=1),Tasks[[#This Row],[_Res2Row]]=0),0,N(Tasks[[#This Row],[_Days]])*HoursPerDay*IF(Tasks[[#This Row],[_Res2Units]]="",DefaultUnits,Tasks[[#This Row],[_Res2Units]]))</f>
        <v>0</v>
      </c>
      <c r="DY190" s="43" t="n">
        <f aca="false">IF(AND(AND(Tasks[[#This Row],[_IsLeaf]]=1,Tasks[[#This Row],[_LeafTotalWork]]&gt;0),Tasks[[#This Row],[_Res2Work]]&gt;0),Tasks[[#This Row],[_Res2Work]]/(Tasks[[#This Row],[_FinishWorkday]]-Tasks[[#This Row],[_StartWorkday]]+1),0)</f>
        <v>0</v>
      </c>
      <c r="DZ190" s="43" t="n">
        <f aca="false">Tasks[[#This Row],[_Res2WorkPerWD]]*MAX(0,Tasks[[#This Row],[_StartWorkday]]-1)</f>
        <v>0</v>
      </c>
      <c r="EA190" s="43" t="n">
        <f aca="false">Tasks[[#This Row],[_Res2Work]]*Tasks[[#This Row],[_LeafProgress]]</f>
        <v>0</v>
      </c>
      <c r="EB190" s="43" t="str">
        <f aca="false">IF(Tasks[[#This Row],[_Res3Text]]="","",IF(Tasks[[#This Row],[_Res3Row]]&gt;0,INDEX(res_Name,Tasks[[#This Row],[_Res3Row]]),TRIM(LEFT(Tasks[[#This Row],[_Res3Text]],FIND("[",Tasks[[#This Row],[_Res3Text]]&amp;"[")-1))))</f>
        <v/>
      </c>
      <c r="EC19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0" s="43" t="n">
        <f aca="false">IF(OR(NOT(Tasks[[#This Row],[_IsLeaf]]=1),Tasks[[#This Row],[_Res3Row]]=0),0,N(Tasks[[#This Row],[_Days]])*HoursPerDay*IF(Tasks[[#This Row],[_Res3Units]]="",DefaultUnits,Tasks[[#This Row],[_Res3Units]]))</f>
        <v>0</v>
      </c>
      <c r="EE190" s="43" t="n">
        <f aca="false">IF(AND(AND(Tasks[[#This Row],[_IsLeaf]]=1,Tasks[[#This Row],[_LeafTotalWork]]&gt;0),Tasks[[#This Row],[_Res3Work]]&gt;0),Tasks[[#This Row],[_Res3Work]]/(Tasks[[#This Row],[_FinishWorkday]]-Tasks[[#This Row],[_StartWorkday]]+1),0)</f>
        <v>0</v>
      </c>
      <c r="EF190" s="43" t="n">
        <f aca="false">Tasks[[#This Row],[_Res3WorkPerWD]]*MAX(0,Tasks[[#This Row],[_StartWorkday]]-1)</f>
        <v>0</v>
      </c>
      <c r="EG190" s="43" t="n">
        <f aca="false">Tasks[[#This Row],[_Res3Work]]*Tasks[[#This Row],[_LeafProgress]]</f>
        <v>0</v>
      </c>
      <c r="EH190" s="43" t="str">
        <f aca="false">IF(Tasks[[#This Row],[_Res4Text]]="","",IF(Tasks[[#This Row],[_Res4Row]]&gt;0,INDEX(res_Name,Tasks[[#This Row],[_Res4Row]]),TRIM(LEFT(Tasks[[#This Row],[_Res4Text]],FIND("[",Tasks[[#This Row],[_Res4Text]]&amp;"[")-1))))</f>
        <v/>
      </c>
      <c r="EI19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0" s="43" t="n">
        <f aca="false">IF(OR(NOT(Tasks[[#This Row],[_IsLeaf]]=1),Tasks[[#This Row],[_Res4Row]]=0),0,N(Tasks[[#This Row],[_Days]])*HoursPerDay*IF(Tasks[[#This Row],[_Res4Units]]="",DefaultUnits,Tasks[[#This Row],[_Res4Units]]))</f>
        <v>0</v>
      </c>
      <c r="EK190" s="43" t="n">
        <f aca="false">IF(AND(AND(Tasks[[#This Row],[_IsLeaf]]=1,Tasks[[#This Row],[_LeafTotalWork]]&gt;0),Tasks[[#This Row],[_Res4Work]]&gt;0),Tasks[[#This Row],[_Res4Work]]/(Tasks[[#This Row],[_FinishWorkday]]-Tasks[[#This Row],[_StartWorkday]]+1),0)</f>
        <v>0</v>
      </c>
      <c r="EL190" s="43" t="n">
        <f aca="false">Tasks[[#This Row],[_Res4WorkPerWD]]*MAX(0,Tasks[[#This Row],[_StartWorkday]]-1)</f>
        <v>0</v>
      </c>
      <c r="EM190" s="43" t="n">
        <f aca="false">Tasks[[#This Row],[_Res4Work]]*Tasks[[#This Row],[_LeafProgress]]</f>
        <v>0</v>
      </c>
      <c r="EN190" s="43" t="n">
        <f aca="false">IF(ISNUMBER(Tasks[[#This Row],[% Complete]]),Tasks[[#This Row],[% Complete]],IF(Tasks[[#This Row],[Stage]]="",0,IFERROR(INDEX(stg_Pct,MATCH(Tasks[[#This Row],[Stage]],stg_Name,0)),0)))</f>
        <v>0</v>
      </c>
      <c r="EO190" s="43" t="n">
        <f aca="false">IF(NOT(Tasks[[#This Row],[_IsLeaf]]=1),0,IF(N(Tasks[[#This Row],[Actual Finish]])&gt;0,1,MIN(1,Tasks[[#This Row],[_Pct]])))</f>
        <v>0</v>
      </c>
      <c r="EP190" s="43" t="n">
        <f aca="false">IF(OR(NOT(Tasks[[#This Row],[_IsLeaf]]=1),Tasks[[#This Row],[_Res1Row]]=0),0,N(Tasks[[#This Row],[_Days]])*HoursPerDay*IF(Tasks[[#This Row],[_Units1]]="",DefaultUnits,Tasks[[#This Row],[_Units1]]))</f>
        <v>0</v>
      </c>
      <c r="EQ190" s="43" t="n">
        <f aca="false">Tasks[[#This Row],[_LeafWork]]+Tasks[[#This Row],[_Res2Work]]+Tasks[[#This Row],[_Res3Work]]+Tasks[[#This Row],[_Res4Work]]</f>
        <v>0</v>
      </c>
      <c r="ER19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0" s="43" t="n">
        <f aca="false">IF(NOT(Tasks[[#This Row],[_IsLeaf]]=1),0,MAX(_xlfn.MAXIFS(Tasks[_Row],Tasks[_Pred1UID],Tasks[[#This Row],[UID]]),_xlfn.MAXIFS(Tasks[_Row],Tasks[_Pred2UID],Tasks[[#This Row],[UID]]),_xlfn.MAXIFS(Tasks[_Row],Tasks[_Pred3UID],Tasks[[#This Row],[UID]]),_xlfn.MAXIFS(Tasks[_Row],Tasks[_Pred4UID],Tasks[[#This Row],[UID]])))</f>
        <v>0</v>
      </c>
      <c r="FA19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0" s="91" t="str">
        <f aca="false">IF(NOT(Tasks[[#This Row],[_IsLeaf]]=1),"",IF(N(Tasks[[#This Row],[_Days]])&lt;=0,Tasks[[#This Row],[_LeafLateFinish]],WORKDAY.INTL(Tasks[[#This Row],[_LeafLateFinish]],-(Tasks[[#This Row],[_Days]]-1),WorkWeek,Holidays)))</f>
        <v/>
      </c>
      <c r="FD19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0" s="90" t="b">
        <f aca="false">AND(Tasks[[#This Row],[_IsLeaf]]=1,Tasks[[#This Row],[_LeafProgress]]&lt;1,N(Tasks[[#This Row],[_LeafTotalSlack]])&lt;=CriticalSlackDays)</f>
        <v>0</v>
      </c>
      <c r="FF190" s="43" t="n">
        <f aca="false">IF(AND(Tasks[[#This Row],[_IsLeaf]]=1,Tasks[[#This Row],[_ConstraintCode]]=1,Tasks[[#This Row],[Mode]]&lt;&gt;"Manual",N(Tasks[[#This Row],[Actual Start]])=0),MAX(0,N(Tasks[[#This Row],[Free Slack]])),0)</f>
        <v>0</v>
      </c>
      <c r="FG190" s="91" t="str">
        <f aca="false">IF(NOT(Tasks[[#This Row],[_IsLeaf]]=1),"",IF(Tasks[[#This Row],[_AlapShift]]=0,Tasks[[#This Row],[_LeafCalcStart]],WORKDAY.INTL(Tasks[[#This Row],[_LeafCalcStart]],Tasks[[#This Row],[_AlapShift]],WorkWeek,Holidays)))</f>
        <v/>
      </c>
      <c r="FH190" s="91" t="str">
        <f aca="false">IF(NOT(Tasks[[#This Row],[_IsLeaf]]=1),"",IF(Tasks[[#This Row],[_AlapShift]]=0,Tasks[[#This Row],[_LeafCalcFinish]],WORKDAY.INTL(Tasks[[#This Row],[_LeafCalcFinish]],Tasks[[#This Row],[_AlapShift]],WorkWeek,Holidays)))</f>
        <v/>
      </c>
      <c r="FI190" s="91" t="str">
        <f aca="false">IF(NOT(Tasks[[#This Row],[_IsLeaf]]=1),"",IF(Tasks[[#This Row],[_AlapShift]]=0,Tasks[[#This Row],[_LeafFcstStart]],WORKDAY.INTL(Tasks[[#This Row],[_LeafFcstStart]],Tasks[[#This Row],[_AlapShift]],WorkWeek,Holidays)))</f>
        <v/>
      </c>
      <c r="FJ190" s="91" t="str">
        <f aca="false">IF(NOT(Tasks[[#This Row],[_IsLeaf]]=1),"",IF(Tasks[[#This Row],[_AlapShift]]=0,Tasks[[#This Row],[_LeafFcstFinish]],WORKDAY.INTL(Tasks[[#This Row],[_LeafFcstFinish]],Tasks[[#This Row],[_AlapShift]],WorkWeek,Holidays)))</f>
        <v/>
      </c>
      <c r="FK190" s="91" t="str">
        <f aca="false">IF(Tasks[[#This Row],[Task Name]]="","",IF(Tasks[[#This Row],[_IsSummary]],MIN(INDEX(Tasks[_ShownCalcStart],Tasks[[#This Row],[_Row]]+1):INDEX(Tasks[_ShownCalcStart],Tasks[[#This Row],[_Row]]+Tasks[[#This Row],[_Descendants]])),Tasks[[#This Row],[_ShownCalcStart]]))</f>
        <v/>
      </c>
      <c r="FL190" s="91" t="str">
        <f aca="false">IF(Tasks[[#This Row],[Task Name]]="","",IF(Tasks[[#This Row],[_IsSummary]],MAX(INDEX(Tasks[_ShownCalcFinish],Tasks[[#This Row],[_Row]]+1):INDEX(Tasks[_ShownCalcFinish],Tasks[[#This Row],[_Row]]+Tasks[[#This Row],[_Descendants]])),Tasks[[#This Row],[_ShownCalcFinish]]))</f>
        <v/>
      </c>
      <c r="FM19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0" s="43" t="n">
        <f aca="false">IF(AND(Tasks[[#This Row],[_IsLeaf]]=1,Tasks[[#This Row],[_LeafTotalWork]]&gt;0),NETWORKDAYS.INTL(ProjectStart,Tasks[[#This Row],[_ShownFcstStart]],WorkWeek,Holidays),0)</f>
        <v>0</v>
      </c>
      <c r="FZ190" s="43" t="n">
        <f aca="false">IF(AND(Tasks[[#This Row],[_IsLeaf]]=1,Tasks[[#This Row],[_LeafTotalWork]]&gt;0),MAX(Tasks[[#This Row],[_StartWorkday]],NETWORKDAYS.INTL(ProjectStart,Tasks[[#This Row],[_ShownFcstFinish]],WorkWeek,Holidays)),0)</f>
        <v>0</v>
      </c>
      <c r="GA190" s="43" t="n">
        <f aca="false">IF(AND(Tasks[[#This Row],[_IsLeaf]]=1,Tasks[[#This Row],[_LeafTotalWork]]&gt;0),Tasks[[#This Row],[_LeafWork]]/(Tasks[[#This Row],[_FinishWorkday]]-Tasks[[#This Row],[_StartWorkday]]+1),0)</f>
        <v>0</v>
      </c>
      <c r="GB190" s="43" t="n">
        <f aca="false">Tasks[[#This Row],[_WorkPerWorkday]]*(Tasks[[#This Row],[_StartWorkday]]-1)</f>
        <v>-0</v>
      </c>
      <c r="GC190" s="43" t="n">
        <f aca="false">IF(Tasks[[#This Row],[_IsLeaf]]=1,MAX(N(Tasks[[#This Row],[_Days]]),0.1),0)</f>
        <v>0</v>
      </c>
      <c r="GD190" s="43" t="n">
        <f aca="false">Tasks[[#This Row],[_WeightDur]]*Tasks[[#This Row],[_LeafProgress]]</f>
        <v>0</v>
      </c>
      <c r="GE190" s="43" t="n">
        <f aca="false">Tasks[[#This Row],[_WeightDur]]*Tasks[[#This Row],[_PlannedPct]]</f>
        <v>0</v>
      </c>
      <c r="GF19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0" s="43" t="str">
        <f aca="false">IF(AND(Tasks[[#This Row],[_IsLeaf]]=1,N(Tasks[[#This Row],[_Days]])=0,Tasks[[#This Row],[_LeafProgress]]&lt;1),Tasks[[#This Row],[_ShownFcstFinish]]+Tasks[[#This Row],[_Row]]/100000,"")</f>
        <v/>
      </c>
      <c r="GH19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0" s="43" t="str">
        <f aca="false">IF(Tasks[[#This Row],[Task Name]]="","",LEFT(Tasks[[#This Row],[WBS]],FIND(".",Tasks[[#This Row],[WBS]]&amp;".")-1))</f>
        <v/>
      </c>
      <c r="GJ190" s="43" t="str">
        <f aca="false">IF(AND(Tasks[[#This Row],[Task Name]]&lt;&gt;"",Tasks[[#This Row],[_Level]]=1),Tasks[[#This Row],[_Row]],"")</f>
        <v/>
      </c>
      <c r="GK190" s="43" t="str">
        <f aca="false">IF(AND(Tasks[[#This Row],[_IsLeaf]]=1,N(Tasks[[#This Row],[_Days]])=0),Tasks[[#This Row],[Planned Finish]]+Tasks[[#This Row],[_Row]]/100000,"")</f>
        <v/>
      </c>
      <c r="GL190" s="43" t="str">
        <f aca="false">IF(AND(Tasks[[#This Row],[_IsLeaf]]=1,Tasks[[#This Row],[_LeafProgress]]&lt;1,OR(N(Tasks[[#This Row],[Finish Var]])&gt;0,Tasks[[#This Row],[Status]]="Late Start")),MAX(0,Tasks[[#This Row],[Finish Var]])+1-Tasks[[#This Row],[_Row]]/1000000,"")</f>
        <v/>
      </c>
      <c r="GM190" s="43" t="str">
        <f aca="false">IF(AND(Tasks[[#This Row],[_IsLeaf]]=1,N(Tasks[[#This Row],[Actual Start]])=0,Tasks[[#This Row],[_ShownFcstStart]]&gt;=StatusDate,Tasks[[#This Row],[_ShownFcstStart]]&lt;=LookaheadEnd),Tasks[[#This Row],[_ShownFcstStart]]+Tasks[[#This Row],[_Row]]/100000,"")</f>
        <v/>
      </c>
      <c r="GN190" s="43" t="str">
        <f aca="false">IF(AND(Tasks[[#This Row],[_IsLeaf]]=1,Tasks[[#This Row],[_LeafProgress]]&lt;1,Tasks[[#This Row],[_ShownFcstFinish]]&gt;=StatusDate,Tasks[[#This Row],[_ShownFcstFinish]]&lt;=LookaheadEnd),Tasks[[#This Row],[_ShownFcstFinish]]+Tasks[[#This Row],[_Row]]/100000,"")</f>
        <v/>
      </c>
      <c r="GO190" s="43" t="str">
        <f aca="false">IF(Tasks[[#This Row],[_LeafCritical]],Tasks[[#This Row],[_ShownFcstStart]]+Tasks[[#This Row],[_Row]]/100000,"")</f>
        <v/>
      </c>
      <c r="GP190" s="43" t="n">
        <f aca="false">Tasks[[#This Row],[_LeafWork]]*Tasks[[#This Row],[_LeafProgress]]</f>
        <v>0</v>
      </c>
      <c r="GQ190" s="91" t="str">
        <f aca="false">IF(AND(Tasks[[#This Row],[_IsLeaf]]=1,Tasks[[#This Row],[_LeafProgress]]&gt;=1),IF(N(Tasks[[#This Row],[Actual Finish]])&gt;0,Tasks[[#This Row],[Actual Finish]],Tasks[[#This Row],[_ShownFcstFinish]]),"")</f>
        <v/>
      </c>
      <c r="GR190" s="43" t="n">
        <f aca="false">IF(Tasks[[#This Row],[_IsLeaf]]=1,N(Tasks[[#This Row],[Story Points]]),0)</f>
        <v>0</v>
      </c>
      <c r="GS190" s="43" t="str">
        <f aca="false">""</f>
        <v/>
      </c>
      <c r="GT190" s="90" t="b">
        <f aca="false">IF(Tasks[[#This Row],[Task Name]]="",FALSE(),AND(Tasks[[#This Row],[_IsLeaf]]=1,N(Tasks[[#This Row],[_Days]])=0))</f>
        <v>0</v>
      </c>
      <c r="GU190" s="91" t="n">
        <f aca="false">IF(Tasks[[#This Row],[Task Name]]="",0,IF(AND(Tasks[[#This Row],[_IsLeaf]]=1,NOT(Tasks[[#This Row],[_IsMilestone]]),N(Tasks[[#This Row],[Progress]])&gt;0),Tasks[[#This Row],[Start]],0))</f>
        <v>0</v>
      </c>
      <c r="GV190" s="91" t="n">
        <f aca="false">IF(Tasks[[#This Row],[_DoneFrom]]=0,0,IF(Tasks[[#This Row],[Progress]]&gt;=1,Tasks[[#This Row],[Finish]],MAX(Tasks[[#This Row],[_DoneFrom]],Tasks[[#This Row],[Start]]+ROUND((Tasks[[#This Row],[Finish]]-Tasks[[#This Row],[Start]]+1)*Tasks[[#This Row],[Progress]],0)-1)))</f>
        <v>0</v>
      </c>
      <c r="GW190" s="91" t="n">
        <f aca="false">IF(Tasks[[#This Row],[Task Name]]="",0,IF(OR(NOT(Tasks[[#This Row],[_IsLeaf]]=1),Tasks[[#This Row],[_IsMilestone]],N(Tasks[[#This Row],[Progress]])&gt;=1),0,IF(Tasks[[#This Row],[_DoneTo]]&gt;0,Tasks[[#This Row],[_DoneTo]]+1,Tasks[[#This Row],[Start]])))</f>
        <v>0</v>
      </c>
      <c r="GX190" s="91" t="n">
        <f aca="false">IF(Tasks[[#This Row],[_RemFrom]]=0,0,Tasks[[#This Row],[Finish]])</f>
        <v>0</v>
      </c>
      <c r="GY190" s="90" t="b">
        <f aca="false">IF(Tasks[[#This Row],[Task Name]]="",FALSE(),OR(NOT(BaselineSet),N(Tasks[[#This Row],[Baseline Start]])&gt;0))</f>
        <v>0</v>
      </c>
      <c r="GZ19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0" s="92" t="str">
        <f aca="false">IF(Tasks[[#This Row],[_IsLeaf]]=1,Tasks[[#This Row],[_Row]],"")</f>
        <v/>
      </c>
      <c r="HD190" s="92" t="str">
        <f aca="false">IFERROR(INDEX(Tasks[UID],SMALL(Tasks[_PickKey],Tasks[[#This Row],[_Row]]))&amp;" "&amp;INDEX(Tasks[Task Name],SMALL(Tasks[_PickKey],Tasks[[#This Row],[_Row]])),"")</f>
        <v/>
      </c>
      <c r="HE190" s="43" t="str">
        <f aca="false">IF(Tasks[[#This Row],[Task Name]]="","",IF(Tasks[[#This Row],[_IsSummary]],NETWORKDAYS.INTL(Tasks[[#This Row],[Start]],Tasks[[#This Row],[Finish]],WorkWeek,Holidays),N(Tasks[[#This Row],[_Days]])))</f>
        <v/>
      </c>
      <c r="HF190" s="43" t="n">
        <f aca="false">IF(Tasks[[#This Row],[Expected]]="",0,((Tasks[[#This Row],[Pessimistic]]-Tasks[[#This Row],[Optimistic]])/6)^2)</f>
        <v>0</v>
      </c>
      <c r="HG190" s="43" t="n">
        <f aca="false">IF(Tasks[[#This Row],[Expected]]="",0,Tasks[[#This Row],[Expected]]-N(Tasks[[#This Row],[_Days]]))</f>
        <v>0</v>
      </c>
    </row>
    <row r="191" customFormat="false" ht="15" hidden="false" customHeight="false" outlineLevel="0" collapsed="false">
      <c r="A191" s="21" t="str">
        <f aca="false">IF(Tasks[[#This Row],[Task Name]]="","",COUNTA(Tasks[[#Headers],[Task Name]]:Tasks[[#This Row],[Task Name]])-1)</f>
        <v/>
      </c>
      <c r="B191" s="22" t="n">
        <v>199</v>
      </c>
      <c r="C191" s="22"/>
      <c r="D191" s="23"/>
      <c r="E191" s="22"/>
      <c r="F191" s="23"/>
      <c r="G191" s="22"/>
      <c r="H191" s="22"/>
      <c r="I191" s="23"/>
      <c r="J191" s="22"/>
      <c r="K191" s="22"/>
      <c r="L191" s="23"/>
      <c r="M191" s="22"/>
      <c r="N191" s="22"/>
      <c r="O191" s="23"/>
      <c r="P191" s="22"/>
      <c r="Q191" s="22"/>
      <c r="R191" s="23"/>
      <c r="S191" s="23"/>
      <c r="T191" s="84"/>
      <c r="U191" s="23"/>
      <c r="V191" s="84"/>
      <c r="W191" s="23"/>
      <c r="X191" s="84"/>
      <c r="Y191" s="23"/>
      <c r="Z191" s="84"/>
      <c r="AA191" s="23"/>
      <c r="AB191" s="23"/>
      <c r="AC191" s="7"/>
      <c r="AD191" s="7"/>
      <c r="AE191" s="63" t="str">
        <f aca="false">IF(Tasks[[#This Row],[Task Name]]="","",IF(Tasks[[#This Row],[_IsSummary]],MIN(INDEX(Tasks[_ShownFcstStart],Tasks[[#This Row],[_Row]]+1):INDEX(Tasks[_ShownFcstStart],Tasks[[#This Row],[_Row]]+Tasks[[#This Row],[_Descendants]])),Tasks[[#This Row],[_ShownFcstStart]]))</f>
        <v/>
      </c>
      <c r="AF191" s="63" t="str">
        <f aca="false">IF(Tasks[[#This Row],[Task Name]]="","",IF(Tasks[[#This Row],[_IsSummary]],MAX(INDEX(Tasks[_ShownFcstFinish],Tasks[[#This Row],[_Row]]+1):INDEX(Tasks[_ShownFcstFinish],Tasks[[#This Row],[_Row]]+Tasks[[#This Row],[_Descendants]])),Tasks[[#This Row],[_ShownFcstFinish]]))</f>
        <v/>
      </c>
      <c r="AG191" s="21" t="str">
        <f aca="false">""</f>
        <v/>
      </c>
      <c r="AH191" s="23"/>
      <c r="AI1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1" s="7"/>
      <c r="AK191" s="22"/>
      <c r="AL191" s="23"/>
      <c r="AM191" s="7"/>
      <c r="AN191" s="47" t="str">
        <f aca="false">IF(Tasks[[#This Row],[Task Name]]="","",IF(Tasks[[#This Row],[Finish]]&gt;=Tasks[[#This Row],[Planned Finish]],NETWORKDAYS.INTL(Tasks[[#This Row],[Planned Finish]],Tasks[[#This Row],[Finish]],WorkWeek,Holidays)-1,1-NETWORKDAYS.INTL(Tasks[[#This Row],[Finish]],Tasks[[#This Row],[Planned Finish]],WorkWeek,Holidays)))</f>
        <v/>
      </c>
      <c r="AO191" s="21" t="str">
        <f aca="false">IF(Tasks[[#This Row],[Task Name]]="","",IF(Tasks[[#This Row],[Progress]]&gt;=1,"Complete",IF(OR(N(Tasks[[#This Row],[Actual Start]])&gt;0,Tasks[[#This Row],[Progress]]&gt;0),IF(Tasks[[#This Row],[Finish Var]]&gt;0,"Behind","In Progress"),IF(Tasks[[#This Row],[Planned Start]]&lt;StatusDate,"Late Start","Not Started"))))</f>
        <v/>
      </c>
      <c r="AP191" s="21" t="str">
        <f aca="false">IF(Tasks[[#This Row],[Task Name]]="","",IF(IF(Tasks[[#This Row],[_IsSummary]],COUNTIF(INDEX(Tasks[_LeafCritical],Tasks[[#This Row],[_Row]]+1):INDEX(Tasks[_LeafCritical],Tasks[[#This Row],[_Row]]+Tasks[[#This Row],[_Descendants]]),TRUE())&gt;0,Tasks[[#This Row],[_LeafCritical]]),"Yes",""))</f>
        <v/>
      </c>
      <c r="AQ191" s="63" t="str">
        <f aca="false">IF(Tasks[[#This Row],[Task Name]]="","",IF(N(Tasks[[#This Row],[Baseline Start]])&gt;0,Tasks[[#This Row],[Baseline Start]],Tasks[[#This Row],[_CalcStart]]))</f>
        <v/>
      </c>
      <c r="AR191" s="63" t="str">
        <f aca="false">IF(Tasks[[#This Row],[Task Name]]="","",IF(N(Tasks[[#This Row],[Baseline Finish]])&gt;0,Tasks[[#This Row],[Baseline Finish]],Tasks[[#This Row],[_CalcFinish]]))</f>
        <v/>
      </c>
      <c r="AS191" s="47" t="str">
        <f aca="false">IF(Tasks[[#This Row],[Task Name]]="","",IF(Tasks[[#This Row],[Start]]&gt;=Tasks[[#This Row],[Planned Start]],NETWORKDAYS.INTL(Tasks[[#This Row],[Planned Start]],Tasks[[#This Row],[Start]],WorkWeek,Holidays)-1,1-NETWORKDAYS.INTL(Tasks[[#This Row],[Start]],Tasks[[#This Row],[Planned Start]],WorkWeek,Holidays)))</f>
        <v/>
      </c>
      <c r="AT191" s="63" t="str">
        <f aca="false">IF(Tasks[[#This Row],[Task Name]]="","",IF(Tasks[[#This Row],[_IsSummary]],MIN(INDEX(Tasks[_LeafLateStart],Tasks[[#This Row],[_Row]]+1):INDEX(Tasks[_LeafLateStart],Tasks[[#This Row],[_Row]]+Tasks[[#This Row],[_Descendants]])),Tasks[[#This Row],[_LeafLateStart]]))</f>
        <v/>
      </c>
      <c r="AU191" s="63" t="str">
        <f aca="false">IF(Tasks[[#This Row],[Task Name]]="","",IF(Tasks[[#This Row],[_IsSummary]],MAX(INDEX(Tasks[_LeafLateFinish],Tasks[[#This Row],[_Row]]+1):INDEX(Tasks[_LeafLateFinish],Tasks[[#This Row],[_Row]]+Tasks[[#This Row],[_Descendants]])),Tasks[[#This Row],[_LeafLateFinish]]))</f>
        <v/>
      </c>
      <c r="AV191" s="47" t="str">
        <f aca="false">IF(Tasks[[#This Row],[Task Name]]="","",IF(Tasks[[#This Row],[_IsSummary]],MIN(INDEX(Tasks[_LeafTotalSlack],Tasks[[#This Row],[_Row]]+1):INDEX(Tasks[_LeafTotalSlack],Tasks[[#This Row],[_Row]]+Tasks[[#This Row],[_Descendants]])),Tasks[[#This Row],[_LeafTotalSlack]]))</f>
        <v/>
      </c>
      <c r="AW1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5"/>
      <c r="BA19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1" t="str">
        <f aca="false">IF(Tasks[[#This Row],[Task Name]]="","",IF(Tasks[[#This Row],[_Level]]&lt;=OutlineShowLevel,"Yes","No"))</f>
        <v/>
      </c>
      <c r="BE191" s="86" t="str">
        <f aca="false">IF(Tasks[[#This Row],[Task Name]]="","",IF(Tasks[[#This Row],[_IsSummary]],SUM(INDEX(Tasks[_LeafTotalWork],Tasks[[#This Row],[_Row]]+1):INDEX(Tasks[_LeafTotalWork],Tasks[[#This Row],[_Row]]+Tasks[[#This Row],[_Descendants]])),Tasks[[#This Row],[_LeafTotalWork]]))</f>
        <v/>
      </c>
      <c r="BF191" s="23"/>
      <c r="BG1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1" s="21" t="str">
        <f aca="false">""</f>
        <v/>
      </c>
      <c r="BI191" s="87"/>
      <c r="BJ191" s="22"/>
      <c r="BK191" s="47" t="str">
        <f aca="false">IF(OR(Tasks[[#This Row],[Task Name]]="",Tasks[[#This Row],[Baseline Duration]]=""),"",Tasks[[#This Row],[_SpanDays]]-N(Tasks[[#This Row],[Baseline Duration]]))</f>
        <v/>
      </c>
      <c r="BL191" s="86" t="str">
        <f aca="false">IF(OR(Tasks[[#This Row],[Task Name]]="",Tasks[[#This Row],[Baseline Work]]=""),"",Tasks[[#This Row],[Work]]-N(Tasks[[#This Row],[Baseline Work]]))</f>
        <v/>
      </c>
      <c r="BM191" s="63" t="str">
        <f aca="false">IF(Tasks[[#This Row],[Task Name]]="","",IF(OR(TakeBaseline="Yes",N(Tasks[[#This Row],[Baseline Start]])=0),Tasks[[#This Row],[Start]],Tasks[[#This Row],[Baseline Start]]))</f>
        <v/>
      </c>
      <c r="BN191" s="63" t="str">
        <f aca="false">IF(Tasks[[#This Row],[Task Name]]="","",IF(OR(TakeBaseline="Yes",N(Tasks[[#This Row],[Baseline Finish]])=0),Tasks[[#This Row],[Finish]],Tasks[[#This Row],[Baseline Finish]]))</f>
        <v/>
      </c>
      <c r="BO191" s="21" t="str">
        <f aca="false">IF(Tasks[[#This Row],[Task Name]]="","",IF(OR(TakeBaseline="Yes",N(Tasks[[#This Row],[Baseline Duration]])=0),Tasks[[#This Row],[_SpanDays]],Tasks[[#This Row],[Baseline Duration]]))</f>
        <v/>
      </c>
      <c r="BP191" s="86" t="str">
        <f aca="false">IF(Tasks[[#This Row],[Task Name]]="","",IF(OR(TakeBaseline="Yes",N(Tasks[[#This Row],[Baseline Work]])=0),Tasks[[#This Row],[Work]],Tasks[[#This Row],[Baseline Work]]))</f>
        <v/>
      </c>
      <c r="BQ191" s="7"/>
      <c r="BR191" s="7"/>
      <c r="BS191" s="22"/>
      <c r="BT191" s="88"/>
      <c r="BU191" s="23"/>
      <c r="BV191" s="23"/>
      <c r="BW191" s="23"/>
      <c r="BX191" s="89" t="str">
        <f aca="false">IF(AND(Tasks[[#This Row],[_IsLeaf]]=1,ISNUMBER(Tasks[[#This Row],[Optimistic]]),ISNUMBER(Tasks[[#This Row],[Pessimistic]])),ROUND((Tasks[[#This Row],[Optimistic]]+4*N(Tasks[[#This Row],[_Days]])+Tasks[[#This Row],[Pessimistic]])/6,1),"")</f>
        <v/>
      </c>
      <c r="BY191" s="87"/>
      <c r="BZ191" s="87"/>
      <c r="CA191" s="22"/>
      <c r="CB191" s="43" t="str">
        <f aca="false">IF(Tasks[[#This Row],[Task Name]]="","",MAX(1,N(Tasks[[#This Row],[Level]])))</f>
        <v/>
      </c>
      <c r="CC191" s="43" t="n">
        <f aca="false">ROW()-ROW(Tasks[[#Headers],[ID]])</f>
        <v>186</v>
      </c>
      <c r="CD191" s="43" t="n">
        <f aca="false">IF(OR(Tasks[[#This Row],[Task Name]]="",Tasks[[#This Row],[_Level]]&lt;=1),0,IFERROR(LOOKUP(2,1/(Tasks[[#Headers],[_Level]]:Tasks[[#This Row],[_Level]]=Tasks[[#This Row],[_Level]]-1),ROW(Tasks[[#Headers],[_Level]]:Tasks[[#This Row],[_Level]])),0))</f>
        <v>0</v>
      </c>
      <c r="CE191" s="43" t="n">
        <f aca="false">IFERROR(N(INDEX(Tasks[_Level],Tasks[[#This Row],[_Row]]+1)),0)</f>
        <v>0</v>
      </c>
      <c r="CF191" s="90" t="b">
        <f aca="false">AND(Tasks[[#This Row],[Task Name]]&lt;&gt;"",Tasks[[#This Row],[_NextLevel]]&gt;Tasks[[#This Row],[_Level]])</f>
        <v>0</v>
      </c>
      <c r="CG191" s="43" t="n">
        <f aca="false">IF(Tasks[[#This Row],[_IsSummary]],COUNTIF(Tasks[WBS],Tasks[[#This Row],[WBS]]&amp;".*"),0)</f>
        <v>0</v>
      </c>
      <c r="CH191" s="43" t="n">
        <f aca="false">IF(AND(Tasks[[#This Row],[Task Name]]&lt;&gt;"",NOT(Tasks[[#This Row],[_IsSummary]])),1,0)</f>
        <v>0</v>
      </c>
      <c r="CI191" s="43" t="n">
        <f aca="false">IF(N(Tasks[[#This Row],[_Pred1UID]])=0,0,IFERROR(MATCH(Tasks[[#This Row],[_Pred1UID]],Tasks[UID],0),-1))</f>
        <v>0</v>
      </c>
      <c r="CJ191" s="43" t="n">
        <f aca="false">IF(N(Tasks[[#This Row],[_Pred2UID]])=0,0,IFERROR(MATCH(Tasks[[#This Row],[_Pred2UID]],Tasks[UID],0),-1))</f>
        <v>0</v>
      </c>
      <c r="CK191" s="43" t="n">
        <f aca="false">IF(N(Tasks[[#This Row],[_Pred3UID]])=0,0,IFERROR(MATCH(Tasks[[#This Row],[_Pred3UID]],Tasks[UID],0),-1))</f>
        <v>0</v>
      </c>
      <c r="CL191" s="43" t="n">
        <f aca="false">IF(N(Tasks[[#This Row],[_Pred4UID]])=0,0,IFERROR(MATCH(Tasks[[#This Row],[_Pred4UID]],Tasks[UID],0),-1))</f>
        <v>0</v>
      </c>
      <c r="CM19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1" s="91" t="n">
        <f aca="false">IF(OR(Tasks[[#This Row],[_ConstraintCode]]=2,Tasks[[#This Row],[_ConstraintCode]]=3,Tasks[[#This Row],[_ConstraintCode]]=4,Tasks[[#This Row],[_ConstraintCode]]=6),Tasks[[#This Row],[_ConstraintStart]],0)</f>
        <v>0</v>
      </c>
      <c r="CP191" s="91" t="n">
        <f aca="false">IF(OR(Tasks[[#This Row],[_ConstraintCode]]=2,Tasks[[#This Row],[_ConstraintCode]]=3,Tasks[[#This Row],[_ConstraintCode]]=5,Tasks[[#This Row],[_ConstraintCode]]=7),Tasks[[#This Row],[_ConstraintStart]],2958465)</f>
        <v>2958465</v>
      </c>
      <c r="CQ19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1" s="91" t="str">
        <f aca="false">IF(NOT(Tasks[[#This Row],[_IsLeaf]]=1),"",IF(N(Tasks[[#This Row],[_Days]])&lt;=0,Tasks[[#This Row],[_LeafCalcStart]],WORKDAY.INTL(Tasks[[#This Row],[_LeafCalcStart]],Tasks[[#This Row],[_Days]]-1,WorkWeek,Holidays)))</f>
        <v/>
      </c>
      <c r="CS19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1" s="43" t="str">
        <f aca="false">IF(Tasks[[#This Row],[_Predecessors]]="","",TRIM(MID(SUBSTITUTE(SUBSTITUTE(SUBSTITUTE(UPPER(Tasks[[#This Row],[_Predecessors]]),";",",")," ",""),",",REPT(" ",99)),1,99)))</f>
        <v/>
      </c>
      <c r="CV191" s="43" t="str">
        <f aca="false">IF(Tasks[[#This Row],[_Pred1Text]]="","",IFERROR(VALUE(LEFT(Tasks[[#This Row],[_Pred1Text]],MIN(FIND("F",Tasks[[#This Row],[_Pred1Text]]&amp;"F"),FIND("S",Tasks[[#This Row],[_Pred1Text]]&amp;"S"),FIND("+",Tasks[[#This Row],[_Pred1Text]]&amp;"+"),FIND("-",Tasks[[#This Row],[_Pred1Text]]&amp;"-"))-1)),""))</f>
        <v/>
      </c>
      <c r="CW19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1" s="43" t="str">
        <f aca="false">IF(Tasks[[#This Row],[_Pred1Text]]="","",TRIM(MID(SUBSTITUTE(SUBSTITUTE(SUBSTITUTE(UPPER(Tasks[[#This Row],[_Predecessors]]),";",",")," ",""),",",REPT(" ",99)),100,99)))</f>
        <v/>
      </c>
      <c r="CZ191" s="43" t="str">
        <f aca="false">IF(Tasks[[#This Row],[_Pred2Text]]="","",IFERROR(VALUE(LEFT(Tasks[[#This Row],[_Pred2Text]],MIN(FIND("F",Tasks[[#This Row],[_Pred2Text]]&amp;"F"),FIND("S",Tasks[[#This Row],[_Pred2Text]]&amp;"S"),FIND("+",Tasks[[#This Row],[_Pred2Text]]&amp;"+"),FIND("-",Tasks[[#This Row],[_Pred2Text]]&amp;"-"))-1)),""))</f>
        <v/>
      </c>
      <c r="DA19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1" s="43" t="str">
        <f aca="false">IF(Tasks[[#This Row],[_Pred2Text]]="","",TRIM(MID(SUBSTITUTE(SUBSTITUTE(SUBSTITUTE(UPPER(Tasks[[#This Row],[_Predecessors]]),";",",")," ",""),",",REPT(" ",99)),199,99)))</f>
        <v/>
      </c>
      <c r="DD191" s="43" t="str">
        <f aca="false">IF(Tasks[[#This Row],[_Pred3Text]]="","",IFERROR(VALUE(LEFT(Tasks[[#This Row],[_Pred3Text]],MIN(FIND("F",Tasks[[#This Row],[_Pred3Text]]&amp;"F"),FIND("S",Tasks[[#This Row],[_Pred3Text]]&amp;"S"),FIND("+",Tasks[[#This Row],[_Pred3Text]]&amp;"+"),FIND("-",Tasks[[#This Row],[_Pred3Text]]&amp;"-"))-1)),""))</f>
        <v/>
      </c>
      <c r="DE19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1" s="43" t="str">
        <f aca="false">IF(Tasks[[#This Row],[_Pred3Text]]="","",TRIM(MID(SUBSTITUTE(SUBSTITUTE(SUBSTITUTE(UPPER(Tasks[[#This Row],[_Predecessors]]),";",",")," ",""),",",REPT(" ",99)),298,99)))</f>
        <v/>
      </c>
      <c r="DH191" s="43" t="str">
        <f aca="false">IF(Tasks[[#This Row],[_Pred4Text]]="","",IFERROR(VALUE(LEFT(Tasks[[#This Row],[_Pred4Text]],MIN(FIND("F",Tasks[[#This Row],[_Pred4Text]]&amp;"F"),FIND("S",Tasks[[#This Row],[_Pred4Text]]&amp;"S"),FIND("+",Tasks[[#This Row],[_Pred4Text]]&amp;"+"),FIND("-",Tasks[[#This Row],[_Pred4Text]]&amp;"-"))-1)),""))</f>
        <v/>
      </c>
      <c r="DI19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1" s="43" t="str">
        <f aca="false">IF(OR(Tasks[[#This Row],[Task Name]]="",Tasks[[#This Row],[_Resources]]=""),"",TRIM(MID(SUBSTITUTE(Tasks[[#This Row],[_Resources]],",",REPT(" ",99)),1,99)))</f>
        <v/>
      </c>
      <c r="DL191" s="43" t="str">
        <f aca="false">IF(Tasks[[#This Row],[_Res1Text]]="","",TRIM(MID(SUBSTITUTE(Tasks[[#This Row],[_Resources]],",",REPT(" ",99)),100,99)))</f>
        <v/>
      </c>
      <c r="DM191" s="43" t="str">
        <f aca="false">IF(Tasks[[#This Row],[_Res2Text]]="","",TRIM(MID(SUBSTITUTE(Tasks[[#This Row],[_Resources]],",",REPT(" ",99)),199,99)))</f>
        <v/>
      </c>
      <c r="DN191" s="43" t="str">
        <f aca="false">IF(Tasks[[#This Row],[_Res3Text]]="","",TRIM(MID(SUBSTITUTE(Tasks[[#This Row],[_Resources]],",",REPT(" ",99)),298,99)))</f>
        <v/>
      </c>
      <c r="DO191" s="43" t="n">
        <f aca="false">IF(Tasks[[#This Row],[_Res1Text]]="",0,IFERROR(MATCH(TRIM(LEFT(Tasks[[#This Row],[_Res1Text]],FIND("[",Tasks[[#This Row],[_Res1Text]]&amp;"[")-1)),res_Name,0),IFERROR(MATCH(TRIM(LEFT(Tasks[[#This Row],[_Res1Text]],FIND("[",Tasks[[#This Row],[_Res1Text]]&amp;"[")-1)),res_Initials,0),0)))</f>
        <v>0</v>
      </c>
      <c r="DP191" s="43" t="n">
        <f aca="false">IF(Tasks[[#This Row],[_Res2Text]]="",0,IFERROR(MATCH(TRIM(LEFT(Tasks[[#This Row],[_Res2Text]],FIND("[",Tasks[[#This Row],[_Res2Text]]&amp;"[")-1)),res_Name,0),IFERROR(MATCH(TRIM(LEFT(Tasks[[#This Row],[_Res2Text]],FIND("[",Tasks[[#This Row],[_Res2Text]]&amp;"[")-1)),res_Initials,0),0)))</f>
        <v>0</v>
      </c>
      <c r="DQ191" s="43" t="n">
        <f aca="false">IF(Tasks[[#This Row],[_Res3Text]]="",0,IFERROR(MATCH(TRIM(LEFT(Tasks[[#This Row],[_Res3Text]],FIND("[",Tasks[[#This Row],[_Res3Text]]&amp;"[")-1)),res_Name,0),IFERROR(MATCH(TRIM(LEFT(Tasks[[#This Row],[_Res3Text]],FIND("[",Tasks[[#This Row],[_Res3Text]]&amp;"[")-1)),res_Initials,0),0)))</f>
        <v>0</v>
      </c>
      <c r="DR191" s="43" t="n">
        <f aca="false">IF(Tasks[[#This Row],[_Res4Text]]="",0,IFERROR(MATCH(TRIM(LEFT(Tasks[[#This Row],[_Res4Text]],FIND("[",Tasks[[#This Row],[_Res4Text]]&amp;"[")-1)),res_Name,0),IFERROR(MATCH(TRIM(LEFT(Tasks[[#This Row],[_Res4Text]],FIND("[",Tasks[[#This Row],[_Res4Text]]&amp;"[")-1)),res_Initials,0),0)))</f>
        <v>0</v>
      </c>
      <c r="DS191" s="43" t="str">
        <f aca="false">IF(Tasks[[#This Row],[_Res1Text]]="","",IF(Tasks[[#This Row],[_Res1Row]]&gt;0,INDEX(res_Name,Tasks[[#This Row],[_Res1Row]]),TRIM(LEFT(Tasks[[#This Row],[_Res1Text]],FIND("[",Tasks[[#This Row],[_Res1Text]]&amp;"[")-1))))</f>
        <v/>
      </c>
      <c r="DT19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1" s="43" t="n">
        <f aca="false">IF(NOT(Tasks[[#This Row],[_IsLeaf]]=1),0,(Tasks[[#This Row],[_Resource1]]&lt;&gt;"")+(Tasks[[#This Row],[_Res2]]&lt;&gt;"")+(Tasks[[#This Row],[_Res3]]&lt;&gt;"")+(Tasks[[#This Row],[_Res4]]&lt;&gt;""))</f>
        <v>0</v>
      </c>
      <c r="DV191" s="43" t="str">
        <f aca="false">IF(Tasks[[#This Row],[_Res2Text]]="","",IF(Tasks[[#This Row],[_Res2Row]]&gt;0,INDEX(res_Name,Tasks[[#This Row],[_Res2Row]]),TRIM(LEFT(Tasks[[#This Row],[_Res2Text]],FIND("[",Tasks[[#This Row],[_Res2Text]]&amp;"[")-1))))</f>
        <v/>
      </c>
      <c r="DW19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1" s="43" t="n">
        <f aca="false">IF(OR(NOT(Tasks[[#This Row],[_IsLeaf]]=1),Tasks[[#This Row],[_Res2Row]]=0),0,N(Tasks[[#This Row],[_Days]])*HoursPerDay*IF(Tasks[[#This Row],[_Res2Units]]="",DefaultUnits,Tasks[[#This Row],[_Res2Units]]))</f>
        <v>0</v>
      </c>
      <c r="DY191" s="43" t="n">
        <f aca="false">IF(AND(AND(Tasks[[#This Row],[_IsLeaf]]=1,Tasks[[#This Row],[_LeafTotalWork]]&gt;0),Tasks[[#This Row],[_Res2Work]]&gt;0),Tasks[[#This Row],[_Res2Work]]/(Tasks[[#This Row],[_FinishWorkday]]-Tasks[[#This Row],[_StartWorkday]]+1),0)</f>
        <v>0</v>
      </c>
      <c r="DZ191" s="43" t="n">
        <f aca="false">Tasks[[#This Row],[_Res2WorkPerWD]]*MAX(0,Tasks[[#This Row],[_StartWorkday]]-1)</f>
        <v>0</v>
      </c>
      <c r="EA191" s="43" t="n">
        <f aca="false">Tasks[[#This Row],[_Res2Work]]*Tasks[[#This Row],[_LeafProgress]]</f>
        <v>0</v>
      </c>
      <c r="EB191" s="43" t="str">
        <f aca="false">IF(Tasks[[#This Row],[_Res3Text]]="","",IF(Tasks[[#This Row],[_Res3Row]]&gt;0,INDEX(res_Name,Tasks[[#This Row],[_Res3Row]]),TRIM(LEFT(Tasks[[#This Row],[_Res3Text]],FIND("[",Tasks[[#This Row],[_Res3Text]]&amp;"[")-1))))</f>
        <v/>
      </c>
      <c r="EC19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1" s="43" t="n">
        <f aca="false">IF(OR(NOT(Tasks[[#This Row],[_IsLeaf]]=1),Tasks[[#This Row],[_Res3Row]]=0),0,N(Tasks[[#This Row],[_Days]])*HoursPerDay*IF(Tasks[[#This Row],[_Res3Units]]="",DefaultUnits,Tasks[[#This Row],[_Res3Units]]))</f>
        <v>0</v>
      </c>
      <c r="EE191" s="43" t="n">
        <f aca="false">IF(AND(AND(Tasks[[#This Row],[_IsLeaf]]=1,Tasks[[#This Row],[_LeafTotalWork]]&gt;0),Tasks[[#This Row],[_Res3Work]]&gt;0),Tasks[[#This Row],[_Res3Work]]/(Tasks[[#This Row],[_FinishWorkday]]-Tasks[[#This Row],[_StartWorkday]]+1),0)</f>
        <v>0</v>
      </c>
      <c r="EF191" s="43" t="n">
        <f aca="false">Tasks[[#This Row],[_Res3WorkPerWD]]*MAX(0,Tasks[[#This Row],[_StartWorkday]]-1)</f>
        <v>0</v>
      </c>
      <c r="EG191" s="43" t="n">
        <f aca="false">Tasks[[#This Row],[_Res3Work]]*Tasks[[#This Row],[_LeafProgress]]</f>
        <v>0</v>
      </c>
      <c r="EH191" s="43" t="str">
        <f aca="false">IF(Tasks[[#This Row],[_Res4Text]]="","",IF(Tasks[[#This Row],[_Res4Row]]&gt;0,INDEX(res_Name,Tasks[[#This Row],[_Res4Row]]),TRIM(LEFT(Tasks[[#This Row],[_Res4Text]],FIND("[",Tasks[[#This Row],[_Res4Text]]&amp;"[")-1))))</f>
        <v/>
      </c>
      <c r="EI19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1" s="43" t="n">
        <f aca="false">IF(OR(NOT(Tasks[[#This Row],[_IsLeaf]]=1),Tasks[[#This Row],[_Res4Row]]=0),0,N(Tasks[[#This Row],[_Days]])*HoursPerDay*IF(Tasks[[#This Row],[_Res4Units]]="",DefaultUnits,Tasks[[#This Row],[_Res4Units]]))</f>
        <v>0</v>
      </c>
      <c r="EK191" s="43" t="n">
        <f aca="false">IF(AND(AND(Tasks[[#This Row],[_IsLeaf]]=1,Tasks[[#This Row],[_LeafTotalWork]]&gt;0),Tasks[[#This Row],[_Res4Work]]&gt;0),Tasks[[#This Row],[_Res4Work]]/(Tasks[[#This Row],[_FinishWorkday]]-Tasks[[#This Row],[_StartWorkday]]+1),0)</f>
        <v>0</v>
      </c>
      <c r="EL191" s="43" t="n">
        <f aca="false">Tasks[[#This Row],[_Res4WorkPerWD]]*MAX(0,Tasks[[#This Row],[_StartWorkday]]-1)</f>
        <v>0</v>
      </c>
      <c r="EM191" s="43" t="n">
        <f aca="false">Tasks[[#This Row],[_Res4Work]]*Tasks[[#This Row],[_LeafProgress]]</f>
        <v>0</v>
      </c>
      <c r="EN191" s="43" t="n">
        <f aca="false">IF(ISNUMBER(Tasks[[#This Row],[% Complete]]),Tasks[[#This Row],[% Complete]],IF(Tasks[[#This Row],[Stage]]="",0,IFERROR(INDEX(stg_Pct,MATCH(Tasks[[#This Row],[Stage]],stg_Name,0)),0)))</f>
        <v>0</v>
      </c>
      <c r="EO191" s="43" t="n">
        <f aca="false">IF(NOT(Tasks[[#This Row],[_IsLeaf]]=1),0,IF(N(Tasks[[#This Row],[Actual Finish]])&gt;0,1,MIN(1,Tasks[[#This Row],[_Pct]])))</f>
        <v>0</v>
      </c>
      <c r="EP191" s="43" t="n">
        <f aca="false">IF(OR(NOT(Tasks[[#This Row],[_IsLeaf]]=1),Tasks[[#This Row],[_Res1Row]]=0),0,N(Tasks[[#This Row],[_Days]])*HoursPerDay*IF(Tasks[[#This Row],[_Units1]]="",DefaultUnits,Tasks[[#This Row],[_Units1]]))</f>
        <v>0</v>
      </c>
      <c r="EQ191" s="43" t="n">
        <f aca="false">Tasks[[#This Row],[_LeafWork]]+Tasks[[#This Row],[_Res2Work]]+Tasks[[#This Row],[_Res3Work]]+Tasks[[#This Row],[_Res4Work]]</f>
        <v>0</v>
      </c>
      <c r="ER19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1" s="43" t="n">
        <f aca="false">IF(NOT(Tasks[[#This Row],[_IsLeaf]]=1),0,MAX(_xlfn.MAXIFS(Tasks[_Row],Tasks[_Pred1UID],Tasks[[#This Row],[UID]]),_xlfn.MAXIFS(Tasks[_Row],Tasks[_Pred2UID],Tasks[[#This Row],[UID]]),_xlfn.MAXIFS(Tasks[_Row],Tasks[_Pred3UID],Tasks[[#This Row],[UID]]),_xlfn.MAXIFS(Tasks[_Row],Tasks[_Pred4UID],Tasks[[#This Row],[UID]])))</f>
        <v>0</v>
      </c>
      <c r="FA19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1" s="91" t="str">
        <f aca="false">IF(NOT(Tasks[[#This Row],[_IsLeaf]]=1),"",IF(N(Tasks[[#This Row],[_Days]])&lt;=0,Tasks[[#This Row],[_LeafLateFinish]],WORKDAY.INTL(Tasks[[#This Row],[_LeafLateFinish]],-(Tasks[[#This Row],[_Days]]-1),WorkWeek,Holidays)))</f>
        <v/>
      </c>
      <c r="FD19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1" s="90" t="b">
        <f aca="false">AND(Tasks[[#This Row],[_IsLeaf]]=1,Tasks[[#This Row],[_LeafProgress]]&lt;1,N(Tasks[[#This Row],[_LeafTotalSlack]])&lt;=CriticalSlackDays)</f>
        <v>0</v>
      </c>
      <c r="FF191" s="43" t="n">
        <f aca="false">IF(AND(Tasks[[#This Row],[_IsLeaf]]=1,Tasks[[#This Row],[_ConstraintCode]]=1,Tasks[[#This Row],[Mode]]&lt;&gt;"Manual",N(Tasks[[#This Row],[Actual Start]])=0),MAX(0,N(Tasks[[#This Row],[Free Slack]])),0)</f>
        <v>0</v>
      </c>
      <c r="FG191" s="91" t="str">
        <f aca="false">IF(NOT(Tasks[[#This Row],[_IsLeaf]]=1),"",IF(Tasks[[#This Row],[_AlapShift]]=0,Tasks[[#This Row],[_LeafCalcStart]],WORKDAY.INTL(Tasks[[#This Row],[_LeafCalcStart]],Tasks[[#This Row],[_AlapShift]],WorkWeek,Holidays)))</f>
        <v/>
      </c>
      <c r="FH191" s="91" t="str">
        <f aca="false">IF(NOT(Tasks[[#This Row],[_IsLeaf]]=1),"",IF(Tasks[[#This Row],[_AlapShift]]=0,Tasks[[#This Row],[_LeafCalcFinish]],WORKDAY.INTL(Tasks[[#This Row],[_LeafCalcFinish]],Tasks[[#This Row],[_AlapShift]],WorkWeek,Holidays)))</f>
        <v/>
      </c>
      <c r="FI191" s="91" t="str">
        <f aca="false">IF(NOT(Tasks[[#This Row],[_IsLeaf]]=1),"",IF(Tasks[[#This Row],[_AlapShift]]=0,Tasks[[#This Row],[_LeafFcstStart]],WORKDAY.INTL(Tasks[[#This Row],[_LeafFcstStart]],Tasks[[#This Row],[_AlapShift]],WorkWeek,Holidays)))</f>
        <v/>
      </c>
      <c r="FJ191" s="91" t="str">
        <f aca="false">IF(NOT(Tasks[[#This Row],[_IsLeaf]]=1),"",IF(Tasks[[#This Row],[_AlapShift]]=0,Tasks[[#This Row],[_LeafFcstFinish]],WORKDAY.INTL(Tasks[[#This Row],[_LeafFcstFinish]],Tasks[[#This Row],[_AlapShift]],WorkWeek,Holidays)))</f>
        <v/>
      </c>
      <c r="FK191" s="91" t="str">
        <f aca="false">IF(Tasks[[#This Row],[Task Name]]="","",IF(Tasks[[#This Row],[_IsSummary]],MIN(INDEX(Tasks[_ShownCalcStart],Tasks[[#This Row],[_Row]]+1):INDEX(Tasks[_ShownCalcStart],Tasks[[#This Row],[_Row]]+Tasks[[#This Row],[_Descendants]])),Tasks[[#This Row],[_ShownCalcStart]]))</f>
        <v/>
      </c>
      <c r="FL191" s="91" t="str">
        <f aca="false">IF(Tasks[[#This Row],[Task Name]]="","",IF(Tasks[[#This Row],[_IsSummary]],MAX(INDEX(Tasks[_ShownCalcFinish],Tasks[[#This Row],[_Row]]+1):INDEX(Tasks[_ShownCalcFinish],Tasks[[#This Row],[_Row]]+Tasks[[#This Row],[_Descendants]])),Tasks[[#This Row],[_ShownCalcFinish]]))</f>
        <v/>
      </c>
      <c r="FM19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1" s="43" t="n">
        <f aca="false">IF(AND(Tasks[[#This Row],[_IsLeaf]]=1,Tasks[[#This Row],[_LeafTotalWork]]&gt;0),NETWORKDAYS.INTL(ProjectStart,Tasks[[#This Row],[_ShownFcstStart]],WorkWeek,Holidays),0)</f>
        <v>0</v>
      </c>
      <c r="FZ191" s="43" t="n">
        <f aca="false">IF(AND(Tasks[[#This Row],[_IsLeaf]]=1,Tasks[[#This Row],[_LeafTotalWork]]&gt;0),MAX(Tasks[[#This Row],[_StartWorkday]],NETWORKDAYS.INTL(ProjectStart,Tasks[[#This Row],[_ShownFcstFinish]],WorkWeek,Holidays)),0)</f>
        <v>0</v>
      </c>
      <c r="GA191" s="43" t="n">
        <f aca="false">IF(AND(Tasks[[#This Row],[_IsLeaf]]=1,Tasks[[#This Row],[_LeafTotalWork]]&gt;0),Tasks[[#This Row],[_LeafWork]]/(Tasks[[#This Row],[_FinishWorkday]]-Tasks[[#This Row],[_StartWorkday]]+1),0)</f>
        <v>0</v>
      </c>
      <c r="GB191" s="43" t="n">
        <f aca="false">Tasks[[#This Row],[_WorkPerWorkday]]*(Tasks[[#This Row],[_StartWorkday]]-1)</f>
        <v>-0</v>
      </c>
      <c r="GC191" s="43" t="n">
        <f aca="false">IF(Tasks[[#This Row],[_IsLeaf]]=1,MAX(N(Tasks[[#This Row],[_Days]]),0.1),0)</f>
        <v>0</v>
      </c>
      <c r="GD191" s="43" t="n">
        <f aca="false">Tasks[[#This Row],[_WeightDur]]*Tasks[[#This Row],[_LeafProgress]]</f>
        <v>0</v>
      </c>
      <c r="GE191" s="43" t="n">
        <f aca="false">Tasks[[#This Row],[_WeightDur]]*Tasks[[#This Row],[_PlannedPct]]</f>
        <v>0</v>
      </c>
      <c r="GF19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1" s="43" t="str">
        <f aca="false">IF(AND(Tasks[[#This Row],[_IsLeaf]]=1,N(Tasks[[#This Row],[_Days]])=0,Tasks[[#This Row],[_LeafProgress]]&lt;1),Tasks[[#This Row],[_ShownFcstFinish]]+Tasks[[#This Row],[_Row]]/100000,"")</f>
        <v/>
      </c>
      <c r="GH19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1" s="43" t="str">
        <f aca="false">IF(Tasks[[#This Row],[Task Name]]="","",LEFT(Tasks[[#This Row],[WBS]],FIND(".",Tasks[[#This Row],[WBS]]&amp;".")-1))</f>
        <v/>
      </c>
      <c r="GJ191" s="43" t="str">
        <f aca="false">IF(AND(Tasks[[#This Row],[Task Name]]&lt;&gt;"",Tasks[[#This Row],[_Level]]=1),Tasks[[#This Row],[_Row]],"")</f>
        <v/>
      </c>
      <c r="GK191" s="43" t="str">
        <f aca="false">IF(AND(Tasks[[#This Row],[_IsLeaf]]=1,N(Tasks[[#This Row],[_Days]])=0),Tasks[[#This Row],[Planned Finish]]+Tasks[[#This Row],[_Row]]/100000,"")</f>
        <v/>
      </c>
      <c r="GL191" s="43" t="str">
        <f aca="false">IF(AND(Tasks[[#This Row],[_IsLeaf]]=1,Tasks[[#This Row],[_LeafProgress]]&lt;1,OR(N(Tasks[[#This Row],[Finish Var]])&gt;0,Tasks[[#This Row],[Status]]="Late Start")),MAX(0,Tasks[[#This Row],[Finish Var]])+1-Tasks[[#This Row],[_Row]]/1000000,"")</f>
        <v/>
      </c>
      <c r="GM191" s="43" t="str">
        <f aca="false">IF(AND(Tasks[[#This Row],[_IsLeaf]]=1,N(Tasks[[#This Row],[Actual Start]])=0,Tasks[[#This Row],[_ShownFcstStart]]&gt;=StatusDate,Tasks[[#This Row],[_ShownFcstStart]]&lt;=LookaheadEnd),Tasks[[#This Row],[_ShownFcstStart]]+Tasks[[#This Row],[_Row]]/100000,"")</f>
        <v/>
      </c>
      <c r="GN191" s="43" t="str">
        <f aca="false">IF(AND(Tasks[[#This Row],[_IsLeaf]]=1,Tasks[[#This Row],[_LeafProgress]]&lt;1,Tasks[[#This Row],[_ShownFcstFinish]]&gt;=StatusDate,Tasks[[#This Row],[_ShownFcstFinish]]&lt;=LookaheadEnd),Tasks[[#This Row],[_ShownFcstFinish]]+Tasks[[#This Row],[_Row]]/100000,"")</f>
        <v/>
      </c>
      <c r="GO191" s="43" t="str">
        <f aca="false">IF(Tasks[[#This Row],[_LeafCritical]],Tasks[[#This Row],[_ShownFcstStart]]+Tasks[[#This Row],[_Row]]/100000,"")</f>
        <v/>
      </c>
      <c r="GP191" s="43" t="n">
        <f aca="false">Tasks[[#This Row],[_LeafWork]]*Tasks[[#This Row],[_LeafProgress]]</f>
        <v>0</v>
      </c>
      <c r="GQ191" s="91" t="str">
        <f aca="false">IF(AND(Tasks[[#This Row],[_IsLeaf]]=1,Tasks[[#This Row],[_LeafProgress]]&gt;=1),IF(N(Tasks[[#This Row],[Actual Finish]])&gt;0,Tasks[[#This Row],[Actual Finish]],Tasks[[#This Row],[_ShownFcstFinish]]),"")</f>
        <v/>
      </c>
      <c r="GR191" s="43" t="n">
        <f aca="false">IF(Tasks[[#This Row],[_IsLeaf]]=1,N(Tasks[[#This Row],[Story Points]]),0)</f>
        <v>0</v>
      </c>
      <c r="GS191" s="43" t="str">
        <f aca="false">""</f>
        <v/>
      </c>
      <c r="GT191" s="90" t="b">
        <f aca="false">IF(Tasks[[#This Row],[Task Name]]="",FALSE(),AND(Tasks[[#This Row],[_IsLeaf]]=1,N(Tasks[[#This Row],[_Days]])=0))</f>
        <v>0</v>
      </c>
      <c r="GU191" s="91" t="n">
        <f aca="false">IF(Tasks[[#This Row],[Task Name]]="",0,IF(AND(Tasks[[#This Row],[_IsLeaf]]=1,NOT(Tasks[[#This Row],[_IsMilestone]]),N(Tasks[[#This Row],[Progress]])&gt;0),Tasks[[#This Row],[Start]],0))</f>
        <v>0</v>
      </c>
      <c r="GV191" s="91" t="n">
        <f aca="false">IF(Tasks[[#This Row],[_DoneFrom]]=0,0,IF(Tasks[[#This Row],[Progress]]&gt;=1,Tasks[[#This Row],[Finish]],MAX(Tasks[[#This Row],[_DoneFrom]],Tasks[[#This Row],[Start]]+ROUND((Tasks[[#This Row],[Finish]]-Tasks[[#This Row],[Start]]+1)*Tasks[[#This Row],[Progress]],0)-1)))</f>
        <v>0</v>
      </c>
      <c r="GW191" s="91" t="n">
        <f aca="false">IF(Tasks[[#This Row],[Task Name]]="",0,IF(OR(NOT(Tasks[[#This Row],[_IsLeaf]]=1),Tasks[[#This Row],[_IsMilestone]],N(Tasks[[#This Row],[Progress]])&gt;=1),0,IF(Tasks[[#This Row],[_DoneTo]]&gt;0,Tasks[[#This Row],[_DoneTo]]+1,Tasks[[#This Row],[Start]])))</f>
        <v>0</v>
      </c>
      <c r="GX191" s="91" t="n">
        <f aca="false">IF(Tasks[[#This Row],[_RemFrom]]=0,0,Tasks[[#This Row],[Finish]])</f>
        <v>0</v>
      </c>
      <c r="GY191" s="90" t="b">
        <f aca="false">IF(Tasks[[#This Row],[Task Name]]="",FALSE(),OR(NOT(BaselineSet),N(Tasks[[#This Row],[Baseline Start]])&gt;0))</f>
        <v>0</v>
      </c>
      <c r="GZ19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1" s="92" t="str">
        <f aca="false">IF(Tasks[[#This Row],[_IsLeaf]]=1,Tasks[[#This Row],[_Row]],"")</f>
        <v/>
      </c>
      <c r="HD191" s="92" t="str">
        <f aca="false">IFERROR(INDEX(Tasks[UID],SMALL(Tasks[_PickKey],Tasks[[#This Row],[_Row]]))&amp;" "&amp;INDEX(Tasks[Task Name],SMALL(Tasks[_PickKey],Tasks[[#This Row],[_Row]])),"")</f>
        <v/>
      </c>
      <c r="HE191" s="43" t="str">
        <f aca="false">IF(Tasks[[#This Row],[Task Name]]="","",IF(Tasks[[#This Row],[_IsSummary]],NETWORKDAYS.INTL(Tasks[[#This Row],[Start]],Tasks[[#This Row],[Finish]],WorkWeek,Holidays),N(Tasks[[#This Row],[_Days]])))</f>
        <v/>
      </c>
      <c r="HF191" s="43" t="n">
        <f aca="false">IF(Tasks[[#This Row],[Expected]]="",0,((Tasks[[#This Row],[Pessimistic]]-Tasks[[#This Row],[Optimistic]])/6)^2)</f>
        <v>0</v>
      </c>
      <c r="HG191" s="43" t="n">
        <f aca="false">IF(Tasks[[#This Row],[Expected]]="",0,Tasks[[#This Row],[Expected]]-N(Tasks[[#This Row],[_Days]]))</f>
        <v>0</v>
      </c>
    </row>
    <row r="192" customFormat="false" ht="15" hidden="false" customHeight="false" outlineLevel="0" collapsed="false">
      <c r="A192" s="21" t="str">
        <f aca="false">IF(Tasks[[#This Row],[Task Name]]="","",COUNTA(Tasks[[#Headers],[Task Name]]:Tasks[[#This Row],[Task Name]])-1)</f>
        <v/>
      </c>
      <c r="B192" s="22" t="n">
        <v>200</v>
      </c>
      <c r="C192" s="22"/>
      <c r="D192" s="23"/>
      <c r="E192" s="22"/>
      <c r="F192" s="23"/>
      <c r="G192" s="22"/>
      <c r="H192" s="22"/>
      <c r="I192" s="23"/>
      <c r="J192" s="22"/>
      <c r="K192" s="22"/>
      <c r="L192" s="23"/>
      <c r="M192" s="22"/>
      <c r="N192" s="22"/>
      <c r="O192" s="23"/>
      <c r="P192" s="22"/>
      <c r="Q192" s="22"/>
      <c r="R192" s="23"/>
      <c r="S192" s="23"/>
      <c r="T192" s="84"/>
      <c r="U192" s="23"/>
      <c r="V192" s="84"/>
      <c r="W192" s="23"/>
      <c r="X192" s="84"/>
      <c r="Y192" s="23"/>
      <c r="Z192" s="84"/>
      <c r="AA192" s="23"/>
      <c r="AB192" s="23"/>
      <c r="AC192" s="7"/>
      <c r="AD192" s="7"/>
      <c r="AE192" s="63" t="str">
        <f aca="false">IF(Tasks[[#This Row],[Task Name]]="","",IF(Tasks[[#This Row],[_IsSummary]],MIN(INDEX(Tasks[_ShownFcstStart],Tasks[[#This Row],[_Row]]+1):INDEX(Tasks[_ShownFcstStart],Tasks[[#This Row],[_Row]]+Tasks[[#This Row],[_Descendants]])),Tasks[[#This Row],[_ShownFcstStart]]))</f>
        <v/>
      </c>
      <c r="AF192" s="63" t="str">
        <f aca="false">IF(Tasks[[#This Row],[Task Name]]="","",IF(Tasks[[#This Row],[_IsSummary]],MAX(INDEX(Tasks[_ShownFcstFinish],Tasks[[#This Row],[_Row]]+1):INDEX(Tasks[_ShownFcstFinish],Tasks[[#This Row],[_Row]]+Tasks[[#This Row],[_Descendants]])),Tasks[[#This Row],[_ShownFcstFinish]]))</f>
        <v/>
      </c>
      <c r="AG192" s="21" t="str">
        <f aca="false">""</f>
        <v/>
      </c>
      <c r="AH192" s="23"/>
      <c r="AI1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2" s="7"/>
      <c r="AK192" s="22"/>
      <c r="AL192" s="23"/>
      <c r="AM192" s="7"/>
      <c r="AN192" s="47" t="str">
        <f aca="false">IF(Tasks[[#This Row],[Task Name]]="","",IF(Tasks[[#This Row],[Finish]]&gt;=Tasks[[#This Row],[Planned Finish]],NETWORKDAYS.INTL(Tasks[[#This Row],[Planned Finish]],Tasks[[#This Row],[Finish]],WorkWeek,Holidays)-1,1-NETWORKDAYS.INTL(Tasks[[#This Row],[Finish]],Tasks[[#This Row],[Planned Finish]],WorkWeek,Holidays)))</f>
        <v/>
      </c>
      <c r="AO192" s="21" t="str">
        <f aca="false">IF(Tasks[[#This Row],[Task Name]]="","",IF(Tasks[[#This Row],[Progress]]&gt;=1,"Complete",IF(OR(N(Tasks[[#This Row],[Actual Start]])&gt;0,Tasks[[#This Row],[Progress]]&gt;0),IF(Tasks[[#This Row],[Finish Var]]&gt;0,"Behind","In Progress"),IF(Tasks[[#This Row],[Planned Start]]&lt;StatusDate,"Late Start","Not Started"))))</f>
        <v/>
      </c>
      <c r="AP192" s="21" t="str">
        <f aca="false">IF(Tasks[[#This Row],[Task Name]]="","",IF(IF(Tasks[[#This Row],[_IsSummary]],COUNTIF(INDEX(Tasks[_LeafCritical],Tasks[[#This Row],[_Row]]+1):INDEX(Tasks[_LeafCritical],Tasks[[#This Row],[_Row]]+Tasks[[#This Row],[_Descendants]]),TRUE())&gt;0,Tasks[[#This Row],[_LeafCritical]]),"Yes",""))</f>
        <v/>
      </c>
      <c r="AQ192" s="63" t="str">
        <f aca="false">IF(Tasks[[#This Row],[Task Name]]="","",IF(N(Tasks[[#This Row],[Baseline Start]])&gt;0,Tasks[[#This Row],[Baseline Start]],Tasks[[#This Row],[_CalcStart]]))</f>
        <v/>
      </c>
      <c r="AR192" s="63" t="str">
        <f aca="false">IF(Tasks[[#This Row],[Task Name]]="","",IF(N(Tasks[[#This Row],[Baseline Finish]])&gt;0,Tasks[[#This Row],[Baseline Finish]],Tasks[[#This Row],[_CalcFinish]]))</f>
        <v/>
      </c>
      <c r="AS192" s="47" t="str">
        <f aca="false">IF(Tasks[[#This Row],[Task Name]]="","",IF(Tasks[[#This Row],[Start]]&gt;=Tasks[[#This Row],[Planned Start]],NETWORKDAYS.INTL(Tasks[[#This Row],[Planned Start]],Tasks[[#This Row],[Start]],WorkWeek,Holidays)-1,1-NETWORKDAYS.INTL(Tasks[[#This Row],[Start]],Tasks[[#This Row],[Planned Start]],WorkWeek,Holidays)))</f>
        <v/>
      </c>
      <c r="AT192" s="63" t="str">
        <f aca="false">IF(Tasks[[#This Row],[Task Name]]="","",IF(Tasks[[#This Row],[_IsSummary]],MIN(INDEX(Tasks[_LeafLateStart],Tasks[[#This Row],[_Row]]+1):INDEX(Tasks[_LeafLateStart],Tasks[[#This Row],[_Row]]+Tasks[[#This Row],[_Descendants]])),Tasks[[#This Row],[_LeafLateStart]]))</f>
        <v/>
      </c>
      <c r="AU192" s="63" t="str">
        <f aca="false">IF(Tasks[[#This Row],[Task Name]]="","",IF(Tasks[[#This Row],[_IsSummary]],MAX(INDEX(Tasks[_LeafLateFinish],Tasks[[#This Row],[_Row]]+1):INDEX(Tasks[_LeafLateFinish],Tasks[[#This Row],[_Row]]+Tasks[[#This Row],[_Descendants]])),Tasks[[#This Row],[_LeafLateFinish]]))</f>
        <v/>
      </c>
      <c r="AV192" s="47" t="str">
        <f aca="false">IF(Tasks[[#This Row],[Task Name]]="","",IF(Tasks[[#This Row],[_IsSummary]],MIN(INDEX(Tasks[_LeafTotalSlack],Tasks[[#This Row],[_Row]]+1):INDEX(Tasks[_LeafTotalSlack],Tasks[[#This Row],[_Row]]+Tasks[[#This Row],[_Descendants]])),Tasks[[#This Row],[_LeafTotalSlack]]))</f>
        <v/>
      </c>
      <c r="AW1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5"/>
      <c r="BA19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1" t="str">
        <f aca="false">IF(Tasks[[#This Row],[Task Name]]="","",IF(Tasks[[#This Row],[_Level]]&lt;=OutlineShowLevel,"Yes","No"))</f>
        <v/>
      </c>
      <c r="BE192" s="86" t="str">
        <f aca="false">IF(Tasks[[#This Row],[Task Name]]="","",IF(Tasks[[#This Row],[_IsSummary]],SUM(INDEX(Tasks[_LeafTotalWork],Tasks[[#This Row],[_Row]]+1):INDEX(Tasks[_LeafTotalWork],Tasks[[#This Row],[_Row]]+Tasks[[#This Row],[_Descendants]])),Tasks[[#This Row],[_LeafTotalWork]]))</f>
        <v/>
      </c>
      <c r="BF192" s="23"/>
      <c r="BG1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2" s="21" t="str">
        <f aca="false">""</f>
        <v/>
      </c>
      <c r="BI192" s="87"/>
      <c r="BJ192" s="22"/>
      <c r="BK192" s="47" t="str">
        <f aca="false">IF(OR(Tasks[[#This Row],[Task Name]]="",Tasks[[#This Row],[Baseline Duration]]=""),"",Tasks[[#This Row],[_SpanDays]]-N(Tasks[[#This Row],[Baseline Duration]]))</f>
        <v/>
      </c>
      <c r="BL192" s="86" t="str">
        <f aca="false">IF(OR(Tasks[[#This Row],[Task Name]]="",Tasks[[#This Row],[Baseline Work]]=""),"",Tasks[[#This Row],[Work]]-N(Tasks[[#This Row],[Baseline Work]]))</f>
        <v/>
      </c>
      <c r="BM192" s="63" t="str">
        <f aca="false">IF(Tasks[[#This Row],[Task Name]]="","",IF(OR(TakeBaseline="Yes",N(Tasks[[#This Row],[Baseline Start]])=0),Tasks[[#This Row],[Start]],Tasks[[#This Row],[Baseline Start]]))</f>
        <v/>
      </c>
      <c r="BN192" s="63" t="str">
        <f aca="false">IF(Tasks[[#This Row],[Task Name]]="","",IF(OR(TakeBaseline="Yes",N(Tasks[[#This Row],[Baseline Finish]])=0),Tasks[[#This Row],[Finish]],Tasks[[#This Row],[Baseline Finish]]))</f>
        <v/>
      </c>
      <c r="BO192" s="21" t="str">
        <f aca="false">IF(Tasks[[#This Row],[Task Name]]="","",IF(OR(TakeBaseline="Yes",N(Tasks[[#This Row],[Baseline Duration]])=0),Tasks[[#This Row],[_SpanDays]],Tasks[[#This Row],[Baseline Duration]]))</f>
        <v/>
      </c>
      <c r="BP192" s="86" t="str">
        <f aca="false">IF(Tasks[[#This Row],[Task Name]]="","",IF(OR(TakeBaseline="Yes",N(Tasks[[#This Row],[Baseline Work]])=0),Tasks[[#This Row],[Work]],Tasks[[#This Row],[Baseline Work]]))</f>
        <v/>
      </c>
      <c r="BQ192" s="7"/>
      <c r="BR192" s="7"/>
      <c r="BS192" s="22"/>
      <c r="BT192" s="88"/>
      <c r="BU192" s="23"/>
      <c r="BV192" s="23"/>
      <c r="BW192" s="23"/>
      <c r="BX192" s="89" t="str">
        <f aca="false">IF(AND(Tasks[[#This Row],[_IsLeaf]]=1,ISNUMBER(Tasks[[#This Row],[Optimistic]]),ISNUMBER(Tasks[[#This Row],[Pessimistic]])),ROUND((Tasks[[#This Row],[Optimistic]]+4*N(Tasks[[#This Row],[_Days]])+Tasks[[#This Row],[Pessimistic]])/6,1),"")</f>
        <v/>
      </c>
      <c r="BY192" s="87"/>
      <c r="BZ192" s="87"/>
      <c r="CA192" s="22"/>
      <c r="CB192" s="43" t="str">
        <f aca="false">IF(Tasks[[#This Row],[Task Name]]="","",MAX(1,N(Tasks[[#This Row],[Level]])))</f>
        <v/>
      </c>
      <c r="CC192" s="43" t="n">
        <f aca="false">ROW()-ROW(Tasks[[#Headers],[ID]])</f>
        <v>187</v>
      </c>
      <c r="CD192" s="43" t="n">
        <f aca="false">IF(OR(Tasks[[#This Row],[Task Name]]="",Tasks[[#This Row],[_Level]]&lt;=1),0,IFERROR(LOOKUP(2,1/(Tasks[[#Headers],[_Level]]:Tasks[[#This Row],[_Level]]=Tasks[[#This Row],[_Level]]-1),ROW(Tasks[[#Headers],[_Level]]:Tasks[[#This Row],[_Level]])),0))</f>
        <v>0</v>
      </c>
      <c r="CE192" s="43" t="n">
        <f aca="false">IFERROR(N(INDEX(Tasks[_Level],Tasks[[#This Row],[_Row]]+1)),0)</f>
        <v>0</v>
      </c>
      <c r="CF192" s="90" t="b">
        <f aca="false">AND(Tasks[[#This Row],[Task Name]]&lt;&gt;"",Tasks[[#This Row],[_NextLevel]]&gt;Tasks[[#This Row],[_Level]])</f>
        <v>0</v>
      </c>
      <c r="CG192" s="43" t="n">
        <f aca="false">IF(Tasks[[#This Row],[_IsSummary]],COUNTIF(Tasks[WBS],Tasks[[#This Row],[WBS]]&amp;".*"),0)</f>
        <v>0</v>
      </c>
      <c r="CH192" s="43" t="n">
        <f aca="false">IF(AND(Tasks[[#This Row],[Task Name]]&lt;&gt;"",NOT(Tasks[[#This Row],[_IsSummary]])),1,0)</f>
        <v>0</v>
      </c>
      <c r="CI192" s="43" t="n">
        <f aca="false">IF(N(Tasks[[#This Row],[_Pred1UID]])=0,0,IFERROR(MATCH(Tasks[[#This Row],[_Pred1UID]],Tasks[UID],0),-1))</f>
        <v>0</v>
      </c>
      <c r="CJ192" s="43" t="n">
        <f aca="false">IF(N(Tasks[[#This Row],[_Pred2UID]])=0,0,IFERROR(MATCH(Tasks[[#This Row],[_Pred2UID]],Tasks[UID],0),-1))</f>
        <v>0</v>
      </c>
      <c r="CK192" s="43" t="n">
        <f aca="false">IF(N(Tasks[[#This Row],[_Pred3UID]])=0,0,IFERROR(MATCH(Tasks[[#This Row],[_Pred3UID]],Tasks[UID],0),-1))</f>
        <v>0</v>
      </c>
      <c r="CL192" s="43" t="n">
        <f aca="false">IF(N(Tasks[[#This Row],[_Pred4UID]])=0,0,IFERROR(MATCH(Tasks[[#This Row],[_Pred4UID]],Tasks[UID],0),-1))</f>
        <v>0</v>
      </c>
      <c r="CM19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2" s="91" t="n">
        <f aca="false">IF(OR(Tasks[[#This Row],[_ConstraintCode]]=2,Tasks[[#This Row],[_ConstraintCode]]=3,Tasks[[#This Row],[_ConstraintCode]]=4,Tasks[[#This Row],[_ConstraintCode]]=6),Tasks[[#This Row],[_ConstraintStart]],0)</f>
        <v>0</v>
      </c>
      <c r="CP192" s="91" t="n">
        <f aca="false">IF(OR(Tasks[[#This Row],[_ConstraintCode]]=2,Tasks[[#This Row],[_ConstraintCode]]=3,Tasks[[#This Row],[_ConstraintCode]]=5,Tasks[[#This Row],[_ConstraintCode]]=7),Tasks[[#This Row],[_ConstraintStart]],2958465)</f>
        <v>2958465</v>
      </c>
      <c r="CQ19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2" s="91" t="str">
        <f aca="false">IF(NOT(Tasks[[#This Row],[_IsLeaf]]=1),"",IF(N(Tasks[[#This Row],[_Days]])&lt;=0,Tasks[[#This Row],[_LeafCalcStart]],WORKDAY.INTL(Tasks[[#This Row],[_LeafCalcStart]],Tasks[[#This Row],[_Days]]-1,WorkWeek,Holidays)))</f>
        <v/>
      </c>
      <c r="CS19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2" s="43" t="str">
        <f aca="false">IF(Tasks[[#This Row],[_Predecessors]]="","",TRIM(MID(SUBSTITUTE(SUBSTITUTE(SUBSTITUTE(UPPER(Tasks[[#This Row],[_Predecessors]]),";",",")," ",""),",",REPT(" ",99)),1,99)))</f>
        <v/>
      </c>
      <c r="CV192" s="43" t="str">
        <f aca="false">IF(Tasks[[#This Row],[_Pred1Text]]="","",IFERROR(VALUE(LEFT(Tasks[[#This Row],[_Pred1Text]],MIN(FIND("F",Tasks[[#This Row],[_Pred1Text]]&amp;"F"),FIND("S",Tasks[[#This Row],[_Pred1Text]]&amp;"S"),FIND("+",Tasks[[#This Row],[_Pred1Text]]&amp;"+"),FIND("-",Tasks[[#This Row],[_Pred1Text]]&amp;"-"))-1)),""))</f>
        <v/>
      </c>
      <c r="CW19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2" s="43" t="str">
        <f aca="false">IF(Tasks[[#This Row],[_Pred1Text]]="","",TRIM(MID(SUBSTITUTE(SUBSTITUTE(SUBSTITUTE(UPPER(Tasks[[#This Row],[_Predecessors]]),";",",")," ",""),",",REPT(" ",99)),100,99)))</f>
        <v/>
      </c>
      <c r="CZ192" s="43" t="str">
        <f aca="false">IF(Tasks[[#This Row],[_Pred2Text]]="","",IFERROR(VALUE(LEFT(Tasks[[#This Row],[_Pred2Text]],MIN(FIND("F",Tasks[[#This Row],[_Pred2Text]]&amp;"F"),FIND("S",Tasks[[#This Row],[_Pred2Text]]&amp;"S"),FIND("+",Tasks[[#This Row],[_Pred2Text]]&amp;"+"),FIND("-",Tasks[[#This Row],[_Pred2Text]]&amp;"-"))-1)),""))</f>
        <v/>
      </c>
      <c r="DA19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2" s="43" t="str">
        <f aca="false">IF(Tasks[[#This Row],[_Pred2Text]]="","",TRIM(MID(SUBSTITUTE(SUBSTITUTE(SUBSTITUTE(UPPER(Tasks[[#This Row],[_Predecessors]]),";",",")," ",""),",",REPT(" ",99)),199,99)))</f>
        <v/>
      </c>
      <c r="DD192" s="43" t="str">
        <f aca="false">IF(Tasks[[#This Row],[_Pred3Text]]="","",IFERROR(VALUE(LEFT(Tasks[[#This Row],[_Pred3Text]],MIN(FIND("F",Tasks[[#This Row],[_Pred3Text]]&amp;"F"),FIND("S",Tasks[[#This Row],[_Pred3Text]]&amp;"S"),FIND("+",Tasks[[#This Row],[_Pred3Text]]&amp;"+"),FIND("-",Tasks[[#This Row],[_Pred3Text]]&amp;"-"))-1)),""))</f>
        <v/>
      </c>
      <c r="DE19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2" s="43" t="str">
        <f aca="false">IF(Tasks[[#This Row],[_Pred3Text]]="","",TRIM(MID(SUBSTITUTE(SUBSTITUTE(SUBSTITUTE(UPPER(Tasks[[#This Row],[_Predecessors]]),";",",")," ",""),",",REPT(" ",99)),298,99)))</f>
        <v/>
      </c>
      <c r="DH192" s="43" t="str">
        <f aca="false">IF(Tasks[[#This Row],[_Pred4Text]]="","",IFERROR(VALUE(LEFT(Tasks[[#This Row],[_Pred4Text]],MIN(FIND("F",Tasks[[#This Row],[_Pred4Text]]&amp;"F"),FIND("S",Tasks[[#This Row],[_Pred4Text]]&amp;"S"),FIND("+",Tasks[[#This Row],[_Pred4Text]]&amp;"+"),FIND("-",Tasks[[#This Row],[_Pred4Text]]&amp;"-"))-1)),""))</f>
        <v/>
      </c>
      <c r="DI19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2" s="43" t="str">
        <f aca="false">IF(OR(Tasks[[#This Row],[Task Name]]="",Tasks[[#This Row],[_Resources]]=""),"",TRIM(MID(SUBSTITUTE(Tasks[[#This Row],[_Resources]],",",REPT(" ",99)),1,99)))</f>
        <v/>
      </c>
      <c r="DL192" s="43" t="str">
        <f aca="false">IF(Tasks[[#This Row],[_Res1Text]]="","",TRIM(MID(SUBSTITUTE(Tasks[[#This Row],[_Resources]],",",REPT(" ",99)),100,99)))</f>
        <v/>
      </c>
      <c r="DM192" s="43" t="str">
        <f aca="false">IF(Tasks[[#This Row],[_Res2Text]]="","",TRIM(MID(SUBSTITUTE(Tasks[[#This Row],[_Resources]],",",REPT(" ",99)),199,99)))</f>
        <v/>
      </c>
      <c r="DN192" s="43" t="str">
        <f aca="false">IF(Tasks[[#This Row],[_Res3Text]]="","",TRIM(MID(SUBSTITUTE(Tasks[[#This Row],[_Resources]],",",REPT(" ",99)),298,99)))</f>
        <v/>
      </c>
      <c r="DO192" s="43" t="n">
        <f aca="false">IF(Tasks[[#This Row],[_Res1Text]]="",0,IFERROR(MATCH(TRIM(LEFT(Tasks[[#This Row],[_Res1Text]],FIND("[",Tasks[[#This Row],[_Res1Text]]&amp;"[")-1)),res_Name,0),IFERROR(MATCH(TRIM(LEFT(Tasks[[#This Row],[_Res1Text]],FIND("[",Tasks[[#This Row],[_Res1Text]]&amp;"[")-1)),res_Initials,0),0)))</f>
        <v>0</v>
      </c>
      <c r="DP192" s="43" t="n">
        <f aca="false">IF(Tasks[[#This Row],[_Res2Text]]="",0,IFERROR(MATCH(TRIM(LEFT(Tasks[[#This Row],[_Res2Text]],FIND("[",Tasks[[#This Row],[_Res2Text]]&amp;"[")-1)),res_Name,0),IFERROR(MATCH(TRIM(LEFT(Tasks[[#This Row],[_Res2Text]],FIND("[",Tasks[[#This Row],[_Res2Text]]&amp;"[")-1)),res_Initials,0),0)))</f>
        <v>0</v>
      </c>
      <c r="DQ192" s="43" t="n">
        <f aca="false">IF(Tasks[[#This Row],[_Res3Text]]="",0,IFERROR(MATCH(TRIM(LEFT(Tasks[[#This Row],[_Res3Text]],FIND("[",Tasks[[#This Row],[_Res3Text]]&amp;"[")-1)),res_Name,0),IFERROR(MATCH(TRIM(LEFT(Tasks[[#This Row],[_Res3Text]],FIND("[",Tasks[[#This Row],[_Res3Text]]&amp;"[")-1)),res_Initials,0),0)))</f>
        <v>0</v>
      </c>
      <c r="DR192" s="43" t="n">
        <f aca="false">IF(Tasks[[#This Row],[_Res4Text]]="",0,IFERROR(MATCH(TRIM(LEFT(Tasks[[#This Row],[_Res4Text]],FIND("[",Tasks[[#This Row],[_Res4Text]]&amp;"[")-1)),res_Name,0),IFERROR(MATCH(TRIM(LEFT(Tasks[[#This Row],[_Res4Text]],FIND("[",Tasks[[#This Row],[_Res4Text]]&amp;"[")-1)),res_Initials,0),0)))</f>
        <v>0</v>
      </c>
      <c r="DS192" s="43" t="str">
        <f aca="false">IF(Tasks[[#This Row],[_Res1Text]]="","",IF(Tasks[[#This Row],[_Res1Row]]&gt;0,INDEX(res_Name,Tasks[[#This Row],[_Res1Row]]),TRIM(LEFT(Tasks[[#This Row],[_Res1Text]],FIND("[",Tasks[[#This Row],[_Res1Text]]&amp;"[")-1))))</f>
        <v/>
      </c>
      <c r="DT19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2" s="43" t="n">
        <f aca="false">IF(NOT(Tasks[[#This Row],[_IsLeaf]]=1),0,(Tasks[[#This Row],[_Resource1]]&lt;&gt;"")+(Tasks[[#This Row],[_Res2]]&lt;&gt;"")+(Tasks[[#This Row],[_Res3]]&lt;&gt;"")+(Tasks[[#This Row],[_Res4]]&lt;&gt;""))</f>
        <v>0</v>
      </c>
      <c r="DV192" s="43" t="str">
        <f aca="false">IF(Tasks[[#This Row],[_Res2Text]]="","",IF(Tasks[[#This Row],[_Res2Row]]&gt;0,INDEX(res_Name,Tasks[[#This Row],[_Res2Row]]),TRIM(LEFT(Tasks[[#This Row],[_Res2Text]],FIND("[",Tasks[[#This Row],[_Res2Text]]&amp;"[")-1))))</f>
        <v/>
      </c>
      <c r="DW19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2" s="43" t="n">
        <f aca="false">IF(OR(NOT(Tasks[[#This Row],[_IsLeaf]]=1),Tasks[[#This Row],[_Res2Row]]=0),0,N(Tasks[[#This Row],[_Days]])*HoursPerDay*IF(Tasks[[#This Row],[_Res2Units]]="",DefaultUnits,Tasks[[#This Row],[_Res2Units]]))</f>
        <v>0</v>
      </c>
      <c r="DY192" s="43" t="n">
        <f aca="false">IF(AND(AND(Tasks[[#This Row],[_IsLeaf]]=1,Tasks[[#This Row],[_LeafTotalWork]]&gt;0),Tasks[[#This Row],[_Res2Work]]&gt;0),Tasks[[#This Row],[_Res2Work]]/(Tasks[[#This Row],[_FinishWorkday]]-Tasks[[#This Row],[_StartWorkday]]+1),0)</f>
        <v>0</v>
      </c>
      <c r="DZ192" s="43" t="n">
        <f aca="false">Tasks[[#This Row],[_Res2WorkPerWD]]*MAX(0,Tasks[[#This Row],[_StartWorkday]]-1)</f>
        <v>0</v>
      </c>
      <c r="EA192" s="43" t="n">
        <f aca="false">Tasks[[#This Row],[_Res2Work]]*Tasks[[#This Row],[_LeafProgress]]</f>
        <v>0</v>
      </c>
      <c r="EB192" s="43" t="str">
        <f aca="false">IF(Tasks[[#This Row],[_Res3Text]]="","",IF(Tasks[[#This Row],[_Res3Row]]&gt;0,INDEX(res_Name,Tasks[[#This Row],[_Res3Row]]),TRIM(LEFT(Tasks[[#This Row],[_Res3Text]],FIND("[",Tasks[[#This Row],[_Res3Text]]&amp;"[")-1))))</f>
        <v/>
      </c>
      <c r="EC19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2" s="43" t="n">
        <f aca="false">IF(OR(NOT(Tasks[[#This Row],[_IsLeaf]]=1),Tasks[[#This Row],[_Res3Row]]=0),0,N(Tasks[[#This Row],[_Days]])*HoursPerDay*IF(Tasks[[#This Row],[_Res3Units]]="",DefaultUnits,Tasks[[#This Row],[_Res3Units]]))</f>
        <v>0</v>
      </c>
      <c r="EE192" s="43" t="n">
        <f aca="false">IF(AND(AND(Tasks[[#This Row],[_IsLeaf]]=1,Tasks[[#This Row],[_LeafTotalWork]]&gt;0),Tasks[[#This Row],[_Res3Work]]&gt;0),Tasks[[#This Row],[_Res3Work]]/(Tasks[[#This Row],[_FinishWorkday]]-Tasks[[#This Row],[_StartWorkday]]+1),0)</f>
        <v>0</v>
      </c>
      <c r="EF192" s="43" t="n">
        <f aca="false">Tasks[[#This Row],[_Res3WorkPerWD]]*MAX(0,Tasks[[#This Row],[_StartWorkday]]-1)</f>
        <v>0</v>
      </c>
      <c r="EG192" s="43" t="n">
        <f aca="false">Tasks[[#This Row],[_Res3Work]]*Tasks[[#This Row],[_LeafProgress]]</f>
        <v>0</v>
      </c>
      <c r="EH192" s="43" t="str">
        <f aca="false">IF(Tasks[[#This Row],[_Res4Text]]="","",IF(Tasks[[#This Row],[_Res4Row]]&gt;0,INDEX(res_Name,Tasks[[#This Row],[_Res4Row]]),TRIM(LEFT(Tasks[[#This Row],[_Res4Text]],FIND("[",Tasks[[#This Row],[_Res4Text]]&amp;"[")-1))))</f>
        <v/>
      </c>
      <c r="EI19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2" s="43" t="n">
        <f aca="false">IF(OR(NOT(Tasks[[#This Row],[_IsLeaf]]=1),Tasks[[#This Row],[_Res4Row]]=0),0,N(Tasks[[#This Row],[_Days]])*HoursPerDay*IF(Tasks[[#This Row],[_Res4Units]]="",DefaultUnits,Tasks[[#This Row],[_Res4Units]]))</f>
        <v>0</v>
      </c>
      <c r="EK192" s="43" t="n">
        <f aca="false">IF(AND(AND(Tasks[[#This Row],[_IsLeaf]]=1,Tasks[[#This Row],[_LeafTotalWork]]&gt;0),Tasks[[#This Row],[_Res4Work]]&gt;0),Tasks[[#This Row],[_Res4Work]]/(Tasks[[#This Row],[_FinishWorkday]]-Tasks[[#This Row],[_StartWorkday]]+1),0)</f>
        <v>0</v>
      </c>
      <c r="EL192" s="43" t="n">
        <f aca="false">Tasks[[#This Row],[_Res4WorkPerWD]]*MAX(0,Tasks[[#This Row],[_StartWorkday]]-1)</f>
        <v>0</v>
      </c>
      <c r="EM192" s="43" t="n">
        <f aca="false">Tasks[[#This Row],[_Res4Work]]*Tasks[[#This Row],[_LeafProgress]]</f>
        <v>0</v>
      </c>
      <c r="EN192" s="43" t="n">
        <f aca="false">IF(ISNUMBER(Tasks[[#This Row],[% Complete]]),Tasks[[#This Row],[% Complete]],IF(Tasks[[#This Row],[Stage]]="",0,IFERROR(INDEX(stg_Pct,MATCH(Tasks[[#This Row],[Stage]],stg_Name,0)),0)))</f>
        <v>0</v>
      </c>
      <c r="EO192" s="43" t="n">
        <f aca="false">IF(NOT(Tasks[[#This Row],[_IsLeaf]]=1),0,IF(N(Tasks[[#This Row],[Actual Finish]])&gt;0,1,MIN(1,Tasks[[#This Row],[_Pct]])))</f>
        <v>0</v>
      </c>
      <c r="EP192" s="43" t="n">
        <f aca="false">IF(OR(NOT(Tasks[[#This Row],[_IsLeaf]]=1),Tasks[[#This Row],[_Res1Row]]=0),0,N(Tasks[[#This Row],[_Days]])*HoursPerDay*IF(Tasks[[#This Row],[_Units1]]="",DefaultUnits,Tasks[[#This Row],[_Units1]]))</f>
        <v>0</v>
      </c>
      <c r="EQ192" s="43" t="n">
        <f aca="false">Tasks[[#This Row],[_LeafWork]]+Tasks[[#This Row],[_Res2Work]]+Tasks[[#This Row],[_Res3Work]]+Tasks[[#This Row],[_Res4Work]]</f>
        <v>0</v>
      </c>
      <c r="ER19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2" s="43" t="n">
        <f aca="false">IF(NOT(Tasks[[#This Row],[_IsLeaf]]=1),0,MAX(_xlfn.MAXIFS(Tasks[_Row],Tasks[_Pred1UID],Tasks[[#This Row],[UID]]),_xlfn.MAXIFS(Tasks[_Row],Tasks[_Pred2UID],Tasks[[#This Row],[UID]]),_xlfn.MAXIFS(Tasks[_Row],Tasks[_Pred3UID],Tasks[[#This Row],[UID]]),_xlfn.MAXIFS(Tasks[_Row],Tasks[_Pred4UID],Tasks[[#This Row],[UID]])))</f>
        <v>0</v>
      </c>
      <c r="FA19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2" s="91" t="str">
        <f aca="false">IF(NOT(Tasks[[#This Row],[_IsLeaf]]=1),"",IF(N(Tasks[[#This Row],[_Days]])&lt;=0,Tasks[[#This Row],[_LeafLateFinish]],WORKDAY.INTL(Tasks[[#This Row],[_LeafLateFinish]],-(Tasks[[#This Row],[_Days]]-1),WorkWeek,Holidays)))</f>
        <v/>
      </c>
      <c r="FD19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2" s="90" t="b">
        <f aca="false">AND(Tasks[[#This Row],[_IsLeaf]]=1,Tasks[[#This Row],[_LeafProgress]]&lt;1,N(Tasks[[#This Row],[_LeafTotalSlack]])&lt;=CriticalSlackDays)</f>
        <v>0</v>
      </c>
      <c r="FF192" s="43" t="n">
        <f aca="false">IF(AND(Tasks[[#This Row],[_IsLeaf]]=1,Tasks[[#This Row],[_ConstraintCode]]=1,Tasks[[#This Row],[Mode]]&lt;&gt;"Manual",N(Tasks[[#This Row],[Actual Start]])=0),MAX(0,N(Tasks[[#This Row],[Free Slack]])),0)</f>
        <v>0</v>
      </c>
      <c r="FG192" s="91" t="str">
        <f aca="false">IF(NOT(Tasks[[#This Row],[_IsLeaf]]=1),"",IF(Tasks[[#This Row],[_AlapShift]]=0,Tasks[[#This Row],[_LeafCalcStart]],WORKDAY.INTL(Tasks[[#This Row],[_LeafCalcStart]],Tasks[[#This Row],[_AlapShift]],WorkWeek,Holidays)))</f>
        <v/>
      </c>
      <c r="FH192" s="91" t="str">
        <f aca="false">IF(NOT(Tasks[[#This Row],[_IsLeaf]]=1),"",IF(Tasks[[#This Row],[_AlapShift]]=0,Tasks[[#This Row],[_LeafCalcFinish]],WORKDAY.INTL(Tasks[[#This Row],[_LeafCalcFinish]],Tasks[[#This Row],[_AlapShift]],WorkWeek,Holidays)))</f>
        <v/>
      </c>
      <c r="FI192" s="91" t="str">
        <f aca="false">IF(NOT(Tasks[[#This Row],[_IsLeaf]]=1),"",IF(Tasks[[#This Row],[_AlapShift]]=0,Tasks[[#This Row],[_LeafFcstStart]],WORKDAY.INTL(Tasks[[#This Row],[_LeafFcstStart]],Tasks[[#This Row],[_AlapShift]],WorkWeek,Holidays)))</f>
        <v/>
      </c>
      <c r="FJ192" s="91" t="str">
        <f aca="false">IF(NOT(Tasks[[#This Row],[_IsLeaf]]=1),"",IF(Tasks[[#This Row],[_AlapShift]]=0,Tasks[[#This Row],[_LeafFcstFinish]],WORKDAY.INTL(Tasks[[#This Row],[_LeafFcstFinish]],Tasks[[#This Row],[_AlapShift]],WorkWeek,Holidays)))</f>
        <v/>
      </c>
      <c r="FK192" s="91" t="str">
        <f aca="false">IF(Tasks[[#This Row],[Task Name]]="","",IF(Tasks[[#This Row],[_IsSummary]],MIN(INDEX(Tasks[_ShownCalcStart],Tasks[[#This Row],[_Row]]+1):INDEX(Tasks[_ShownCalcStart],Tasks[[#This Row],[_Row]]+Tasks[[#This Row],[_Descendants]])),Tasks[[#This Row],[_ShownCalcStart]]))</f>
        <v/>
      </c>
      <c r="FL192" s="91" t="str">
        <f aca="false">IF(Tasks[[#This Row],[Task Name]]="","",IF(Tasks[[#This Row],[_IsSummary]],MAX(INDEX(Tasks[_ShownCalcFinish],Tasks[[#This Row],[_Row]]+1):INDEX(Tasks[_ShownCalcFinish],Tasks[[#This Row],[_Row]]+Tasks[[#This Row],[_Descendants]])),Tasks[[#This Row],[_ShownCalcFinish]]))</f>
        <v/>
      </c>
      <c r="FM19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2" s="43" t="n">
        <f aca="false">IF(AND(Tasks[[#This Row],[_IsLeaf]]=1,Tasks[[#This Row],[_LeafTotalWork]]&gt;0),NETWORKDAYS.INTL(ProjectStart,Tasks[[#This Row],[_ShownFcstStart]],WorkWeek,Holidays),0)</f>
        <v>0</v>
      </c>
      <c r="FZ192" s="43" t="n">
        <f aca="false">IF(AND(Tasks[[#This Row],[_IsLeaf]]=1,Tasks[[#This Row],[_LeafTotalWork]]&gt;0),MAX(Tasks[[#This Row],[_StartWorkday]],NETWORKDAYS.INTL(ProjectStart,Tasks[[#This Row],[_ShownFcstFinish]],WorkWeek,Holidays)),0)</f>
        <v>0</v>
      </c>
      <c r="GA192" s="43" t="n">
        <f aca="false">IF(AND(Tasks[[#This Row],[_IsLeaf]]=1,Tasks[[#This Row],[_LeafTotalWork]]&gt;0),Tasks[[#This Row],[_LeafWork]]/(Tasks[[#This Row],[_FinishWorkday]]-Tasks[[#This Row],[_StartWorkday]]+1),0)</f>
        <v>0</v>
      </c>
      <c r="GB192" s="43" t="n">
        <f aca="false">Tasks[[#This Row],[_WorkPerWorkday]]*(Tasks[[#This Row],[_StartWorkday]]-1)</f>
        <v>-0</v>
      </c>
      <c r="GC192" s="43" t="n">
        <f aca="false">IF(Tasks[[#This Row],[_IsLeaf]]=1,MAX(N(Tasks[[#This Row],[_Days]]),0.1),0)</f>
        <v>0</v>
      </c>
      <c r="GD192" s="43" t="n">
        <f aca="false">Tasks[[#This Row],[_WeightDur]]*Tasks[[#This Row],[_LeafProgress]]</f>
        <v>0</v>
      </c>
      <c r="GE192" s="43" t="n">
        <f aca="false">Tasks[[#This Row],[_WeightDur]]*Tasks[[#This Row],[_PlannedPct]]</f>
        <v>0</v>
      </c>
      <c r="GF19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2" s="43" t="str">
        <f aca="false">IF(AND(Tasks[[#This Row],[_IsLeaf]]=1,N(Tasks[[#This Row],[_Days]])=0,Tasks[[#This Row],[_LeafProgress]]&lt;1),Tasks[[#This Row],[_ShownFcstFinish]]+Tasks[[#This Row],[_Row]]/100000,"")</f>
        <v/>
      </c>
      <c r="GH19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2" s="43" t="str">
        <f aca="false">IF(Tasks[[#This Row],[Task Name]]="","",LEFT(Tasks[[#This Row],[WBS]],FIND(".",Tasks[[#This Row],[WBS]]&amp;".")-1))</f>
        <v/>
      </c>
      <c r="GJ192" s="43" t="str">
        <f aca="false">IF(AND(Tasks[[#This Row],[Task Name]]&lt;&gt;"",Tasks[[#This Row],[_Level]]=1),Tasks[[#This Row],[_Row]],"")</f>
        <v/>
      </c>
      <c r="GK192" s="43" t="str">
        <f aca="false">IF(AND(Tasks[[#This Row],[_IsLeaf]]=1,N(Tasks[[#This Row],[_Days]])=0),Tasks[[#This Row],[Planned Finish]]+Tasks[[#This Row],[_Row]]/100000,"")</f>
        <v/>
      </c>
      <c r="GL192" s="43" t="str">
        <f aca="false">IF(AND(Tasks[[#This Row],[_IsLeaf]]=1,Tasks[[#This Row],[_LeafProgress]]&lt;1,OR(N(Tasks[[#This Row],[Finish Var]])&gt;0,Tasks[[#This Row],[Status]]="Late Start")),MAX(0,Tasks[[#This Row],[Finish Var]])+1-Tasks[[#This Row],[_Row]]/1000000,"")</f>
        <v/>
      </c>
      <c r="GM192" s="43" t="str">
        <f aca="false">IF(AND(Tasks[[#This Row],[_IsLeaf]]=1,N(Tasks[[#This Row],[Actual Start]])=0,Tasks[[#This Row],[_ShownFcstStart]]&gt;=StatusDate,Tasks[[#This Row],[_ShownFcstStart]]&lt;=LookaheadEnd),Tasks[[#This Row],[_ShownFcstStart]]+Tasks[[#This Row],[_Row]]/100000,"")</f>
        <v/>
      </c>
      <c r="GN192" s="43" t="str">
        <f aca="false">IF(AND(Tasks[[#This Row],[_IsLeaf]]=1,Tasks[[#This Row],[_LeafProgress]]&lt;1,Tasks[[#This Row],[_ShownFcstFinish]]&gt;=StatusDate,Tasks[[#This Row],[_ShownFcstFinish]]&lt;=LookaheadEnd),Tasks[[#This Row],[_ShownFcstFinish]]+Tasks[[#This Row],[_Row]]/100000,"")</f>
        <v/>
      </c>
      <c r="GO192" s="43" t="str">
        <f aca="false">IF(Tasks[[#This Row],[_LeafCritical]],Tasks[[#This Row],[_ShownFcstStart]]+Tasks[[#This Row],[_Row]]/100000,"")</f>
        <v/>
      </c>
      <c r="GP192" s="43" t="n">
        <f aca="false">Tasks[[#This Row],[_LeafWork]]*Tasks[[#This Row],[_LeafProgress]]</f>
        <v>0</v>
      </c>
      <c r="GQ192" s="91" t="str">
        <f aca="false">IF(AND(Tasks[[#This Row],[_IsLeaf]]=1,Tasks[[#This Row],[_LeafProgress]]&gt;=1),IF(N(Tasks[[#This Row],[Actual Finish]])&gt;0,Tasks[[#This Row],[Actual Finish]],Tasks[[#This Row],[_ShownFcstFinish]]),"")</f>
        <v/>
      </c>
      <c r="GR192" s="43" t="n">
        <f aca="false">IF(Tasks[[#This Row],[_IsLeaf]]=1,N(Tasks[[#This Row],[Story Points]]),0)</f>
        <v>0</v>
      </c>
      <c r="GS192" s="43" t="str">
        <f aca="false">""</f>
        <v/>
      </c>
      <c r="GT192" s="90" t="b">
        <f aca="false">IF(Tasks[[#This Row],[Task Name]]="",FALSE(),AND(Tasks[[#This Row],[_IsLeaf]]=1,N(Tasks[[#This Row],[_Days]])=0))</f>
        <v>0</v>
      </c>
      <c r="GU192" s="91" t="n">
        <f aca="false">IF(Tasks[[#This Row],[Task Name]]="",0,IF(AND(Tasks[[#This Row],[_IsLeaf]]=1,NOT(Tasks[[#This Row],[_IsMilestone]]),N(Tasks[[#This Row],[Progress]])&gt;0),Tasks[[#This Row],[Start]],0))</f>
        <v>0</v>
      </c>
      <c r="GV192" s="91" t="n">
        <f aca="false">IF(Tasks[[#This Row],[_DoneFrom]]=0,0,IF(Tasks[[#This Row],[Progress]]&gt;=1,Tasks[[#This Row],[Finish]],MAX(Tasks[[#This Row],[_DoneFrom]],Tasks[[#This Row],[Start]]+ROUND((Tasks[[#This Row],[Finish]]-Tasks[[#This Row],[Start]]+1)*Tasks[[#This Row],[Progress]],0)-1)))</f>
        <v>0</v>
      </c>
      <c r="GW192" s="91" t="n">
        <f aca="false">IF(Tasks[[#This Row],[Task Name]]="",0,IF(OR(NOT(Tasks[[#This Row],[_IsLeaf]]=1),Tasks[[#This Row],[_IsMilestone]],N(Tasks[[#This Row],[Progress]])&gt;=1),0,IF(Tasks[[#This Row],[_DoneTo]]&gt;0,Tasks[[#This Row],[_DoneTo]]+1,Tasks[[#This Row],[Start]])))</f>
        <v>0</v>
      </c>
      <c r="GX192" s="91" t="n">
        <f aca="false">IF(Tasks[[#This Row],[_RemFrom]]=0,0,Tasks[[#This Row],[Finish]])</f>
        <v>0</v>
      </c>
      <c r="GY192" s="90" t="b">
        <f aca="false">IF(Tasks[[#This Row],[Task Name]]="",FALSE(),OR(NOT(BaselineSet),N(Tasks[[#This Row],[Baseline Start]])&gt;0))</f>
        <v>0</v>
      </c>
      <c r="GZ19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2" s="92" t="str">
        <f aca="false">IF(Tasks[[#This Row],[_IsLeaf]]=1,Tasks[[#This Row],[_Row]],"")</f>
        <v/>
      </c>
      <c r="HD192" s="92" t="str">
        <f aca="false">IFERROR(INDEX(Tasks[UID],SMALL(Tasks[_PickKey],Tasks[[#This Row],[_Row]]))&amp;" "&amp;INDEX(Tasks[Task Name],SMALL(Tasks[_PickKey],Tasks[[#This Row],[_Row]])),"")</f>
        <v/>
      </c>
      <c r="HE192" s="43" t="str">
        <f aca="false">IF(Tasks[[#This Row],[Task Name]]="","",IF(Tasks[[#This Row],[_IsSummary]],NETWORKDAYS.INTL(Tasks[[#This Row],[Start]],Tasks[[#This Row],[Finish]],WorkWeek,Holidays),N(Tasks[[#This Row],[_Days]])))</f>
        <v/>
      </c>
      <c r="HF192" s="43" t="n">
        <f aca="false">IF(Tasks[[#This Row],[Expected]]="",0,((Tasks[[#This Row],[Pessimistic]]-Tasks[[#This Row],[Optimistic]])/6)^2)</f>
        <v>0</v>
      </c>
      <c r="HG192" s="43" t="n">
        <f aca="false">IF(Tasks[[#This Row],[Expected]]="",0,Tasks[[#This Row],[Expected]]-N(Tasks[[#This Row],[_Days]]))</f>
        <v>0</v>
      </c>
    </row>
    <row r="193" customFormat="false" ht="15" hidden="false" customHeight="false" outlineLevel="0" collapsed="false">
      <c r="A193" s="21" t="str">
        <f aca="false">IF(Tasks[[#This Row],[Task Name]]="","",COUNTA(Tasks[[#Headers],[Task Name]]:Tasks[[#This Row],[Task Name]])-1)</f>
        <v/>
      </c>
      <c r="B193" s="22" t="n">
        <v>201</v>
      </c>
      <c r="C193" s="22"/>
      <c r="D193" s="23"/>
      <c r="E193" s="22"/>
      <c r="F193" s="23"/>
      <c r="G193" s="22"/>
      <c r="H193" s="22"/>
      <c r="I193" s="23"/>
      <c r="J193" s="22"/>
      <c r="K193" s="22"/>
      <c r="L193" s="23"/>
      <c r="M193" s="22"/>
      <c r="N193" s="22"/>
      <c r="O193" s="23"/>
      <c r="P193" s="22"/>
      <c r="Q193" s="22"/>
      <c r="R193" s="23"/>
      <c r="S193" s="23"/>
      <c r="T193" s="84"/>
      <c r="U193" s="23"/>
      <c r="V193" s="84"/>
      <c r="W193" s="23"/>
      <c r="X193" s="84"/>
      <c r="Y193" s="23"/>
      <c r="Z193" s="84"/>
      <c r="AA193" s="23"/>
      <c r="AB193" s="23"/>
      <c r="AC193" s="7"/>
      <c r="AD193" s="7"/>
      <c r="AE193" s="63" t="str">
        <f aca="false">IF(Tasks[[#This Row],[Task Name]]="","",IF(Tasks[[#This Row],[_IsSummary]],MIN(INDEX(Tasks[_ShownFcstStart],Tasks[[#This Row],[_Row]]+1):INDEX(Tasks[_ShownFcstStart],Tasks[[#This Row],[_Row]]+Tasks[[#This Row],[_Descendants]])),Tasks[[#This Row],[_ShownFcstStart]]))</f>
        <v/>
      </c>
      <c r="AF193" s="63" t="str">
        <f aca="false">IF(Tasks[[#This Row],[Task Name]]="","",IF(Tasks[[#This Row],[_IsSummary]],MAX(INDEX(Tasks[_ShownFcstFinish],Tasks[[#This Row],[_Row]]+1):INDEX(Tasks[_ShownFcstFinish],Tasks[[#This Row],[_Row]]+Tasks[[#This Row],[_Descendants]])),Tasks[[#This Row],[_ShownFcstFinish]]))</f>
        <v/>
      </c>
      <c r="AG193" s="21" t="str">
        <f aca="false">""</f>
        <v/>
      </c>
      <c r="AH193" s="23"/>
      <c r="AI1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3" s="7"/>
      <c r="AK193" s="22"/>
      <c r="AL193" s="23"/>
      <c r="AM193" s="7"/>
      <c r="AN193" s="47" t="str">
        <f aca="false">IF(Tasks[[#This Row],[Task Name]]="","",IF(Tasks[[#This Row],[Finish]]&gt;=Tasks[[#This Row],[Planned Finish]],NETWORKDAYS.INTL(Tasks[[#This Row],[Planned Finish]],Tasks[[#This Row],[Finish]],WorkWeek,Holidays)-1,1-NETWORKDAYS.INTL(Tasks[[#This Row],[Finish]],Tasks[[#This Row],[Planned Finish]],WorkWeek,Holidays)))</f>
        <v/>
      </c>
      <c r="AO193" s="21" t="str">
        <f aca="false">IF(Tasks[[#This Row],[Task Name]]="","",IF(Tasks[[#This Row],[Progress]]&gt;=1,"Complete",IF(OR(N(Tasks[[#This Row],[Actual Start]])&gt;0,Tasks[[#This Row],[Progress]]&gt;0),IF(Tasks[[#This Row],[Finish Var]]&gt;0,"Behind","In Progress"),IF(Tasks[[#This Row],[Planned Start]]&lt;StatusDate,"Late Start","Not Started"))))</f>
        <v/>
      </c>
      <c r="AP193" s="21" t="str">
        <f aca="false">IF(Tasks[[#This Row],[Task Name]]="","",IF(IF(Tasks[[#This Row],[_IsSummary]],COUNTIF(INDEX(Tasks[_LeafCritical],Tasks[[#This Row],[_Row]]+1):INDEX(Tasks[_LeafCritical],Tasks[[#This Row],[_Row]]+Tasks[[#This Row],[_Descendants]]),TRUE())&gt;0,Tasks[[#This Row],[_LeafCritical]]),"Yes",""))</f>
        <v/>
      </c>
      <c r="AQ193" s="63" t="str">
        <f aca="false">IF(Tasks[[#This Row],[Task Name]]="","",IF(N(Tasks[[#This Row],[Baseline Start]])&gt;0,Tasks[[#This Row],[Baseline Start]],Tasks[[#This Row],[_CalcStart]]))</f>
        <v/>
      </c>
      <c r="AR193" s="63" t="str">
        <f aca="false">IF(Tasks[[#This Row],[Task Name]]="","",IF(N(Tasks[[#This Row],[Baseline Finish]])&gt;0,Tasks[[#This Row],[Baseline Finish]],Tasks[[#This Row],[_CalcFinish]]))</f>
        <v/>
      </c>
      <c r="AS193" s="47" t="str">
        <f aca="false">IF(Tasks[[#This Row],[Task Name]]="","",IF(Tasks[[#This Row],[Start]]&gt;=Tasks[[#This Row],[Planned Start]],NETWORKDAYS.INTL(Tasks[[#This Row],[Planned Start]],Tasks[[#This Row],[Start]],WorkWeek,Holidays)-1,1-NETWORKDAYS.INTL(Tasks[[#This Row],[Start]],Tasks[[#This Row],[Planned Start]],WorkWeek,Holidays)))</f>
        <v/>
      </c>
      <c r="AT193" s="63" t="str">
        <f aca="false">IF(Tasks[[#This Row],[Task Name]]="","",IF(Tasks[[#This Row],[_IsSummary]],MIN(INDEX(Tasks[_LeafLateStart],Tasks[[#This Row],[_Row]]+1):INDEX(Tasks[_LeafLateStart],Tasks[[#This Row],[_Row]]+Tasks[[#This Row],[_Descendants]])),Tasks[[#This Row],[_LeafLateStart]]))</f>
        <v/>
      </c>
      <c r="AU193" s="63" t="str">
        <f aca="false">IF(Tasks[[#This Row],[Task Name]]="","",IF(Tasks[[#This Row],[_IsSummary]],MAX(INDEX(Tasks[_LeafLateFinish],Tasks[[#This Row],[_Row]]+1):INDEX(Tasks[_LeafLateFinish],Tasks[[#This Row],[_Row]]+Tasks[[#This Row],[_Descendants]])),Tasks[[#This Row],[_LeafLateFinish]]))</f>
        <v/>
      </c>
      <c r="AV193" s="47" t="str">
        <f aca="false">IF(Tasks[[#This Row],[Task Name]]="","",IF(Tasks[[#This Row],[_IsSummary]],MIN(INDEX(Tasks[_LeafTotalSlack],Tasks[[#This Row],[_Row]]+1):INDEX(Tasks[_LeafTotalSlack],Tasks[[#This Row],[_Row]]+Tasks[[#This Row],[_Descendants]])),Tasks[[#This Row],[_LeafTotalSlack]]))</f>
        <v/>
      </c>
      <c r="AW1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5"/>
      <c r="BA19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1" t="str">
        <f aca="false">IF(Tasks[[#This Row],[Task Name]]="","",IF(Tasks[[#This Row],[_Level]]&lt;=OutlineShowLevel,"Yes","No"))</f>
        <v/>
      </c>
      <c r="BE193" s="86" t="str">
        <f aca="false">IF(Tasks[[#This Row],[Task Name]]="","",IF(Tasks[[#This Row],[_IsSummary]],SUM(INDEX(Tasks[_LeafTotalWork],Tasks[[#This Row],[_Row]]+1):INDEX(Tasks[_LeafTotalWork],Tasks[[#This Row],[_Row]]+Tasks[[#This Row],[_Descendants]])),Tasks[[#This Row],[_LeafTotalWork]]))</f>
        <v/>
      </c>
      <c r="BF193" s="23"/>
      <c r="BG1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3" s="21" t="str">
        <f aca="false">""</f>
        <v/>
      </c>
      <c r="BI193" s="87"/>
      <c r="BJ193" s="22"/>
      <c r="BK193" s="47" t="str">
        <f aca="false">IF(OR(Tasks[[#This Row],[Task Name]]="",Tasks[[#This Row],[Baseline Duration]]=""),"",Tasks[[#This Row],[_SpanDays]]-N(Tasks[[#This Row],[Baseline Duration]]))</f>
        <v/>
      </c>
      <c r="BL193" s="86" t="str">
        <f aca="false">IF(OR(Tasks[[#This Row],[Task Name]]="",Tasks[[#This Row],[Baseline Work]]=""),"",Tasks[[#This Row],[Work]]-N(Tasks[[#This Row],[Baseline Work]]))</f>
        <v/>
      </c>
      <c r="BM193" s="63" t="str">
        <f aca="false">IF(Tasks[[#This Row],[Task Name]]="","",IF(OR(TakeBaseline="Yes",N(Tasks[[#This Row],[Baseline Start]])=0),Tasks[[#This Row],[Start]],Tasks[[#This Row],[Baseline Start]]))</f>
        <v/>
      </c>
      <c r="BN193" s="63" t="str">
        <f aca="false">IF(Tasks[[#This Row],[Task Name]]="","",IF(OR(TakeBaseline="Yes",N(Tasks[[#This Row],[Baseline Finish]])=0),Tasks[[#This Row],[Finish]],Tasks[[#This Row],[Baseline Finish]]))</f>
        <v/>
      </c>
      <c r="BO193" s="21" t="str">
        <f aca="false">IF(Tasks[[#This Row],[Task Name]]="","",IF(OR(TakeBaseline="Yes",N(Tasks[[#This Row],[Baseline Duration]])=0),Tasks[[#This Row],[_SpanDays]],Tasks[[#This Row],[Baseline Duration]]))</f>
        <v/>
      </c>
      <c r="BP193" s="86" t="str">
        <f aca="false">IF(Tasks[[#This Row],[Task Name]]="","",IF(OR(TakeBaseline="Yes",N(Tasks[[#This Row],[Baseline Work]])=0),Tasks[[#This Row],[Work]],Tasks[[#This Row],[Baseline Work]]))</f>
        <v/>
      </c>
      <c r="BQ193" s="7"/>
      <c r="BR193" s="7"/>
      <c r="BS193" s="22"/>
      <c r="BT193" s="88"/>
      <c r="BU193" s="23"/>
      <c r="BV193" s="23"/>
      <c r="BW193" s="23"/>
      <c r="BX193" s="89" t="str">
        <f aca="false">IF(AND(Tasks[[#This Row],[_IsLeaf]]=1,ISNUMBER(Tasks[[#This Row],[Optimistic]]),ISNUMBER(Tasks[[#This Row],[Pessimistic]])),ROUND((Tasks[[#This Row],[Optimistic]]+4*N(Tasks[[#This Row],[_Days]])+Tasks[[#This Row],[Pessimistic]])/6,1),"")</f>
        <v/>
      </c>
      <c r="BY193" s="87"/>
      <c r="BZ193" s="87"/>
      <c r="CA193" s="22"/>
      <c r="CB193" s="43" t="str">
        <f aca="false">IF(Tasks[[#This Row],[Task Name]]="","",MAX(1,N(Tasks[[#This Row],[Level]])))</f>
        <v/>
      </c>
      <c r="CC193" s="43" t="n">
        <f aca="false">ROW()-ROW(Tasks[[#Headers],[ID]])</f>
        <v>188</v>
      </c>
      <c r="CD193" s="43" t="n">
        <f aca="false">IF(OR(Tasks[[#This Row],[Task Name]]="",Tasks[[#This Row],[_Level]]&lt;=1),0,IFERROR(LOOKUP(2,1/(Tasks[[#Headers],[_Level]]:Tasks[[#This Row],[_Level]]=Tasks[[#This Row],[_Level]]-1),ROW(Tasks[[#Headers],[_Level]]:Tasks[[#This Row],[_Level]])),0))</f>
        <v>0</v>
      </c>
      <c r="CE193" s="43" t="n">
        <f aca="false">IFERROR(N(INDEX(Tasks[_Level],Tasks[[#This Row],[_Row]]+1)),0)</f>
        <v>0</v>
      </c>
      <c r="CF193" s="90" t="b">
        <f aca="false">AND(Tasks[[#This Row],[Task Name]]&lt;&gt;"",Tasks[[#This Row],[_NextLevel]]&gt;Tasks[[#This Row],[_Level]])</f>
        <v>0</v>
      </c>
      <c r="CG193" s="43" t="n">
        <f aca="false">IF(Tasks[[#This Row],[_IsSummary]],COUNTIF(Tasks[WBS],Tasks[[#This Row],[WBS]]&amp;".*"),0)</f>
        <v>0</v>
      </c>
      <c r="CH193" s="43" t="n">
        <f aca="false">IF(AND(Tasks[[#This Row],[Task Name]]&lt;&gt;"",NOT(Tasks[[#This Row],[_IsSummary]])),1,0)</f>
        <v>0</v>
      </c>
      <c r="CI193" s="43" t="n">
        <f aca="false">IF(N(Tasks[[#This Row],[_Pred1UID]])=0,0,IFERROR(MATCH(Tasks[[#This Row],[_Pred1UID]],Tasks[UID],0),-1))</f>
        <v>0</v>
      </c>
      <c r="CJ193" s="43" t="n">
        <f aca="false">IF(N(Tasks[[#This Row],[_Pred2UID]])=0,0,IFERROR(MATCH(Tasks[[#This Row],[_Pred2UID]],Tasks[UID],0),-1))</f>
        <v>0</v>
      </c>
      <c r="CK193" s="43" t="n">
        <f aca="false">IF(N(Tasks[[#This Row],[_Pred3UID]])=0,0,IFERROR(MATCH(Tasks[[#This Row],[_Pred3UID]],Tasks[UID],0),-1))</f>
        <v>0</v>
      </c>
      <c r="CL193" s="43" t="n">
        <f aca="false">IF(N(Tasks[[#This Row],[_Pred4UID]])=0,0,IFERROR(MATCH(Tasks[[#This Row],[_Pred4UID]],Tasks[UID],0),-1))</f>
        <v>0</v>
      </c>
      <c r="CM19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3" s="91" t="n">
        <f aca="false">IF(OR(Tasks[[#This Row],[_ConstraintCode]]=2,Tasks[[#This Row],[_ConstraintCode]]=3,Tasks[[#This Row],[_ConstraintCode]]=4,Tasks[[#This Row],[_ConstraintCode]]=6),Tasks[[#This Row],[_ConstraintStart]],0)</f>
        <v>0</v>
      </c>
      <c r="CP193" s="91" t="n">
        <f aca="false">IF(OR(Tasks[[#This Row],[_ConstraintCode]]=2,Tasks[[#This Row],[_ConstraintCode]]=3,Tasks[[#This Row],[_ConstraintCode]]=5,Tasks[[#This Row],[_ConstraintCode]]=7),Tasks[[#This Row],[_ConstraintStart]],2958465)</f>
        <v>2958465</v>
      </c>
      <c r="CQ19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3" s="91" t="str">
        <f aca="false">IF(NOT(Tasks[[#This Row],[_IsLeaf]]=1),"",IF(N(Tasks[[#This Row],[_Days]])&lt;=0,Tasks[[#This Row],[_LeafCalcStart]],WORKDAY.INTL(Tasks[[#This Row],[_LeafCalcStart]],Tasks[[#This Row],[_Days]]-1,WorkWeek,Holidays)))</f>
        <v/>
      </c>
      <c r="CS19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3" s="43" t="str">
        <f aca="false">IF(Tasks[[#This Row],[_Predecessors]]="","",TRIM(MID(SUBSTITUTE(SUBSTITUTE(SUBSTITUTE(UPPER(Tasks[[#This Row],[_Predecessors]]),";",",")," ",""),",",REPT(" ",99)),1,99)))</f>
        <v/>
      </c>
      <c r="CV193" s="43" t="str">
        <f aca="false">IF(Tasks[[#This Row],[_Pred1Text]]="","",IFERROR(VALUE(LEFT(Tasks[[#This Row],[_Pred1Text]],MIN(FIND("F",Tasks[[#This Row],[_Pred1Text]]&amp;"F"),FIND("S",Tasks[[#This Row],[_Pred1Text]]&amp;"S"),FIND("+",Tasks[[#This Row],[_Pred1Text]]&amp;"+"),FIND("-",Tasks[[#This Row],[_Pred1Text]]&amp;"-"))-1)),""))</f>
        <v/>
      </c>
      <c r="CW19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3" s="43" t="str">
        <f aca="false">IF(Tasks[[#This Row],[_Pred1Text]]="","",TRIM(MID(SUBSTITUTE(SUBSTITUTE(SUBSTITUTE(UPPER(Tasks[[#This Row],[_Predecessors]]),";",",")," ",""),",",REPT(" ",99)),100,99)))</f>
        <v/>
      </c>
      <c r="CZ193" s="43" t="str">
        <f aca="false">IF(Tasks[[#This Row],[_Pred2Text]]="","",IFERROR(VALUE(LEFT(Tasks[[#This Row],[_Pred2Text]],MIN(FIND("F",Tasks[[#This Row],[_Pred2Text]]&amp;"F"),FIND("S",Tasks[[#This Row],[_Pred2Text]]&amp;"S"),FIND("+",Tasks[[#This Row],[_Pred2Text]]&amp;"+"),FIND("-",Tasks[[#This Row],[_Pred2Text]]&amp;"-"))-1)),""))</f>
        <v/>
      </c>
      <c r="DA19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3" s="43" t="str">
        <f aca="false">IF(Tasks[[#This Row],[_Pred2Text]]="","",TRIM(MID(SUBSTITUTE(SUBSTITUTE(SUBSTITUTE(UPPER(Tasks[[#This Row],[_Predecessors]]),";",",")," ",""),",",REPT(" ",99)),199,99)))</f>
        <v/>
      </c>
      <c r="DD193" s="43" t="str">
        <f aca="false">IF(Tasks[[#This Row],[_Pred3Text]]="","",IFERROR(VALUE(LEFT(Tasks[[#This Row],[_Pred3Text]],MIN(FIND("F",Tasks[[#This Row],[_Pred3Text]]&amp;"F"),FIND("S",Tasks[[#This Row],[_Pred3Text]]&amp;"S"),FIND("+",Tasks[[#This Row],[_Pred3Text]]&amp;"+"),FIND("-",Tasks[[#This Row],[_Pred3Text]]&amp;"-"))-1)),""))</f>
        <v/>
      </c>
      <c r="DE19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3" s="43" t="str">
        <f aca="false">IF(Tasks[[#This Row],[_Pred3Text]]="","",TRIM(MID(SUBSTITUTE(SUBSTITUTE(SUBSTITUTE(UPPER(Tasks[[#This Row],[_Predecessors]]),";",",")," ",""),",",REPT(" ",99)),298,99)))</f>
        <v/>
      </c>
      <c r="DH193" s="43" t="str">
        <f aca="false">IF(Tasks[[#This Row],[_Pred4Text]]="","",IFERROR(VALUE(LEFT(Tasks[[#This Row],[_Pred4Text]],MIN(FIND("F",Tasks[[#This Row],[_Pred4Text]]&amp;"F"),FIND("S",Tasks[[#This Row],[_Pred4Text]]&amp;"S"),FIND("+",Tasks[[#This Row],[_Pred4Text]]&amp;"+"),FIND("-",Tasks[[#This Row],[_Pred4Text]]&amp;"-"))-1)),""))</f>
        <v/>
      </c>
      <c r="DI19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3" s="43" t="str">
        <f aca="false">IF(OR(Tasks[[#This Row],[Task Name]]="",Tasks[[#This Row],[_Resources]]=""),"",TRIM(MID(SUBSTITUTE(Tasks[[#This Row],[_Resources]],",",REPT(" ",99)),1,99)))</f>
        <v/>
      </c>
      <c r="DL193" s="43" t="str">
        <f aca="false">IF(Tasks[[#This Row],[_Res1Text]]="","",TRIM(MID(SUBSTITUTE(Tasks[[#This Row],[_Resources]],",",REPT(" ",99)),100,99)))</f>
        <v/>
      </c>
      <c r="DM193" s="43" t="str">
        <f aca="false">IF(Tasks[[#This Row],[_Res2Text]]="","",TRIM(MID(SUBSTITUTE(Tasks[[#This Row],[_Resources]],",",REPT(" ",99)),199,99)))</f>
        <v/>
      </c>
      <c r="DN193" s="43" t="str">
        <f aca="false">IF(Tasks[[#This Row],[_Res3Text]]="","",TRIM(MID(SUBSTITUTE(Tasks[[#This Row],[_Resources]],",",REPT(" ",99)),298,99)))</f>
        <v/>
      </c>
      <c r="DO193" s="43" t="n">
        <f aca="false">IF(Tasks[[#This Row],[_Res1Text]]="",0,IFERROR(MATCH(TRIM(LEFT(Tasks[[#This Row],[_Res1Text]],FIND("[",Tasks[[#This Row],[_Res1Text]]&amp;"[")-1)),res_Name,0),IFERROR(MATCH(TRIM(LEFT(Tasks[[#This Row],[_Res1Text]],FIND("[",Tasks[[#This Row],[_Res1Text]]&amp;"[")-1)),res_Initials,0),0)))</f>
        <v>0</v>
      </c>
      <c r="DP193" s="43" t="n">
        <f aca="false">IF(Tasks[[#This Row],[_Res2Text]]="",0,IFERROR(MATCH(TRIM(LEFT(Tasks[[#This Row],[_Res2Text]],FIND("[",Tasks[[#This Row],[_Res2Text]]&amp;"[")-1)),res_Name,0),IFERROR(MATCH(TRIM(LEFT(Tasks[[#This Row],[_Res2Text]],FIND("[",Tasks[[#This Row],[_Res2Text]]&amp;"[")-1)),res_Initials,0),0)))</f>
        <v>0</v>
      </c>
      <c r="DQ193" s="43" t="n">
        <f aca="false">IF(Tasks[[#This Row],[_Res3Text]]="",0,IFERROR(MATCH(TRIM(LEFT(Tasks[[#This Row],[_Res3Text]],FIND("[",Tasks[[#This Row],[_Res3Text]]&amp;"[")-1)),res_Name,0),IFERROR(MATCH(TRIM(LEFT(Tasks[[#This Row],[_Res3Text]],FIND("[",Tasks[[#This Row],[_Res3Text]]&amp;"[")-1)),res_Initials,0),0)))</f>
        <v>0</v>
      </c>
      <c r="DR193" s="43" t="n">
        <f aca="false">IF(Tasks[[#This Row],[_Res4Text]]="",0,IFERROR(MATCH(TRIM(LEFT(Tasks[[#This Row],[_Res4Text]],FIND("[",Tasks[[#This Row],[_Res4Text]]&amp;"[")-1)),res_Name,0),IFERROR(MATCH(TRIM(LEFT(Tasks[[#This Row],[_Res4Text]],FIND("[",Tasks[[#This Row],[_Res4Text]]&amp;"[")-1)),res_Initials,0),0)))</f>
        <v>0</v>
      </c>
      <c r="DS193" s="43" t="str">
        <f aca="false">IF(Tasks[[#This Row],[_Res1Text]]="","",IF(Tasks[[#This Row],[_Res1Row]]&gt;0,INDEX(res_Name,Tasks[[#This Row],[_Res1Row]]),TRIM(LEFT(Tasks[[#This Row],[_Res1Text]],FIND("[",Tasks[[#This Row],[_Res1Text]]&amp;"[")-1))))</f>
        <v/>
      </c>
      <c r="DT19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3" s="43" t="n">
        <f aca="false">IF(NOT(Tasks[[#This Row],[_IsLeaf]]=1),0,(Tasks[[#This Row],[_Resource1]]&lt;&gt;"")+(Tasks[[#This Row],[_Res2]]&lt;&gt;"")+(Tasks[[#This Row],[_Res3]]&lt;&gt;"")+(Tasks[[#This Row],[_Res4]]&lt;&gt;""))</f>
        <v>0</v>
      </c>
      <c r="DV193" s="43" t="str">
        <f aca="false">IF(Tasks[[#This Row],[_Res2Text]]="","",IF(Tasks[[#This Row],[_Res2Row]]&gt;0,INDEX(res_Name,Tasks[[#This Row],[_Res2Row]]),TRIM(LEFT(Tasks[[#This Row],[_Res2Text]],FIND("[",Tasks[[#This Row],[_Res2Text]]&amp;"[")-1))))</f>
        <v/>
      </c>
      <c r="DW19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3" s="43" t="n">
        <f aca="false">IF(OR(NOT(Tasks[[#This Row],[_IsLeaf]]=1),Tasks[[#This Row],[_Res2Row]]=0),0,N(Tasks[[#This Row],[_Days]])*HoursPerDay*IF(Tasks[[#This Row],[_Res2Units]]="",DefaultUnits,Tasks[[#This Row],[_Res2Units]]))</f>
        <v>0</v>
      </c>
      <c r="DY193" s="43" t="n">
        <f aca="false">IF(AND(AND(Tasks[[#This Row],[_IsLeaf]]=1,Tasks[[#This Row],[_LeafTotalWork]]&gt;0),Tasks[[#This Row],[_Res2Work]]&gt;0),Tasks[[#This Row],[_Res2Work]]/(Tasks[[#This Row],[_FinishWorkday]]-Tasks[[#This Row],[_StartWorkday]]+1),0)</f>
        <v>0</v>
      </c>
      <c r="DZ193" s="43" t="n">
        <f aca="false">Tasks[[#This Row],[_Res2WorkPerWD]]*MAX(0,Tasks[[#This Row],[_StartWorkday]]-1)</f>
        <v>0</v>
      </c>
      <c r="EA193" s="43" t="n">
        <f aca="false">Tasks[[#This Row],[_Res2Work]]*Tasks[[#This Row],[_LeafProgress]]</f>
        <v>0</v>
      </c>
      <c r="EB193" s="43" t="str">
        <f aca="false">IF(Tasks[[#This Row],[_Res3Text]]="","",IF(Tasks[[#This Row],[_Res3Row]]&gt;0,INDEX(res_Name,Tasks[[#This Row],[_Res3Row]]),TRIM(LEFT(Tasks[[#This Row],[_Res3Text]],FIND("[",Tasks[[#This Row],[_Res3Text]]&amp;"[")-1))))</f>
        <v/>
      </c>
      <c r="EC19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3" s="43" t="n">
        <f aca="false">IF(OR(NOT(Tasks[[#This Row],[_IsLeaf]]=1),Tasks[[#This Row],[_Res3Row]]=0),0,N(Tasks[[#This Row],[_Days]])*HoursPerDay*IF(Tasks[[#This Row],[_Res3Units]]="",DefaultUnits,Tasks[[#This Row],[_Res3Units]]))</f>
        <v>0</v>
      </c>
      <c r="EE193" s="43" t="n">
        <f aca="false">IF(AND(AND(Tasks[[#This Row],[_IsLeaf]]=1,Tasks[[#This Row],[_LeafTotalWork]]&gt;0),Tasks[[#This Row],[_Res3Work]]&gt;0),Tasks[[#This Row],[_Res3Work]]/(Tasks[[#This Row],[_FinishWorkday]]-Tasks[[#This Row],[_StartWorkday]]+1),0)</f>
        <v>0</v>
      </c>
      <c r="EF193" s="43" t="n">
        <f aca="false">Tasks[[#This Row],[_Res3WorkPerWD]]*MAX(0,Tasks[[#This Row],[_StartWorkday]]-1)</f>
        <v>0</v>
      </c>
      <c r="EG193" s="43" t="n">
        <f aca="false">Tasks[[#This Row],[_Res3Work]]*Tasks[[#This Row],[_LeafProgress]]</f>
        <v>0</v>
      </c>
      <c r="EH193" s="43" t="str">
        <f aca="false">IF(Tasks[[#This Row],[_Res4Text]]="","",IF(Tasks[[#This Row],[_Res4Row]]&gt;0,INDEX(res_Name,Tasks[[#This Row],[_Res4Row]]),TRIM(LEFT(Tasks[[#This Row],[_Res4Text]],FIND("[",Tasks[[#This Row],[_Res4Text]]&amp;"[")-1))))</f>
        <v/>
      </c>
      <c r="EI19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3" s="43" t="n">
        <f aca="false">IF(OR(NOT(Tasks[[#This Row],[_IsLeaf]]=1),Tasks[[#This Row],[_Res4Row]]=0),0,N(Tasks[[#This Row],[_Days]])*HoursPerDay*IF(Tasks[[#This Row],[_Res4Units]]="",DefaultUnits,Tasks[[#This Row],[_Res4Units]]))</f>
        <v>0</v>
      </c>
      <c r="EK193" s="43" t="n">
        <f aca="false">IF(AND(AND(Tasks[[#This Row],[_IsLeaf]]=1,Tasks[[#This Row],[_LeafTotalWork]]&gt;0),Tasks[[#This Row],[_Res4Work]]&gt;0),Tasks[[#This Row],[_Res4Work]]/(Tasks[[#This Row],[_FinishWorkday]]-Tasks[[#This Row],[_StartWorkday]]+1),0)</f>
        <v>0</v>
      </c>
      <c r="EL193" s="43" t="n">
        <f aca="false">Tasks[[#This Row],[_Res4WorkPerWD]]*MAX(0,Tasks[[#This Row],[_StartWorkday]]-1)</f>
        <v>0</v>
      </c>
      <c r="EM193" s="43" t="n">
        <f aca="false">Tasks[[#This Row],[_Res4Work]]*Tasks[[#This Row],[_LeafProgress]]</f>
        <v>0</v>
      </c>
      <c r="EN193" s="43" t="n">
        <f aca="false">IF(ISNUMBER(Tasks[[#This Row],[% Complete]]),Tasks[[#This Row],[% Complete]],IF(Tasks[[#This Row],[Stage]]="",0,IFERROR(INDEX(stg_Pct,MATCH(Tasks[[#This Row],[Stage]],stg_Name,0)),0)))</f>
        <v>0</v>
      </c>
      <c r="EO193" s="43" t="n">
        <f aca="false">IF(NOT(Tasks[[#This Row],[_IsLeaf]]=1),0,IF(N(Tasks[[#This Row],[Actual Finish]])&gt;0,1,MIN(1,Tasks[[#This Row],[_Pct]])))</f>
        <v>0</v>
      </c>
      <c r="EP193" s="43" t="n">
        <f aca="false">IF(OR(NOT(Tasks[[#This Row],[_IsLeaf]]=1),Tasks[[#This Row],[_Res1Row]]=0),0,N(Tasks[[#This Row],[_Days]])*HoursPerDay*IF(Tasks[[#This Row],[_Units1]]="",DefaultUnits,Tasks[[#This Row],[_Units1]]))</f>
        <v>0</v>
      </c>
      <c r="EQ193" s="43" t="n">
        <f aca="false">Tasks[[#This Row],[_LeafWork]]+Tasks[[#This Row],[_Res2Work]]+Tasks[[#This Row],[_Res3Work]]+Tasks[[#This Row],[_Res4Work]]</f>
        <v>0</v>
      </c>
      <c r="ER19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3" s="43" t="n">
        <f aca="false">IF(NOT(Tasks[[#This Row],[_IsLeaf]]=1),0,MAX(_xlfn.MAXIFS(Tasks[_Row],Tasks[_Pred1UID],Tasks[[#This Row],[UID]]),_xlfn.MAXIFS(Tasks[_Row],Tasks[_Pred2UID],Tasks[[#This Row],[UID]]),_xlfn.MAXIFS(Tasks[_Row],Tasks[_Pred3UID],Tasks[[#This Row],[UID]]),_xlfn.MAXIFS(Tasks[_Row],Tasks[_Pred4UID],Tasks[[#This Row],[UID]])))</f>
        <v>0</v>
      </c>
      <c r="FA19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3" s="91" t="str">
        <f aca="false">IF(NOT(Tasks[[#This Row],[_IsLeaf]]=1),"",IF(N(Tasks[[#This Row],[_Days]])&lt;=0,Tasks[[#This Row],[_LeafLateFinish]],WORKDAY.INTL(Tasks[[#This Row],[_LeafLateFinish]],-(Tasks[[#This Row],[_Days]]-1),WorkWeek,Holidays)))</f>
        <v/>
      </c>
      <c r="FD19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3" s="90" t="b">
        <f aca="false">AND(Tasks[[#This Row],[_IsLeaf]]=1,Tasks[[#This Row],[_LeafProgress]]&lt;1,N(Tasks[[#This Row],[_LeafTotalSlack]])&lt;=CriticalSlackDays)</f>
        <v>0</v>
      </c>
      <c r="FF193" s="43" t="n">
        <f aca="false">IF(AND(Tasks[[#This Row],[_IsLeaf]]=1,Tasks[[#This Row],[_ConstraintCode]]=1,Tasks[[#This Row],[Mode]]&lt;&gt;"Manual",N(Tasks[[#This Row],[Actual Start]])=0),MAX(0,N(Tasks[[#This Row],[Free Slack]])),0)</f>
        <v>0</v>
      </c>
      <c r="FG193" s="91" t="str">
        <f aca="false">IF(NOT(Tasks[[#This Row],[_IsLeaf]]=1),"",IF(Tasks[[#This Row],[_AlapShift]]=0,Tasks[[#This Row],[_LeafCalcStart]],WORKDAY.INTL(Tasks[[#This Row],[_LeafCalcStart]],Tasks[[#This Row],[_AlapShift]],WorkWeek,Holidays)))</f>
        <v/>
      </c>
      <c r="FH193" s="91" t="str">
        <f aca="false">IF(NOT(Tasks[[#This Row],[_IsLeaf]]=1),"",IF(Tasks[[#This Row],[_AlapShift]]=0,Tasks[[#This Row],[_LeafCalcFinish]],WORKDAY.INTL(Tasks[[#This Row],[_LeafCalcFinish]],Tasks[[#This Row],[_AlapShift]],WorkWeek,Holidays)))</f>
        <v/>
      </c>
      <c r="FI193" s="91" t="str">
        <f aca="false">IF(NOT(Tasks[[#This Row],[_IsLeaf]]=1),"",IF(Tasks[[#This Row],[_AlapShift]]=0,Tasks[[#This Row],[_LeafFcstStart]],WORKDAY.INTL(Tasks[[#This Row],[_LeafFcstStart]],Tasks[[#This Row],[_AlapShift]],WorkWeek,Holidays)))</f>
        <v/>
      </c>
      <c r="FJ193" s="91" t="str">
        <f aca="false">IF(NOT(Tasks[[#This Row],[_IsLeaf]]=1),"",IF(Tasks[[#This Row],[_AlapShift]]=0,Tasks[[#This Row],[_LeafFcstFinish]],WORKDAY.INTL(Tasks[[#This Row],[_LeafFcstFinish]],Tasks[[#This Row],[_AlapShift]],WorkWeek,Holidays)))</f>
        <v/>
      </c>
      <c r="FK193" s="91" t="str">
        <f aca="false">IF(Tasks[[#This Row],[Task Name]]="","",IF(Tasks[[#This Row],[_IsSummary]],MIN(INDEX(Tasks[_ShownCalcStart],Tasks[[#This Row],[_Row]]+1):INDEX(Tasks[_ShownCalcStart],Tasks[[#This Row],[_Row]]+Tasks[[#This Row],[_Descendants]])),Tasks[[#This Row],[_ShownCalcStart]]))</f>
        <v/>
      </c>
      <c r="FL193" s="91" t="str">
        <f aca="false">IF(Tasks[[#This Row],[Task Name]]="","",IF(Tasks[[#This Row],[_IsSummary]],MAX(INDEX(Tasks[_ShownCalcFinish],Tasks[[#This Row],[_Row]]+1):INDEX(Tasks[_ShownCalcFinish],Tasks[[#This Row],[_Row]]+Tasks[[#This Row],[_Descendants]])),Tasks[[#This Row],[_ShownCalcFinish]]))</f>
        <v/>
      </c>
      <c r="FM19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3" s="43" t="n">
        <f aca="false">IF(AND(Tasks[[#This Row],[_IsLeaf]]=1,Tasks[[#This Row],[_LeafTotalWork]]&gt;0),NETWORKDAYS.INTL(ProjectStart,Tasks[[#This Row],[_ShownFcstStart]],WorkWeek,Holidays),0)</f>
        <v>0</v>
      </c>
      <c r="FZ193" s="43" t="n">
        <f aca="false">IF(AND(Tasks[[#This Row],[_IsLeaf]]=1,Tasks[[#This Row],[_LeafTotalWork]]&gt;0),MAX(Tasks[[#This Row],[_StartWorkday]],NETWORKDAYS.INTL(ProjectStart,Tasks[[#This Row],[_ShownFcstFinish]],WorkWeek,Holidays)),0)</f>
        <v>0</v>
      </c>
      <c r="GA193" s="43" t="n">
        <f aca="false">IF(AND(Tasks[[#This Row],[_IsLeaf]]=1,Tasks[[#This Row],[_LeafTotalWork]]&gt;0),Tasks[[#This Row],[_LeafWork]]/(Tasks[[#This Row],[_FinishWorkday]]-Tasks[[#This Row],[_StartWorkday]]+1),0)</f>
        <v>0</v>
      </c>
      <c r="GB193" s="43" t="n">
        <f aca="false">Tasks[[#This Row],[_WorkPerWorkday]]*(Tasks[[#This Row],[_StartWorkday]]-1)</f>
        <v>-0</v>
      </c>
      <c r="GC193" s="43" t="n">
        <f aca="false">IF(Tasks[[#This Row],[_IsLeaf]]=1,MAX(N(Tasks[[#This Row],[_Days]]),0.1),0)</f>
        <v>0</v>
      </c>
      <c r="GD193" s="43" t="n">
        <f aca="false">Tasks[[#This Row],[_WeightDur]]*Tasks[[#This Row],[_LeafProgress]]</f>
        <v>0</v>
      </c>
      <c r="GE193" s="43" t="n">
        <f aca="false">Tasks[[#This Row],[_WeightDur]]*Tasks[[#This Row],[_PlannedPct]]</f>
        <v>0</v>
      </c>
      <c r="GF19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3" s="43" t="str">
        <f aca="false">IF(AND(Tasks[[#This Row],[_IsLeaf]]=1,N(Tasks[[#This Row],[_Days]])=0,Tasks[[#This Row],[_LeafProgress]]&lt;1),Tasks[[#This Row],[_ShownFcstFinish]]+Tasks[[#This Row],[_Row]]/100000,"")</f>
        <v/>
      </c>
      <c r="GH19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3" s="43" t="str">
        <f aca="false">IF(Tasks[[#This Row],[Task Name]]="","",LEFT(Tasks[[#This Row],[WBS]],FIND(".",Tasks[[#This Row],[WBS]]&amp;".")-1))</f>
        <v/>
      </c>
      <c r="GJ193" s="43" t="str">
        <f aca="false">IF(AND(Tasks[[#This Row],[Task Name]]&lt;&gt;"",Tasks[[#This Row],[_Level]]=1),Tasks[[#This Row],[_Row]],"")</f>
        <v/>
      </c>
      <c r="GK193" s="43" t="str">
        <f aca="false">IF(AND(Tasks[[#This Row],[_IsLeaf]]=1,N(Tasks[[#This Row],[_Days]])=0),Tasks[[#This Row],[Planned Finish]]+Tasks[[#This Row],[_Row]]/100000,"")</f>
        <v/>
      </c>
      <c r="GL193" s="43" t="str">
        <f aca="false">IF(AND(Tasks[[#This Row],[_IsLeaf]]=1,Tasks[[#This Row],[_LeafProgress]]&lt;1,OR(N(Tasks[[#This Row],[Finish Var]])&gt;0,Tasks[[#This Row],[Status]]="Late Start")),MAX(0,Tasks[[#This Row],[Finish Var]])+1-Tasks[[#This Row],[_Row]]/1000000,"")</f>
        <v/>
      </c>
      <c r="GM193" s="43" t="str">
        <f aca="false">IF(AND(Tasks[[#This Row],[_IsLeaf]]=1,N(Tasks[[#This Row],[Actual Start]])=0,Tasks[[#This Row],[_ShownFcstStart]]&gt;=StatusDate,Tasks[[#This Row],[_ShownFcstStart]]&lt;=LookaheadEnd),Tasks[[#This Row],[_ShownFcstStart]]+Tasks[[#This Row],[_Row]]/100000,"")</f>
        <v/>
      </c>
      <c r="GN193" s="43" t="str">
        <f aca="false">IF(AND(Tasks[[#This Row],[_IsLeaf]]=1,Tasks[[#This Row],[_LeafProgress]]&lt;1,Tasks[[#This Row],[_ShownFcstFinish]]&gt;=StatusDate,Tasks[[#This Row],[_ShownFcstFinish]]&lt;=LookaheadEnd),Tasks[[#This Row],[_ShownFcstFinish]]+Tasks[[#This Row],[_Row]]/100000,"")</f>
        <v/>
      </c>
      <c r="GO193" s="43" t="str">
        <f aca="false">IF(Tasks[[#This Row],[_LeafCritical]],Tasks[[#This Row],[_ShownFcstStart]]+Tasks[[#This Row],[_Row]]/100000,"")</f>
        <v/>
      </c>
      <c r="GP193" s="43" t="n">
        <f aca="false">Tasks[[#This Row],[_LeafWork]]*Tasks[[#This Row],[_LeafProgress]]</f>
        <v>0</v>
      </c>
      <c r="GQ193" s="91" t="str">
        <f aca="false">IF(AND(Tasks[[#This Row],[_IsLeaf]]=1,Tasks[[#This Row],[_LeafProgress]]&gt;=1),IF(N(Tasks[[#This Row],[Actual Finish]])&gt;0,Tasks[[#This Row],[Actual Finish]],Tasks[[#This Row],[_ShownFcstFinish]]),"")</f>
        <v/>
      </c>
      <c r="GR193" s="43" t="n">
        <f aca="false">IF(Tasks[[#This Row],[_IsLeaf]]=1,N(Tasks[[#This Row],[Story Points]]),0)</f>
        <v>0</v>
      </c>
      <c r="GS193" s="43" t="str">
        <f aca="false">""</f>
        <v/>
      </c>
      <c r="GT193" s="90" t="b">
        <f aca="false">IF(Tasks[[#This Row],[Task Name]]="",FALSE(),AND(Tasks[[#This Row],[_IsLeaf]]=1,N(Tasks[[#This Row],[_Days]])=0))</f>
        <v>0</v>
      </c>
      <c r="GU193" s="91" t="n">
        <f aca="false">IF(Tasks[[#This Row],[Task Name]]="",0,IF(AND(Tasks[[#This Row],[_IsLeaf]]=1,NOT(Tasks[[#This Row],[_IsMilestone]]),N(Tasks[[#This Row],[Progress]])&gt;0),Tasks[[#This Row],[Start]],0))</f>
        <v>0</v>
      </c>
      <c r="GV193" s="91" t="n">
        <f aca="false">IF(Tasks[[#This Row],[_DoneFrom]]=0,0,IF(Tasks[[#This Row],[Progress]]&gt;=1,Tasks[[#This Row],[Finish]],MAX(Tasks[[#This Row],[_DoneFrom]],Tasks[[#This Row],[Start]]+ROUND((Tasks[[#This Row],[Finish]]-Tasks[[#This Row],[Start]]+1)*Tasks[[#This Row],[Progress]],0)-1)))</f>
        <v>0</v>
      </c>
      <c r="GW193" s="91" t="n">
        <f aca="false">IF(Tasks[[#This Row],[Task Name]]="",0,IF(OR(NOT(Tasks[[#This Row],[_IsLeaf]]=1),Tasks[[#This Row],[_IsMilestone]],N(Tasks[[#This Row],[Progress]])&gt;=1),0,IF(Tasks[[#This Row],[_DoneTo]]&gt;0,Tasks[[#This Row],[_DoneTo]]+1,Tasks[[#This Row],[Start]])))</f>
        <v>0</v>
      </c>
      <c r="GX193" s="91" t="n">
        <f aca="false">IF(Tasks[[#This Row],[_RemFrom]]=0,0,Tasks[[#This Row],[Finish]])</f>
        <v>0</v>
      </c>
      <c r="GY193" s="90" t="b">
        <f aca="false">IF(Tasks[[#This Row],[Task Name]]="",FALSE(),OR(NOT(BaselineSet),N(Tasks[[#This Row],[Baseline Start]])&gt;0))</f>
        <v>0</v>
      </c>
      <c r="GZ19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3" s="92" t="str">
        <f aca="false">IF(Tasks[[#This Row],[_IsLeaf]]=1,Tasks[[#This Row],[_Row]],"")</f>
        <v/>
      </c>
      <c r="HD193" s="92" t="str">
        <f aca="false">IFERROR(INDEX(Tasks[UID],SMALL(Tasks[_PickKey],Tasks[[#This Row],[_Row]]))&amp;" "&amp;INDEX(Tasks[Task Name],SMALL(Tasks[_PickKey],Tasks[[#This Row],[_Row]])),"")</f>
        <v/>
      </c>
      <c r="HE193" s="43" t="str">
        <f aca="false">IF(Tasks[[#This Row],[Task Name]]="","",IF(Tasks[[#This Row],[_IsSummary]],NETWORKDAYS.INTL(Tasks[[#This Row],[Start]],Tasks[[#This Row],[Finish]],WorkWeek,Holidays),N(Tasks[[#This Row],[_Days]])))</f>
        <v/>
      </c>
      <c r="HF193" s="43" t="n">
        <f aca="false">IF(Tasks[[#This Row],[Expected]]="",0,((Tasks[[#This Row],[Pessimistic]]-Tasks[[#This Row],[Optimistic]])/6)^2)</f>
        <v>0</v>
      </c>
      <c r="HG193" s="43" t="n">
        <f aca="false">IF(Tasks[[#This Row],[Expected]]="",0,Tasks[[#This Row],[Expected]]-N(Tasks[[#This Row],[_Days]]))</f>
        <v>0</v>
      </c>
    </row>
    <row r="194" customFormat="false" ht="15" hidden="false" customHeight="false" outlineLevel="0" collapsed="false">
      <c r="A194" s="21" t="str">
        <f aca="false">IF(Tasks[[#This Row],[Task Name]]="","",COUNTA(Tasks[[#Headers],[Task Name]]:Tasks[[#This Row],[Task Name]])-1)</f>
        <v/>
      </c>
      <c r="B194" s="22" t="n">
        <v>202</v>
      </c>
      <c r="C194" s="22"/>
      <c r="D194" s="23"/>
      <c r="E194" s="22"/>
      <c r="F194" s="23"/>
      <c r="G194" s="22"/>
      <c r="H194" s="22"/>
      <c r="I194" s="23"/>
      <c r="J194" s="22"/>
      <c r="K194" s="22"/>
      <c r="L194" s="23"/>
      <c r="M194" s="22"/>
      <c r="N194" s="22"/>
      <c r="O194" s="23"/>
      <c r="P194" s="22"/>
      <c r="Q194" s="22"/>
      <c r="R194" s="23"/>
      <c r="S194" s="23"/>
      <c r="T194" s="84"/>
      <c r="U194" s="23"/>
      <c r="V194" s="84"/>
      <c r="W194" s="23"/>
      <c r="X194" s="84"/>
      <c r="Y194" s="23"/>
      <c r="Z194" s="84"/>
      <c r="AA194" s="23"/>
      <c r="AB194" s="23"/>
      <c r="AC194" s="7"/>
      <c r="AD194" s="7"/>
      <c r="AE194" s="63" t="str">
        <f aca="false">IF(Tasks[[#This Row],[Task Name]]="","",IF(Tasks[[#This Row],[_IsSummary]],MIN(INDEX(Tasks[_ShownFcstStart],Tasks[[#This Row],[_Row]]+1):INDEX(Tasks[_ShownFcstStart],Tasks[[#This Row],[_Row]]+Tasks[[#This Row],[_Descendants]])),Tasks[[#This Row],[_ShownFcstStart]]))</f>
        <v/>
      </c>
      <c r="AF194" s="63" t="str">
        <f aca="false">IF(Tasks[[#This Row],[Task Name]]="","",IF(Tasks[[#This Row],[_IsSummary]],MAX(INDEX(Tasks[_ShownFcstFinish],Tasks[[#This Row],[_Row]]+1):INDEX(Tasks[_ShownFcstFinish],Tasks[[#This Row],[_Row]]+Tasks[[#This Row],[_Descendants]])),Tasks[[#This Row],[_ShownFcstFinish]]))</f>
        <v/>
      </c>
      <c r="AG194" s="21" t="str">
        <f aca="false">""</f>
        <v/>
      </c>
      <c r="AH194" s="23"/>
      <c r="AI1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4" s="7"/>
      <c r="AK194" s="22"/>
      <c r="AL194" s="23"/>
      <c r="AM194" s="7"/>
      <c r="AN194" s="47" t="str">
        <f aca="false">IF(Tasks[[#This Row],[Task Name]]="","",IF(Tasks[[#This Row],[Finish]]&gt;=Tasks[[#This Row],[Planned Finish]],NETWORKDAYS.INTL(Tasks[[#This Row],[Planned Finish]],Tasks[[#This Row],[Finish]],WorkWeek,Holidays)-1,1-NETWORKDAYS.INTL(Tasks[[#This Row],[Finish]],Tasks[[#This Row],[Planned Finish]],WorkWeek,Holidays)))</f>
        <v/>
      </c>
      <c r="AO194" s="21" t="str">
        <f aca="false">IF(Tasks[[#This Row],[Task Name]]="","",IF(Tasks[[#This Row],[Progress]]&gt;=1,"Complete",IF(OR(N(Tasks[[#This Row],[Actual Start]])&gt;0,Tasks[[#This Row],[Progress]]&gt;0),IF(Tasks[[#This Row],[Finish Var]]&gt;0,"Behind","In Progress"),IF(Tasks[[#This Row],[Planned Start]]&lt;StatusDate,"Late Start","Not Started"))))</f>
        <v/>
      </c>
      <c r="AP194" s="21" t="str">
        <f aca="false">IF(Tasks[[#This Row],[Task Name]]="","",IF(IF(Tasks[[#This Row],[_IsSummary]],COUNTIF(INDEX(Tasks[_LeafCritical],Tasks[[#This Row],[_Row]]+1):INDEX(Tasks[_LeafCritical],Tasks[[#This Row],[_Row]]+Tasks[[#This Row],[_Descendants]]),TRUE())&gt;0,Tasks[[#This Row],[_LeafCritical]]),"Yes",""))</f>
        <v/>
      </c>
      <c r="AQ194" s="63" t="str">
        <f aca="false">IF(Tasks[[#This Row],[Task Name]]="","",IF(N(Tasks[[#This Row],[Baseline Start]])&gt;0,Tasks[[#This Row],[Baseline Start]],Tasks[[#This Row],[_CalcStart]]))</f>
        <v/>
      </c>
      <c r="AR194" s="63" t="str">
        <f aca="false">IF(Tasks[[#This Row],[Task Name]]="","",IF(N(Tasks[[#This Row],[Baseline Finish]])&gt;0,Tasks[[#This Row],[Baseline Finish]],Tasks[[#This Row],[_CalcFinish]]))</f>
        <v/>
      </c>
      <c r="AS194" s="47" t="str">
        <f aca="false">IF(Tasks[[#This Row],[Task Name]]="","",IF(Tasks[[#This Row],[Start]]&gt;=Tasks[[#This Row],[Planned Start]],NETWORKDAYS.INTL(Tasks[[#This Row],[Planned Start]],Tasks[[#This Row],[Start]],WorkWeek,Holidays)-1,1-NETWORKDAYS.INTL(Tasks[[#This Row],[Start]],Tasks[[#This Row],[Planned Start]],WorkWeek,Holidays)))</f>
        <v/>
      </c>
      <c r="AT194" s="63" t="str">
        <f aca="false">IF(Tasks[[#This Row],[Task Name]]="","",IF(Tasks[[#This Row],[_IsSummary]],MIN(INDEX(Tasks[_LeafLateStart],Tasks[[#This Row],[_Row]]+1):INDEX(Tasks[_LeafLateStart],Tasks[[#This Row],[_Row]]+Tasks[[#This Row],[_Descendants]])),Tasks[[#This Row],[_LeafLateStart]]))</f>
        <v/>
      </c>
      <c r="AU194" s="63" t="str">
        <f aca="false">IF(Tasks[[#This Row],[Task Name]]="","",IF(Tasks[[#This Row],[_IsSummary]],MAX(INDEX(Tasks[_LeafLateFinish],Tasks[[#This Row],[_Row]]+1):INDEX(Tasks[_LeafLateFinish],Tasks[[#This Row],[_Row]]+Tasks[[#This Row],[_Descendants]])),Tasks[[#This Row],[_LeafLateFinish]]))</f>
        <v/>
      </c>
      <c r="AV194" s="47" t="str">
        <f aca="false">IF(Tasks[[#This Row],[Task Name]]="","",IF(Tasks[[#This Row],[_IsSummary]],MIN(INDEX(Tasks[_LeafTotalSlack],Tasks[[#This Row],[_Row]]+1):INDEX(Tasks[_LeafTotalSlack],Tasks[[#This Row],[_Row]]+Tasks[[#This Row],[_Descendants]])),Tasks[[#This Row],[_LeafTotalSlack]]))</f>
        <v/>
      </c>
      <c r="AW1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5"/>
      <c r="BA19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1" t="str">
        <f aca="false">IF(Tasks[[#This Row],[Task Name]]="","",IF(Tasks[[#This Row],[_Level]]&lt;=OutlineShowLevel,"Yes","No"))</f>
        <v/>
      </c>
      <c r="BE194" s="86" t="str">
        <f aca="false">IF(Tasks[[#This Row],[Task Name]]="","",IF(Tasks[[#This Row],[_IsSummary]],SUM(INDEX(Tasks[_LeafTotalWork],Tasks[[#This Row],[_Row]]+1):INDEX(Tasks[_LeafTotalWork],Tasks[[#This Row],[_Row]]+Tasks[[#This Row],[_Descendants]])),Tasks[[#This Row],[_LeafTotalWork]]))</f>
        <v/>
      </c>
      <c r="BF194" s="23"/>
      <c r="BG1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4" s="21" t="str">
        <f aca="false">""</f>
        <v/>
      </c>
      <c r="BI194" s="87"/>
      <c r="BJ194" s="22"/>
      <c r="BK194" s="47" t="str">
        <f aca="false">IF(OR(Tasks[[#This Row],[Task Name]]="",Tasks[[#This Row],[Baseline Duration]]=""),"",Tasks[[#This Row],[_SpanDays]]-N(Tasks[[#This Row],[Baseline Duration]]))</f>
        <v/>
      </c>
      <c r="BL194" s="86" t="str">
        <f aca="false">IF(OR(Tasks[[#This Row],[Task Name]]="",Tasks[[#This Row],[Baseline Work]]=""),"",Tasks[[#This Row],[Work]]-N(Tasks[[#This Row],[Baseline Work]]))</f>
        <v/>
      </c>
      <c r="BM194" s="63" t="str">
        <f aca="false">IF(Tasks[[#This Row],[Task Name]]="","",IF(OR(TakeBaseline="Yes",N(Tasks[[#This Row],[Baseline Start]])=0),Tasks[[#This Row],[Start]],Tasks[[#This Row],[Baseline Start]]))</f>
        <v/>
      </c>
      <c r="BN194" s="63" t="str">
        <f aca="false">IF(Tasks[[#This Row],[Task Name]]="","",IF(OR(TakeBaseline="Yes",N(Tasks[[#This Row],[Baseline Finish]])=0),Tasks[[#This Row],[Finish]],Tasks[[#This Row],[Baseline Finish]]))</f>
        <v/>
      </c>
      <c r="BO194" s="21" t="str">
        <f aca="false">IF(Tasks[[#This Row],[Task Name]]="","",IF(OR(TakeBaseline="Yes",N(Tasks[[#This Row],[Baseline Duration]])=0),Tasks[[#This Row],[_SpanDays]],Tasks[[#This Row],[Baseline Duration]]))</f>
        <v/>
      </c>
      <c r="BP194" s="86" t="str">
        <f aca="false">IF(Tasks[[#This Row],[Task Name]]="","",IF(OR(TakeBaseline="Yes",N(Tasks[[#This Row],[Baseline Work]])=0),Tasks[[#This Row],[Work]],Tasks[[#This Row],[Baseline Work]]))</f>
        <v/>
      </c>
      <c r="BQ194" s="7"/>
      <c r="BR194" s="7"/>
      <c r="BS194" s="22"/>
      <c r="BT194" s="88"/>
      <c r="BU194" s="23"/>
      <c r="BV194" s="23"/>
      <c r="BW194" s="23"/>
      <c r="BX194" s="89" t="str">
        <f aca="false">IF(AND(Tasks[[#This Row],[_IsLeaf]]=1,ISNUMBER(Tasks[[#This Row],[Optimistic]]),ISNUMBER(Tasks[[#This Row],[Pessimistic]])),ROUND((Tasks[[#This Row],[Optimistic]]+4*N(Tasks[[#This Row],[_Days]])+Tasks[[#This Row],[Pessimistic]])/6,1),"")</f>
        <v/>
      </c>
      <c r="BY194" s="87"/>
      <c r="BZ194" s="87"/>
      <c r="CA194" s="22"/>
      <c r="CB194" s="43" t="str">
        <f aca="false">IF(Tasks[[#This Row],[Task Name]]="","",MAX(1,N(Tasks[[#This Row],[Level]])))</f>
        <v/>
      </c>
      <c r="CC194" s="43" t="n">
        <f aca="false">ROW()-ROW(Tasks[[#Headers],[ID]])</f>
        <v>189</v>
      </c>
      <c r="CD194" s="43" t="n">
        <f aca="false">IF(OR(Tasks[[#This Row],[Task Name]]="",Tasks[[#This Row],[_Level]]&lt;=1),0,IFERROR(LOOKUP(2,1/(Tasks[[#Headers],[_Level]]:Tasks[[#This Row],[_Level]]=Tasks[[#This Row],[_Level]]-1),ROW(Tasks[[#Headers],[_Level]]:Tasks[[#This Row],[_Level]])),0))</f>
        <v>0</v>
      </c>
      <c r="CE194" s="43" t="n">
        <f aca="false">IFERROR(N(INDEX(Tasks[_Level],Tasks[[#This Row],[_Row]]+1)),0)</f>
        <v>0</v>
      </c>
      <c r="CF194" s="90" t="b">
        <f aca="false">AND(Tasks[[#This Row],[Task Name]]&lt;&gt;"",Tasks[[#This Row],[_NextLevel]]&gt;Tasks[[#This Row],[_Level]])</f>
        <v>0</v>
      </c>
      <c r="CG194" s="43" t="n">
        <f aca="false">IF(Tasks[[#This Row],[_IsSummary]],COUNTIF(Tasks[WBS],Tasks[[#This Row],[WBS]]&amp;".*"),0)</f>
        <v>0</v>
      </c>
      <c r="CH194" s="43" t="n">
        <f aca="false">IF(AND(Tasks[[#This Row],[Task Name]]&lt;&gt;"",NOT(Tasks[[#This Row],[_IsSummary]])),1,0)</f>
        <v>0</v>
      </c>
      <c r="CI194" s="43" t="n">
        <f aca="false">IF(N(Tasks[[#This Row],[_Pred1UID]])=0,0,IFERROR(MATCH(Tasks[[#This Row],[_Pred1UID]],Tasks[UID],0),-1))</f>
        <v>0</v>
      </c>
      <c r="CJ194" s="43" t="n">
        <f aca="false">IF(N(Tasks[[#This Row],[_Pred2UID]])=0,0,IFERROR(MATCH(Tasks[[#This Row],[_Pred2UID]],Tasks[UID],0),-1))</f>
        <v>0</v>
      </c>
      <c r="CK194" s="43" t="n">
        <f aca="false">IF(N(Tasks[[#This Row],[_Pred3UID]])=0,0,IFERROR(MATCH(Tasks[[#This Row],[_Pred3UID]],Tasks[UID],0),-1))</f>
        <v>0</v>
      </c>
      <c r="CL194" s="43" t="n">
        <f aca="false">IF(N(Tasks[[#This Row],[_Pred4UID]])=0,0,IFERROR(MATCH(Tasks[[#This Row],[_Pred4UID]],Tasks[UID],0),-1))</f>
        <v>0</v>
      </c>
      <c r="CM19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4" s="91" t="n">
        <f aca="false">IF(OR(Tasks[[#This Row],[_ConstraintCode]]=2,Tasks[[#This Row],[_ConstraintCode]]=3,Tasks[[#This Row],[_ConstraintCode]]=4,Tasks[[#This Row],[_ConstraintCode]]=6),Tasks[[#This Row],[_ConstraintStart]],0)</f>
        <v>0</v>
      </c>
      <c r="CP194" s="91" t="n">
        <f aca="false">IF(OR(Tasks[[#This Row],[_ConstraintCode]]=2,Tasks[[#This Row],[_ConstraintCode]]=3,Tasks[[#This Row],[_ConstraintCode]]=5,Tasks[[#This Row],[_ConstraintCode]]=7),Tasks[[#This Row],[_ConstraintStart]],2958465)</f>
        <v>2958465</v>
      </c>
      <c r="CQ19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4" s="91" t="str">
        <f aca="false">IF(NOT(Tasks[[#This Row],[_IsLeaf]]=1),"",IF(N(Tasks[[#This Row],[_Days]])&lt;=0,Tasks[[#This Row],[_LeafCalcStart]],WORKDAY.INTL(Tasks[[#This Row],[_LeafCalcStart]],Tasks[[#This Row],[_Days]]-1,WorkWeek,Holidays)))</f>
        <v/>
      </c>
      <c r="CS19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4" s="43" t="str">
        <f aca="false">IF(Tasks[[#This Row],[_Predecessors]]="","",TRIM(MID(SUBSTITUTE(SUBSTITUTE(SUBSTITUTE(UPPER(Tasks[[#This Row],[_Predecessors]]),";",",")," ",""),",",REPT(" ",99)),1,99)))</f>
        <v/>
      </c>
      <c r="CV194" s="43" t="str">
        <f aca="false">IF(Tasks[[#This Row],[_Pred1Text]]="","",IFERROR(VALUE(LEFT(Tasks[[#This Row],[_Pred1Text]],MIN(FIND("F",Tasks[[#This Row],[_Pred1Text]]&amp;"F"),FIND("S",Tasks[[#This Row],[_Pred1Text]]&amp;"S"),FIND("+",Tasks[[#This Row],[_Pred1Text]]&amp;"+"),FIND("-",Tasks[[#This Row],[_Pred1Text]]&amp;"-"))-1)),""))</f>
        <v/>
      </c>
      <c r="CW19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4" s="43" t="str">
        <f aca="false">IF(Tasks[[#This Row],[_Pred1Text]]="","",TRIM(MID(SUBSTITUTE(SUBSTITUTE(SUBSTITUTE(UPPER(Tasks[[#This Row],[_Predecessors]]),";",",")," ",""),",",REPT(" ",99)),100,99)))</f>
        <v/>
      </c>
      <c r="CZ194" s="43" t="str">
        <f aca="false">IF(Tasks[[#This Row],[_Pred2Text]]="","",IFERROR(VALUE(LEFT(Tasks[[#This Row],[_Pred2Text]],MIN(FIND("F",Tasks[[#This Row],[_Pred2Text]]&amp;"F"),FIND("S",Tasks[[#This Row],[_Pred2Text]]&amp;"S"),FIND("+",Tasks[[#This Row],[_Pred2Text]]&amp;"+"),FIND("-",Tasks[[#This Row],[_Pred2Text]]&amp;"-"))-1)),""))</f>
        <v/>
      </c>
      <c r="DA19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4" s="43" t="str">
        <f aca="false">IF(Tasks[[#This Row],[_Pred2Text]]="","",TRIM(MID(SUBSTITUTE(SUBSTITUTE(SUBSTITUTE(UPPER(Tasks[[#This Row],[_Predecessors]]),";",",")," ",""),",",REPT(" ",99)),199,99)))</f>
        <v/>
      </c>
      <c r="DD194" s="43" t="str">
        <f aca="false">IF(Tasks[[#This Row],[_Pred3Text]]="","",IFERROR(VALUE(LEFT(Tasks[[#This Row],[_Pred3Text]],MIN(FIND("F",Tasks[[#This Row],[_Pred3Text]]&amp;"F"),FIND("S",Tasks[[#This Row],[_Pred3Text]]&amp;"S"),FIND("+",Tasks[[#This Row],[_Pred3Text]]&amp;"+"),FIND("-",Tasks[[#This Row],[_Pred3Text]]&amp;"-"))-1)),""))</f>
        <v/>
      </c>
      <c r="DE19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4" s="43" t="str">
        <f aca="false">IF(Tasks[[#This Row],[_Pred3Text]]="","",TRIM(MID(SUBSTITUTE(SUBSTITUTE(SUBSTITUTE(UPPER(Tasks[[#This Row],[_Predecessors]]),";",",")," ",""),",",REPT(" ",99)),298,99)))</f>
        <v/>
      </c>
      <c r="DH194" s="43" t="str">
        <f aca="false">IF(Tasks[[#This Row],[_Pred4Text]]="","",IFERROR(VALUE(LEFT(Tasks[[#This Row],[_Pred4Text]],MIN(FIND("F",Tasks[[#This Row],[_Pred4Text]]&amp;"F"),FIND("S",Tasks[[#This Row],[_Pred4Text]]&amp;"S"),FIND("+",Tasks[[#This Row],[_Pred4Text]]&amp;"+"),FIND("-",Tasks[[#This Row],[_Pred4Text]]&amp;"-"))-1)),""))</f>
        <v/>
      </c>
      <c r="DI19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4" s="43" t="str">
        <f aca="false">IF(OR(Tasks[[#This Row],[Task Name]]="",Tasks[[#This Row],[_Resources]]=""),"",TRIM(MID(SUBSTITUTE(Tasks[[#This Row],[_Resources]],",",REPT(" ",99)),1,99)))</f>
        <v/>
      </c>
      <c r="DL194" s="43" t="str">
        <f aca="false">IF(Tasks[[#This Row],[_Res1Text]]="","",TRIM(MID(SUBSTITUTE(Tasks[[#This Row],[_Resources]],",",REPT(" ",99)),100,99)))</f>
        <v/>
      </c>
      <c r="DM194" s="43" t="str">
        <f aca="false">IF(Tasks[[#This Row],[_Res2Text]]="","",TRIM(MID(SUBSTITUTE(Tasks[[#This Row],[_Resources]],",",REPT(" ",99)),199,99)))</f>
        <v/>
      </c>
      <c r="DN194" s="43" t="str">
        <f aca="false">IF(Tasks[[#This Row],[_Res3Text]]="","",TRIM(MID(SUBSTITUTE(Tasks[[#This Row],[_Resources]],",",REPT(" ",99)),298,99)))</f>
        <v/>
      </c>
      <c r="DO194" s="43" t="n">
        <f aca="false">IF(Tasks[[#This Row],[_Res1Text]]="",0,IFERROR(MATCH(TRIM(LEFT(Tasks[[#This Row],[_Res1Text]],FIND("[",Tasks[[#This Row],[_Res1Text]]&amp;"[")-1)),res_Name,0),IFERROR(MATCH(TRIM(LEFT(Tasks[[#This Row],[_Res1Text]],FIND("[",Tasks[[#This Row],[_Res1Text]]&amp;"[")-1)),res_Initials,0),0)))</f>
        <v>0</v>
      </c>
      <c r="DP194" s="43" t="n">
        <f aca="false">IF(Tasks[[#This Row],[_Res2Text]]="",0,IFERROR(MATCH(TRIM(LEFT(Tasks[[#This Row],[_Res2Text]],FIND("[",Tasks[[#This Row],[_Res2Text]]&amp;"[")-1)),res_Name,0),IFERROR(MATCH(TRIM(LEFT(Tasks[[#This Row],[_Res2Text]],FIND("[",Tasks[[#This Row],[_Res2Text]]&amp;"[")-1)),res_Initials,0),0)))</f>
        <v>0</v>
      </c>
      <c r="DQ194" s="43" t="n">
        <f aca="false">IF(Tasks[[#This Row],[_Res3Text]]="",0,IFERROR(MATCH(TRIM(LEFT(Tasks[[#This Row],[_Res3Text]],FIND("[",Tasks[[#This Row],[_Res3Text]]&amp;"[")-1)),res_Name,0),IFERROR(MATCH(TRIM(LEFT(Tasks[[#This Row],[_Res3Text]],FIND("[",Tasks[[#This Row],[_Res3Text]]&amp;"[")-1)),res_Initials,0),0)))</f>
        <v>0</v>
      </c>
      <c r="DR194" s="43" t="n">
        <f aca="false">IF(Tasks[[#This Row],[_Res4Text]]="",0,IFERROR(MATCH(TRIM(LEFT(Tasks[[#This Row],[_Res4Text]],FIND("[",Tasks[[#This Row],[_Res4Text]]&amp;"[")-1)),res_Name,0),IFERROR(MATCH(TRIM(LEFT(Tasks[[#This Row],[_Res4Text]],FIND("[",Tasks[[#This Row],[_Res4Text]]&amp;"[")-1)),res_Initials,0),0)))</f>
        <v>0</v>
      </c>
      <c r="DS194" s="43" t="str">
        <f aca="false">IF(Tasks[[#This Row],[_Res1Text]]="","",IF(Tasks[[#This Row],[_Res1Row]]&gt;0,INDEX(res_Name,Tasks[[#This Row],[_Res1Row]]),TRIM(LEFT(Tasks[[#This Row],[_Res1Text]],FIND("[",Tasks[[#This Row],[_Res1Text]]&amp;"[")-1))))</f>
        <v/>
      </c>
      <c r="DT19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4" s="43" t="n">
        <f aca="false">IF(NOT(Tasks[[#This Row],[_IsLeaf]]=1),0,(Tasks[[#This Row],[_Resource1]]&lt;&gt;"")+(Tasks[[#This Row],[_Res2]]&lt;&gt;"")+(Tasks[[#This Row],[_Res3]]&lt;&gt;"")+(Tasks[[#This Row],[_Res4]]&lt;&gt;""))</f>
        <v>0</v>
      </c>
      <c r="DV194" s="43" t="str">
        <f aca="false">IF(Tasks[[#This Row],[_Res2Text]]="","",IF(Tasks[[#This Row],[_Res2Row]]&gt;0,INDEX(res_Name,Tasks[[#This Row],[_Res2Row]]),TRIM(LEFT(Tasks[[#This Row],[_Res2Text]],FIND("[",Tasks[[#This Row],[_Res2Text]]&amp;"[")-1))))</f>
        <v/>
      </c>
      <c r="DW19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4" s="43" t="n">
        <f aca="false">IF(OR(NOT(Tasks[[#This Row],[_IsLeaf]]=1),Tasks[[#This Row],[_Res2Row]]=0),0,N(Tasks[[#This Row],[_Days]])*HoursPerDay*IF(Tasks[[#This Row],[_Res2Units]]="",DefaultUnits,Tasks[[#This Row],[_Res2Units]]))</f>
        <v>0</v>
      </c>
      <c r="DY194" s="43" t="n">
        <f aca="false">IF(AND(AND(Tasks[[#This Row],[_IsLeaf]]=1,Tasks[[#This Row],[_LeafTotalWork]]&gt;0),Tasks[[#This Row],[_Res2Work]]&gt;0),Tasks[[#This Row],[_Res2Work]]/(Tasks[[#This Row],[_FinishWorkday]]-Tasks[[#This Row],[_StartWorkday]]+1),0)</f>
        <v>0</v>
      </c>
      <c r="DZ194" s="43" t="n">
        <f aca="false">Tasks[[#This Row],[_Res2WorkPerWD]]*MAX(0,Tasks[[#This Row],[_StartWorkday]]-1)</f>
        <v>0</v>
      </c>
      <c r="EA194" s="43" t="n">
        <f aca="false">Tasks[[#This Row],[_Res2Work]]*Tasks[[#This Row],[_LeafProgress]]</f>
        <v>0</v>
      </c>
      <c r="EB194" s="43" t="str">
        <f aca="false">IF(Tasks[[#This Row],[_Res3Text]]="","",IF(Tasks[[#This Row],[_Res3Row]]&gt;0,INDEX(res_Name,Tasks[[#This Row],[_Res3Row]]),TRIM(LEFT(Tasks[[#This Row],[_Res3Text]],FIND("[",Tasks[[#This Row],[_Res3Text]]&amp;"[")-1))))</f>
        <v/>
      </c>
      <c r="EC19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4" s="43" t="n">
        <f aca="false">IF(OR(NOT(Tasks[[#This Row],[_IsLeaf]]=1),Tasks[[#This Row],[_Res3Row]]=0),0,N(Tasks[[#This Row],[_Days]])*HoursPerDay*IF(Tasks[[#This Row],[_Res3Units]]="",DefaultUnits,Tasks[[#This Row],[_Res3Units]]))</f>
        <v>0</v>
      </c>
      <c r="EE194" s="43" t="n">
        <f aca="false">IF(AND(AND(Tasks[[#This Row],[_IsLeaf]]=1,Tasks[[#This Row],[_LeafTotalWork]]&gt;0),Tasks[[#This Row],[_Res3Work]]&gt;0),Tasks[[#This Row],[_Res3Work]]/(Tasks[[#This Row],[_FinishWorkday]]-Tasks[[#This Row],[_StartWorkday]]+1),0)</f>
        <v>0</v>
      </c>
      <c r="EF194" s="43" t="n">
        <f aca="false">Tasks[[#This Row],[_Res3WorkPerWD]]*MAX(0,Tasks[[#This Row],[_StartWorkday]]-1)</f>
        <v>0</v>
      </c>
      <c r="EG194" s="43" t="n">
        <f aca="false">Tasks[[#This Row],[_Res3Work]]*Tasks[[#This Row],[_LeafProgress]]</f>
        <v>0</v>
      </c>
      <c r="EH194" s="43" t="str">
        <f aca="false">IF(Tasks[[#This Row],[_Res4Text]]="","",IF(Tasks[[#This Row],[_Res4Row]]&gt;0,INDEX(res_Name,Tasks[[#This Row],[_Res4Row]]),TRIM(LEFT(Tasks[[#This Row],[_Res4Text]],FIND("[",Tasks[[#This Row],[_Res4Text]]&amp;"[")-1))))</f>
        <v/>
      </c>
      <c r="EI19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4" s="43" t="n">
        <f aca="false">IF(OR(NOT(Tasks[[#This Row],[_IsLeaf]]=1),Tasks[[#This Row],[_Res4Row]]=0),0,N(Tasks[[#This Row],[_Days]])*HoursPerDay*IF(Tasks[[#This Row],[_Res4Units]]="",DefaultUnits,Tasks[[#This Row],[_Res4Units]]))</f>
        <v>0</v>
      </c>
      <c r="EK194" s="43" t="n">
        <f aca="false">IF(AND(AND(Tasks[[#This Row],[_IsLeaf]]=1,Tasks[[#This Row],[_LeafTotalWork]]&gt;0),Tasks[[#This Row],[_Res4Work]]&gt;0),Tasks[[#This Row],[_Res4Work]]/(Tasks[[#This Row],[_FinishWorkday]]-Tasks[[#This Row],[_StartWorkday]]+1),0)</f>
        <v>0</v>
      </c>
      <c r="EL194" s="43" t="n">
        <f aca="false">Tasks[[#This Row],[_Res4WorkPerWD]]*MAX(0,Tasks[[#This Row],[_StartWorkday]]-1)</f>
        <v>0</v>
      </c>
      <c r="EM194" s="43" t="n">
        <f aca="false">Tasks[[#This Row],[_Res4Work]]*Tasks[[#This Row],[_LeafProgress]]</f>
        <v>0</v>
      </c>
      <c r="EN194" s="43" t="n">
        <f aca="false">IF(ISNUMBER(Tasks[[#This Row],[% Complete]]),Tasks[[#This Row],[% Complete]],IF(Tasks[[#This Row],[Stage]]="",0,IFERROR(INDEX(stg_Pct,MATCH(Tasks[[#This Row],[Stage]],stg_Name,0)),0)))</f>
        <v>0</v>
      </c>
      <c r="EO194" s="43" t="n">
        <f aca="false">IF(NOT(Tasks[[#This Row],[_IsLeaf]]=1),0,IF(N(Tasks[[#This Row],[Actual Finish]])&gt;0,1,MIN(1,Tasks[[#This Row],[_Pct]])))</f>
        <v>0</v>
      </c>
      <c r="EP194" s="43" t="n">
        <f aca="false">IF(OR(NOT(Tasks[[#This Row],[_IsLeaf]]=1),Tasks[[#This Row],[_Res1Row]]=0),0,N(Tasks[[#This Row],[_Days]])*HoursPerDay*IF(Tasks[[#This Row],[_Units1]]="",DefaultUnits,Tasks[[#This Row],[_Units1]]))</f>
        <v>0</v>
      </c>
      <c r="EQ194" s="43" t="n">
        <f aca="false">Tasks[[#This Row],[_LeafWork]]+Tasks[[#This Row],[_Res2Work]]+Tasks[[#This Row],[_Res3Work]]+Tasks[[#This Row],[_Res4Work]]</f>
        <v>0</v>
      </c>
      <c r="ER19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4" s="43" t="n">
        <f aca="false">IF(NOT(Tasks[[#This Row],[_IsLeaf]]=1),0,MAX(_xlfn.MAXIFS(Tasks[_Row],Tasks[_Pred1UID],Tasks[[#This Row],[UID]]),_xlfn.MAXIFS(Tasks[_Row],Tasks[_Pred2UID],Tasks[[#This Row],[UID]]),_xlfn.MAXIFS(Tasks[_Row],Tasks[_Pred3UID],Tasks[[#This Row],[UID]]),_xlfn.MAXIFS(Tasks[_Row],Tasks[_Pred4UID],Tasks[[#This Row],[UID]])))</f>
        <v>0</v>
      </c>
      <c r="FA19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4" s="91" t="str">
        <f aca="false">IF(NOT(Tasks[[#This Row],[_IsLeaf]]=1),"",IF(N(Tasks[[#This Row],[_Days]])&lt;=0,Tasks[[#This Row],[_LeafLateFinish]],WORKDAY.INTL(Tasks[[#This Row],[_LeafLateFinish]],-(Tasks[[#This Row],[_Days]]-1),WorkWeek,Holidays)))</f>
        <v/>
      </c>
      <c r="FD19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4" s="90" t="b">
        <f aca="false">AND(Tasks[[#This Row],[_IsLeaf]]=1,Tasks[[#This Row],[_LeafProgress]]&lt;1,N(Tasks[[#This Row],[_LeafTotalSlack]])&lt;=CriticalSlackDays)</f>
        <v>0</v>
      </c>
      <c r="FF194" s="43" t="n">
        <f aca="false">IF(AND(Tasks[[#This Row],[_IsLeaf]]=1,Tasks[[#This Row],[_ConstraintCode]]=1,Tasks[[#This Row],[Mode]]&lt;&gt;"Manual",N(Tasks[[#This Row],[Actual Start]])=0),MAX(0,N(Tasks[[#This Row],[Free Slack]])),0)</f>
        <v>0</v>
      </c>
      <c r="FG194" s="91" t="str">
        <f aca="false">IF(NOT(Tasks[[#This Row],[_IsLeaf]]=1),"",IF(Tasks[[#This Row],[_AlapShift]]=0,Tasks[[#This Row],[_LeafCalcStart]],WORKDAY.INTL(Tasks[[#This Row],[_LeafCalcStart]],Tasks[[#This Row],[_AlapShift]],WorkWeek,Holidays)))</f>
        <v/>
      </c>
      <c r="FH194" s="91" t="str">
        <f aca="false">IF(NOT(Tasks[[#This Row],[_IsLeaf]]=1),"",IF(Tasks[[#This Row],[_AlapShift]]=0,Tasks[[#This Row],[_LeafCalcFinish]],WORKDAY.INTL(Tasks[[#This Row],[_LeafCalcFinish]],Tasks[[#This Row],[_AlapShift]],WorkWeek,Holidays)))</f>
        <v/>
      </c>
      <c r="FI194" s="91" t="str">
        <f aca="false">IF(NOT(Tasks[[#This Row],[_IsLeaf]]=1),"",IF(Tasks[[#This Row],[_AlapShift]]=0,Tasks[[#This Row],[_LeafFcstStart]],WORKDAY.INTL(Tasks[[#This Row],[_LeafFcstStart]],Tasks[[#This Row],[_AlapShift]],WorkWeek,Holidays)))</f>
        <v/>
      </c>
      <c r="FJ194" s="91" t="str">
        <f aca="false">IF(NOT(Tasks[[#This Row],[_IsLeaf]]=1),"",IF(Tasks[[#This Row],[_AlapShift]]=0,Tasks[[#This Row],[_LeafFcstFinish]],WORKDAY.INTL(Tasks[[#This Row],[_LeafFcstFinish]],Tasks[[#This Row],[_AlapShift]],WorkWeek,Holidays)))</f>
        <v/>
      </c>
      <c r="FK194" s="91" t="str">
        <f aca="false">IF(Tasks[[#This Row],[Task Name]]="","",IF(Tasks[[#This Row],[_IsSummary]],MIN(INDEX(Tasks[_ShownCalcStart],Tasks[[#This Row],[_Row]]+1):INDEX(Tasks[_ShownCalcStart],Tasks[[#This Row],[_Row]]+Tasks[[#This Row],[_Descendants]])),Tasks[[#This Row],[_ShownCalcStart]]))</f>
        <v/>
      </c>
      <c r="FL194" s="91" t="str">
        <f aca="false">IF(Tasks[[#This Row],[Task Name]]="","",IF(Tasks[[#This Row],[_IsSummary]],MAX(INDEX(Tasks[_ShownCalcFinish],Tasks[[#This Row],[_Row]]+1):INDEX(Tasks[_ShownCalcFinish],Tasks[[#This Row],[_Row]]+Tasks[[#This Row],[_Descendants]])),Tasks[[#This Row],[_ShownCalcFinish]]))</f>
        <v/>
      </c>
      <c r="FM19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4" s="43" t="n">
        <f aca="false">IF(AND(Tasks[[#This Row],[_IsLeaf]]=1,Tasks[[#This Row],[_LeafTotalWork]]&gt;0),NETWORKDAYS.INTL(ProjectStart,Tasks[[#This Row],[_ShownFcstStart]],WorkWeek,Holidays),0)</f>
        <v>0</v>
      </c>
      <c r="FZ194" s="43" t="n">
        <f aca="false">IF(AND(Tasks[[#This Row],[_IsLeaf]]=1,Tasks[[#This Row],[_LeafTotalWork]]&gt;0),MAX(Tasks[[#This Row],[_StartWorkday]],NETWORKDAYS.INTL(ProjectStart,Tasks[[#This Row],[_ShownFcstFinish]],WorkWeek,Holidays)),0)</f>
        <v>0</v>
      </c>
      <c r="GA194" s="43" t="n">
        <f aca="false">IF(AND(Tasks[[#This Row],[_IsLeaf]]=1,Tasks[[#This Row],[_LeafTotalWork]]&gt;0),Tasks[[#This Row],[_LeafWork]]/(Tasks[[#This Row],[_FinishWorkday]]-Tasks[[#This Row],[_StartWorkday]]+1),0)</f>
        <v>0</v>
      </c>
      <c r="GB194" s="43" t="n">
        <f aca="false">Tasks[[#This Row],[_WorkPerWorkday]]*(Tasks[[#This Row],[_StartWorkday]]-1)</f>
        <v>-0</v>
      </c>
      <c r="GC194" s="43" t="n">
        <f aca="false">IF(Tasks[[#This Row],[_IsLeaf]]=1,MAX(N(Tasks[[#This Row],[_Days]]),0.1),0)</f>
        <v>0</v>
      </c>
      <c r="GD194" s="43" t="n">
        <f aca="false">Tasks[[#This Row],[_WeightDur]]*Tasks[[#This Row],[_LeafProgress]]</f>
        <v>0</v>
      </c>
      <c r="GE194" s="43" t="n">
        <f aca="false">Tasks[[#This Row],[_WeightDur]]*Tasks[[#This Row],[_PlannedPct]]</f>
        <v>0</v>
      </c>
      <c r="GF19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4" s="43" t="str">
        <f aca="false">IF(AND(Tasks[[#This Row],[_IsLeaf]]=1,N(Tasks[[#This Row],[_Days]])=0,Tasks[[#This Row],[_LeafProgress]]&lt;1),Tasks[[#This Row],[_ShownFcstFinish]]+Tasks[[#This Row],[_Row]]/100000,"")</f>
        <v/>
      </c>
      <c r="GH19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4" s="43" t="str">
        <f aca="false">IF(Tasks[[#This Row],[Task Name]]="","",LEFT(Tasks[[#This Row],[WBS]],FIND(".",Tasks[[#This Row],[WBS]]&amp;".")-1))</f>
        <v/>
      </c>
      <c r="GJ194" s="43" t="str">
        <f aca="false">IF(AND(Tasks[[#This Row],[Task Name]]&lt;&gt;"",Tasks[[#This Row],[_Level]]=1),Tasks[[#This Row],[_Row]],"")</f>
        <v/>
      </c>
      <c r="GK194" s="43" t="str">
        <f aca="false">IF(AND(Tasks[[#This Row],[_IsLeaf]]=1,N(Tasks[[#This Row],[_Days]])=0),Tasks[[#This Row],[Planned Finish]]+Tasks[[#This Row],[_Row]]/100000,"")</f>
        <v/>
      </c>
      <c r="GL194" s="43" t="str">
        <f aca="false">IF(AND(Tasks[[#This Row],[_IsLeaf]]=1,Tasks[[#This Row],[_LeafProgress]]&lt;1,OR(N(Tasks[[#This Row],[Finish Var]])&gt;0,Tasks[[#This Row],[Status]]="Late Start")),MAX(0,Tasks[[#This Row],[Finish Var]])+1-Tasks[[#This Row],[_Row]]/1000000,"")</f>
        <v/>
      </c>
      <c r="GM194" s="43" t="str">
        <f aca="false">IF(AND(Tasks[[#This Row],[_IsLeaf]]=1,N(Tasks[[#This Row],[Actual Start]])=0,Tasks[[#This Row],[_ShownFcstStart]]&gt;=StatusDate,Tasks[[#This Row],[_ShownFcstStart]]&lt;=LookaheadEnd),Tasks[[#This Row],[_ShownFcstStart]]+Tasks[[#This Row],[_Row]]/100000,"")</f>
        <v/>
      </c>
      <c r="GN194" s="43" t="str">
        <f aca="false">IF(AND(Tasks[[#This Row],[_IsLeaf]]=1,Tasks[[#This Row],[_LeafProgress]]&lt;1,Tasks[[#This Row],[_ShownFcstFinish]]&gt;=StatusDate,Tasks[[#This Row],[_ShownFcstFinish]]&lt;=LookaheadEnd),Tasks[[#This Row],[_ShownFcstFinish]]+Tasks[[#This Row],[_Row]]/100000,"")</f>
        <v/>
      </c>
      <c r="GO194" s="43" t="str">
        <f aca="false">IF(Tasks[[#This Row],[_LeafCritical]],Tasks[[#This Row],[_ShownFcstStart]]+Tasks[[#This Row],[_Row]]/100000,"")</f>
        <v/>
      </c>
      <c r="GP194" s="43" t="n">
        <f aca="false">Tasks[[#This Row],[_LeafWork]]*Tasks[[#This Row],[_LeafProgress]]</f>
        <v>0</v>
      </c>
      <c r="GQ194" s="91" t="str">
        <f aca="false">IF(AND(Tasks[[#This Row],[_IsLeaf]]=1,Tasks[[#This Row],[_LeafProgress]]&gt;=1),IF(N(Tasks[[#This Row],[Actual Finish]])&gt;0,Tasks[[#This Row],[Actual Finish]],Tasks[[#This Row],[_ShownFcstFinish]]),"")</f>
        <v/>
      </c>
      <c r="GR194" s="43" t="n">
        <f aca="false">IF(Tasks[[#This Row],[_IsLeaf]]=1,N(Tasks[[#This Row],[Story Points]]),0)</f>
        <v>0</v>
      </c>
      <c r="GS194" s="43" t="str">
        <f aca="false">""</f>
        <v/>
      </c>
      <c r="GT194" s="90" t="b">
        <f aca="false">IF(Tasks[[#This Row],[Task Name]]="",FALSE(),AND(Tasks[[#This Row],[_IsLeaf]]=1,N(Tasks[[#This Row],[_Days]])=0))</f>
        <v>0</v>
      </c>
      <c r="GU194" s="91" t="n">
        <f aca="false">IF(Tasks[[#This Row],[Task Name]]="",0,IF(AND(Tasks[[#This Row],[_IsLeaf]]=1,NOT(Tasks[[#This Row],[_IsMilestone]]),N(Tasks[[#This Row],[Progress]])&gt;0),Tasks[[#This Row],[Start]],0))</f>
        <v>0</v>
      </c>
      <c r="GV194" s="91" t="n">
        <f aca="false">IF(Tasks[[#This Row],[_DoneFrom]]=0,0,IF(Tasks[[#This Row],[Progress]]&gt;=1,Tasks[[#This Row],[Finish]],MAX(Tasks[[#This Row],[_DoneFrom]],Tasks[[#This Row],[Start]]+ROUND((Tasks[[#This Row],[Finish]]-Tasks[[#This Row],[Start]]+1)*Tasks[[#This Row],[Progress]],0)-1)))</f>
        <v>0</v>
      </c>
      <c r="GW194" s="91" t="n">
        <f aca="false">IF(Tasks[[#This Row],[Task Name]]="",0,IF(OR(NOT(Tasks[[#This Row],[_IsLeaf]]=1),Tasks[[#This Row],[_IsMilestone]],N(Tasks[[#This Row],[Progress]])&gt;=1),0,IF(Tasks[[#This Row],[_DoneTo]]&gt;0,Tasks[[#This Row],[_DoneTo]]+1,Tasks[[#This Row],[Start]])))</f>
        <v>0</v>
      </c>
      <c r="GX194" s="91" t="n">
        <f aca="false">IF(Tasks[[#This Row],[_RemFrom]]=0,0,Tasks[[#This Row],[Finish]])</f>
        <v>0</v>
      </c>
      <c r="GY194" s="90" t="b">
        <f aca="false">IF(Tasks[[#This Row],[Task Name]]="",FALSE(),OR(NOT(BaselineSet),N(Tasks[[#This Row],[Baseline Start]])&gt;0))</f>
        <v>0</v>
      </c>
      <c r="GZ19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4" s="92" t="str">
        <f aca="false">IF(Tasks[[#This Row],[_IsLeaf]]=1,Tasks[[#This Row],[_Row]],"")</f>
        <v/>
      </c>
      <c r="HD194" s="92" t="str">
        <f aca="false">IFERROR(INDEX(Tasks[UID],SMALL(Tasks[_PickKey],Tasks[[#This Row],[_Row]]))&amp;" "&amp;INDEX(Tasks[Task Name],SMALL(Tasks[_PickKey],Tasks[[#This Row],[_Row]])),"")</f>
        <v/>
      </c>
      <c r="HE194" s="43" t="str">
        <f aca="false">IF(Tasks[[#This Row],[Task Name]]="","",IF(Tasks[[#This Row],[_IsSummary]],NETWORKDAYS.INTL(Tasks[[#This Row],[Start]],Tasks[[#This Row],[Finish]],WorkWeek,Holidays),N(Tasks[[#This Row],[_Days]])))</f>
        <v/>
      </c>
      <c r="HF194" s="43" t="n">
        <f aca="false">IF(Tasks[[#This Row],[Expected]]="",0,((Tasks[[#This Row],[Pessimistic]]-Tasks[[#This Row],[Optimistic]])/6)^2)</f>
        <v>0</v>
      </c>
      <c r="HG194" s="43" t="n">
        <f aca="false">IF(Tasks[[#This Row],[Expected]]="",0,Tasks[[#This Row],[Expected]]-N(Tasks[[#This Row],[_Days]]))</f>
        <v>0</v>
      </c>
    </row>
    <row r="195" customFormat="false" ht="15" hidden="false" customHeight="false" outlineLevel="0" collapsed="false">
      <c r="A195" s="21" t="str">
        <f aca="false">IF(Tasks[[#This Row],[Task Name]]="","",COUNTA(Tasks[[#Headers],[Task Name]]:Tasks[[#This Row],[Task Name]])-1)</f>
        <v/>
      </c>
      <c r="B195" s="22" t="n">
        <v>203</v>
      </c>
      <c r="C195" s="22"/>
      <c r="D195" s="23"/>
      <c r="E195" s="22"/>
      <c r="F195" s="23"/>
      <c r="G195" s="22"/>
      <c r="H195" s="22"/>
      <c r="I195" s="23"/>
      <c r="J195" s="22"/>
      <c r="K195" s="22"/>
      <c r="L195" s="23"/>
      <c r="M195" s="22"/>
      <c r="N195" s="22"/>
      <c r="O195" s="23"/>
      <c r="P195" s="22"/>
      <c r="Q195" s="22"/>
      <c r="R195" s="23"/>
      <c r="S195" s="23"/>
      <c r="T195" s="84"/>
      <c r="U195" s="23"/>
      <c r="V195" s="84"/>
      <c r="W195" s="23"/>
      <c r="X195" s="84"/>
      <c r="Y195" s="23"/>
      <c r="Z195" s="84"/>
      <c r="AA195" s="23"/>
      <c r="AB195" s="23"/>
      <c r="AC195" s="7"/>
      <c r="AD195" s="7"/>
      <c r="AE195" s="63" t="str">
        <f aca="false">IF(Tasks[[#This Row],[Task Name]]="","",IF(Tasks[[#This Row],[_IsSummary]],MIN(INDEX(Tasks[_ShownFcstStart],Tasks[[#This Row],[_Row]]+1):INDEX(Tasks[_ShownFcstStart],Tasks[[#This Row],[_Row]]+Tasks[[#This Row],[_Descendants]])),Tasks[[#This Row],[_ShownFcstStart]]))</f>
        <v/>
      </c>
      <c r="AF195" s="63" t="str">
        <f aca="false">IF(Tasks[[#This Row],[Task Name]]="","",IF(Tasks[[#This Row],[_IsSummary]],MAX(INDEX(Tasks[_ShownFcstFinish],Tasks[[#This Row],[_Row]]+1):INDEX(Tasks[_ShownFcstFinish],Tasks[[#This Row],[_Row]]+Tasks[[#This Row],[_Descendants]])),Tasks[[#This Row],[_ShownFcstFinish]]))</f>
        <v/>
      </c>
      <c r="AG195" s="21" t="str">
        <f aca="false">""</f>
        <v/>
      </c>
      <c r="AH195" s="23"/>
      <c r="AI1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5" s="7"/>
      <c r="AK195" s="22"/>
      <c r="AL195" s="23"/>
      <c r="AM195" s="7"/>
      <c r="AN195" s="47" t="str">
        <f aca="false">IF(Tasks[[#This Row],[Task Name]]="","",IF(Tasks[[#This Row],[Finish]]&gt;=Tasks[[#This Row],[Planned Finish]],NETWORKDAYS.INTL(Tasks[[#This Row],[Planned Finish]],Tasks[[#This Row],[Finish]],WorkWeek,Holidays)-1,1-NETWORKDAYS.INTL(Tasks[[#This Row],[Finish]],Tasks[[#This Row],[Planned Finish]],WorkWeek,Holidays)))</f>
        <v/>
      </c>
      <c r="AO195" s="21" t="str">
        <f aca="false">IF(Tasks[[#This Row],[Task Name]]="","",IF(Tasks[[#This Row],[Progress]]&gt;=1,"Complete",IF(OR(N(Tasks[[#This Row],[Actual Start]])&gt;0,Tasks[[#This Row],[Progress]]&gt;0),IF(Tasks[[#This Row],[Finish Var]]&gt;0,"Behind","In Progress"),IF(Tasks[[#This Row],[Planned Start]]&lt;StatusDate,"Late Start","Not Started"))))</f>
        <v/>
      </c>
      <c r="AP195" s="21" t="str">
        <f aca="false">IF(Tasks[[#This Row],[Task Name]]="","",IF(IF(Tasks[[#This Row],[_IsSummary]],COUNTIF(INDEX(Tasks[_LeafCritical],Tasks[[#This Row],[_Row]]+1):INDEX(Tasks[_LeafCritical],Tasks[[#This Row],[_Row]]+Tasks[[#This Row],[_Descendants]]),TRUE())&gt;0,Tasks[[#This Row],[_LeafCritical]]),"Yes",""))</f>
        <v/>
      </c>
      <c r="AQ195" s="63" t="str">
        <f aca="false">IF(Tasks[[#This Row],[Task Name]]="","",IF(N(Tasks[[#This Row],[Baseline Start]])&gt;0,Tasks[[#This Row],[Baseline Start]],Tasks[[#This Row],[_CalcStart]]))</f>
        <v/>
      </c>
      <c r="AR195" s="63" t="str">
        <f aca="false">IF(Tasks[[#This Row],[Task Name]]="","",IF(N(Tasks[[#This Row],[Baseline Finish]])&gt;0,Tasks[[#This Row],[Baseline Finish]],Tasks[[#This Row],[_CalcFinish]]))</f>
        <v/>
      </c>
      <c r="AS195" s="47" t="str">
        <f aca="false">IF(Tasks[[#This Row],[Task Name]]="","",IF(Tasks[[#This Row],[Start]]&gt;=Tasks[[#This Row],[Planned Start]],NETWORKDAYS.INTL(Tasks[[#This Row],[Planned Start]],Tasks[[#This Row],[Start]],WorkWeek,Holidays)-1,1-NETWORKDAYS.INTL(Tasks[[#This Row],[Start]],Tasks[[#This Row],[Planned Start]],WorkWeek,Holidays)))</f>
        <v/>
      </c>
      <c r="AT195" s="63" t="str">
        <f aca="false">IF(Tasks[[#This Row],[Task Name]]="","",IF(Tasks[[#This Row],[_IsSummary]],MIN(INDEX(Tasks[_LeafLateStart],Tasks[[#This Row],[_Row]]+1):INDEX(Tasks[_LeafLateStart],Tasks[[#This Row],[_Row]]+Tasks[[#This Row],[_Descendants]])),Tasks[[#This Row],[_LeafLateStart]]))</f>
        <v/>
      </c>
      <c r="AU195" s="63" t="str">
        <f aca="false">IF(Tasks[[#This Row],[Task Name]]="","",IF(Tasks[[#This Row],[_IsSummary]],MAX(INDEX(Tasks[_LeafLateFinish],Tasks[[#This Row],[_Row]]+1):INDEX(Tasks[_LeafLateFinish],Tasks[[#This Row],[_Row]]+Tasks[[#This Row],[_Descendants]])),Tasks[[#This Row],[_LeafLateFinish]]))</f>
        <v/>
      </c>
      <c r="AV195" s="47" t="str">
        <f aca="false">IF(Tasks[[#This Row],[Task Name]]="","",IF(Tasks[[#This Row],[_IsSummary]],MIN(INDEX(Tasks[_LeafTotalSlack],Tasks[[#This Row],[_Row]]+1):INDEX(Tasks[_LeafTotalSlack],Tasks[[#This Row],[_Row]]+Tasks[[#This Row],[_Descendants]])),Tasks[[#This Row],[_LeafTotalSlack]]))</f>
        <v/>
      </c>
      <c r="AW1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5"/>
      <c r="BA19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1" t="str">
        <f aca="false">IF(Tasks[[#This Row],[Task Name]]="","",IF(Tasks[[#This Row],[_Level]]&lt;=OutlineShowLevel,"Yes","No"))</f>
        <v/>
      </c>
      <c r="BE195" s="86" t="str">
        <f aca="false">IF(Tasks[[#This Row],[Task Name]]="","",IF(Tasks[[#This Row],[_IsSummary]],SUM(INDEX(Tasks[_LeafTotalWork],Tasks[[#This Row],[_Row]]+1):INDEX(Tasks[_LeafTotalWork],Tasks[[#This Row],[_Row]]+Tasks[[#This Row],[_Descendants]])),Tasks[[#This Row],[_LeafTotalWork]]))</f>
        <v/>
      </c>
      <c r="BF195" s="23"/>
      <c r="BG1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5" s="21" t="str">
        <f aca="false">""</f>
        <v/>
      </c>
      <c r="BI195" s="87"/>
      <c r="BJ195" s="22"/>
      <c r="BK195" s="47" t="str">
        <f aca="false">IF(OR(Tasks[[#This Row],[Task Name]]="",Tasks[[#This Row],[Baseline Duration]]=""),"",Tasks[[#This Row],[_SpanDays]]-N(Tasks[[#This Row],[Baseline Duration]]))</f>
        <v/>
      </c>
      <c r="BL195" s="86" t="str">
        <f aca="false">IF(OR(Tasks[[#This Row],[Task Name]]="",Tasks[[#This Row],[Baseline Work]]=""),"",Tasks[[#This Row],[Work]]-N(Tasks[[#This Row],[Baseline Work]]))</f>
        <v/>
      </c>
      <c r="BM195" s="63" t="str">
        <f aca="false">IF(Tasks[[#This Row],[Task Name]]="","",IF(OR(TakeBaseline="Yes",N(Tasks[[#This Row],[Baseline Start]])=0),Tasks[[#This Row],[Start]],Tasks[[#This Row],[Baseline Start]]))</f>
        <v/>
      </c>
      <c r="BN195" s="63" t="str">
        <f aca="false">IF(Tasks[[#This Row],[Task Name]]="","",IF(OR(TakeBaseline="Yes",N(Tasks[[#This Row],[Baseline Finish]])=0),Tasks[[#This Row],[Finish]],Tasks[[#This Row],[Baseline Finish]]))</f>
        <v/>
      </c>
      <c r="BO195" s="21" t="str">
        <f aca="false">IF(Tasks[[#This Row],[Task Name]]="","",IF(OR(TakeBaseline="Yes",N(Tasks[[#This Row],[Baseline Duration]])=0),Tasks[[#This Row],[_SpanDays]],Tasks[[#This Row],[Baseline Duration]]))</f>
        <v/>
      </c>
      <c r="BP195" s="86" t="str">
        <f aca="false">IF(Tasks[[#This Row],[Task Name]]="","",IF(OR(TakeBaseline="Yes",N(Tasks[[#This Row],[Baseline Work]])=0),Tasks[[#This Row],[Work]],Tasks[[#This Row],[Baseline Work]]))</f>
        <v/>
      </c>
      <c r="BQ195" s="7"/>
      <c r="BR195" s="7"/>
      <c r="BS195" s="22"/>
      <c r="BT195" s="88"/>
      <c r="BU195" s="23"/>
      <c r="BV195" s="23"/>
      <c r="BW195" s="23"/>
      <c r="BX195" s="89" t="str">
        <f aca="false">IF(AND(Tasks[[#This Row],[_IsLeaf]]=1,ISNUMBER(Tasks[[#This Row],[Optimistic]]),ISNUMBER(Tasks[[#This Row],[Pessimistic]])),ROUND((Tasks[[#This Row],[Optimistic]]+4*N(Tasks[[#This Row],[_Days]])+Tasks[[#This Row],[Pessimistic]])/6,1),"")</f>
        <v/>
      </c>
      <c r="BY195" s="87"/>
      <c r="BZ195" s="87"/>
      <c r="CA195" s="22"/>
      <c r="CB195" s="43" t="str">
        <f aca="false">IF(Tasks[[#This Row],[Task Name]]="","",MAX(1,N(Tasks[[#This Row],[Level]])))</f>
        <v/>
      </c>
      <c r="CC195" s="43" t="n">
        <f aca="false">ROW()-ROW(Tasks[[#Headers],[ID]])</f>
        <v>190</v>
      </c>
      <c r="CD195" s="43" t="n">
        <f aca="false">IF(OR(Tasks[[#This Row],[Task Name]]="",Tasks[[#This Row],[_Level]]&lt;=1),0,IFERROR(LOOKUP(2,1/(Tasks[[#Headers],[_Level]]:Tasks[[#This Row],[_Level]]=Tasks[[#This Row],[_Level]]-1),ROW(Tasks[[#Headers],[_Level]]:Tasks[[#This Row],[_Level]])),0))</f>
        <v>0</v>
      </c>
      <c r="CE195" s="43" t="n">
        <f aca="false">IFERROR(N(INDEX(Tasks[_Level],Tasks[[#This Row],[_Row]]+1)),0)</f>
        <v>0</v>
      </c>
      <c r="CF195" s="90" t="b">
        <f aca="false">AND(Tasks[[#This Row],[Task Name]]&lt;&gt;"",Tasks[[#This Row],[_NextLevel]]&gt;Tasks[[#This Row],[_Level]])</f>
        <v>0</v>
      </c>
      <c r="CG195" s="43" t="n">
        <f aca="false">IF(Tasks[[#This Row],[_IsSummary]],COUNTIF(Tasks[WBS],Tasks[[#This Row],[WBS]]&amp;".*"),0)</f>
        <v>0</v>
      </c>
      <c r="CH195" s="43" t="n">
        <f aca="false">IF(AND(Tasks[[#This Row],[Task Name]]&lt;&gt;"",NOT(Tasks[[#This Row],[_IsSummary]])),1,0)</f>
        <v>0</v>
      </c>
      <c r="CI195" s="43" t="n">
        <f aca="false">IF(N(Tasks[[#This Row],[_Pred1UID]])=0,0,IFERROR(MATCH(Tasks[[#This Row],[_Pred1UID]],Tasks[UID],0),-1))</f>
        <v>0</v>
      </c>
      <c r="CJ195" s="43" t="n">
        <f aca="false">IF(N(Tasks[[#This Row],[_Pred2UID]])=0,0,IFERROR(MATCH(Tasks[[#This Row],[_Pred2UID]],Tasks[UID],0),-1))</f>
        <v>0</v>
      </c>
      <c r="CK195" s="43" t="n">
        <f aca="false">IF(N(Tasks[[#This Row],[_Pred3UID]])=0,0,IFERROR(MATCH(Tasks[[#This Row],[_Pred3UID]],Tasks[UID],0),-1))</f>
        <v>0</v>
      </c>
      <c r="CL195" s="43" t="n">
        <f aca="false">IF(N(Tasks[[#This Row],[_Pred4UID]])=0,0,IFERROR(MATCH(Tasks[[#This Row],[_Pred4UID]],Tasks[UID],0),-1))</f>
        <v>0</v>
      </c>
      <c r="CM19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5" s="91" t="n">
        <f aca="false">IF(OR(Tasks[[#This Row],[_ConstraintCode]]=2,Tasks[[#This Row],[_ConstraintCode]]=3,Tasks[[#This Row],[_ConstraintCode]]=4,Tasks[[#This Row],[_ConstraintCode]]=6),Tasks[[#This Row],[_ConstraintStart]],0)</f>
        <v>0</v>
      </c>
      <c r="CP195" s="91" t="n">
        <f aca="false">IF(OR(Tasks[[#This Row],[_ConstraintCode]]=2,Tasks[[#This Row],[_ConstraintCode]]=3,Tasks[[#This Row],[_ConstraintCode]]=5,Tasks[[#This Row],[_ConstraintCode]]=7),Tasks[[#This Row],[_ConstraintStart]],2958465)</f>
        <v>2958465</v>
      </c>
      <c r="CQ19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5" s="91" t="str">
        <f aca="false">IF(NOT(Tasks[[#This Row],[_IsLeaf]]=1),"",IF(N(Tasks[[#This Row],[_Days]])&lt;=0,Tasks[[#This Row],[_LeafCalcStart]],WORKDAY.INTL(Tasks[[#This Row],[_LeafCalcStart]],Tasks[[#This Row],[_Days]]-1,WorkWeek,Holidays)))</f>
        <v/>
      </c>
      <c r="CS19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5" s="43" t="str">
        <f aca="false">IF(Tasks[[#This Row],[_Predecessors]]="","",TRIM(MID(SUBSTITUTE(SUBSTITUTE(SUBSTITUTE(UPPER(Tasks[[#This Row],[_Predecessors]]),";",",")," ",""),",",REPT(" ",99)),1,99)))</f>
        <v/>
      </c>
      <c r="CV195" s="43" t="str">
        <f aca="false">IF(Tasks[[#This Row],[_Pred1Text]]="","",IFERROR(VALUE(LEFT(Tasks[[#This Row],[_Pred1Text]],MIN(FIND("F",Tasks[[#This Row],[_Pred1Text]]&amp;"F"),FIND("S",Tasks[[#This Row],[_Pred1Text]]&amp;"S"),FIND("+",Tasks[[#This Row],[_Pred1Text]]&amp;"+"),FIND("-",Tasks[[#This Row],[_Pred1Text]]&amp;"-"))-1)),""))</f>
        <v/>
      </c>
      <c r="CW19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5" s="43" t="str">
        <f aca="false">IF(Tasks[[#This Row],[_Pred1Text]]="","",TRIM(MID(SUBSTITUTE(SUBSTITUTE(SUBSTITUTE(UPPER(Tasks[[#This Row],[_Predecessors]]),";",",")," ",""),",",REPT(" ",99)),100,99)))</f>
        <v/>
      </c>
      <c r="CZ195" s="43" t="str">
        <f aca="false">IF(Tasks[[#This Row],[_Pred2Text]]="","",IFERROR(VALUE(LEFT(Tasks[[#This Row],[_Pred2Text]],MIN(FIND("F",Tasks[[#This Row],[_Pred2Text]]&amp;"F"),FIND("S",Tasks[[#This Row],[_Pred2Text]]&amp;"S"),FIND("+",Tasks[[#This Row],[_Pred2Text]]&amp;"+"),FIND("-",Tasks[[#This Row],[_Pred2Text]]&amp;"-"))-1)),""))</f>
        <v/>
      </c>
      <c r="DA19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5" s="43" t="str">
        <f aca="false">IF(Tasks[[#This Row],[_Pred2Text]]="","",TRIM(MID(SUBSTITUTE(SUBSTITUTE(SUBSTITUTE(UPPER(Tasks[[#This Row],[_Predecessors]]),";",",")," ",""),",",REPT(" ",99)),199,99)))</f>
        <v/>
      </c>
      <c r="DD195" s="43" t="str">
        <f aca="false">IF(Tasks[[#This Row],[_Pred3Text]]="","",IFERROR(VALUE(LEFT(Tasks[[#This Row],[_Pred3Text]],MIN(FIND("F",Tasks[[#This Row],[_Pred3Text]]&amp;"F"),FIND("S",Tasks[[#This Row],[_Pred3Text]]&amp;"S"),FIND("+",Tasks[[#This Row],[_Pred3Text]]&amp;"+"),FIND("-",Tasks[[#This Row],[_Pred3Text]]&amp;"-"))-1)),""))</f>
        <v/>
      </c>
      <c r="DE19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5" s="43" t="str">
        <f aca="false">IF(Tasks[[#This Row],[_Pred3Text]]="","",TRIM(MID(SUBSTITUTE(SUBSTITUTE(SUBSTITUTE(UPPER(Tasks[[#This Row],[_Predecessors]]),";",",")," ",""),",",REPT(" ",99)),298,99)))</f>
        <v/>
      </c>
      <c r="DH195" s="43" t="str">
        <f aca="false">IF(Tasks[[#This Row],[_Pred4Text]]="","",IFERROR(VALUE(LEFT(Tasks[[#This Row],[_Pred4Text]],MIN(FIND("F",Tasks[[#This Row],[_Pred4Text]]&amp;"F"),FIND("S",Tasks[[#This Row],[_Pred4Text]]&amp;"S"),FIND("+",Tasks[[#This Row],[_Pred4Text]]&amp;"+"),FIND("-",Tasks[[#This Row],[_Pred4Text]]&amp;"-"))-1)),""))</f>
        <v/>
      </c>
      <c r="DI19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5" s="43" t="str">
        <f aca="false">IF(OR(Tasks[[#This Row],[Task Name]]="",Tasks[[#This Row],[_Resources]]=""),"",TRIM(MID(SUBSTITUTE(Tasks[[#This Row],[_Resources]],",",REPT(" ",99)),1,99)))</f>
        <v/>
      </c>
      <c r="DL195" s="43" t="str">
        <f aca="false">IF(Tasks[[#This Row],[_Res1Text]]="","",TRIM(MID(SUBSTITUTE(Tasks[[#This Row],[_Resources]],",",REPT(" ",99)),100,99)))</f>
        <v/>
      </c>
      <c r="DM195" s="43" t="str">
        <f aca="false">IF(Tasks[[#This Row],[_Res2Text]]="","",TRIM(MID(SUBSTITUTE(Tasks[[#This Row],[_Resources]],",",REPT(" ",99)),199,99)))</f>
        <v/>
      </c>
      <c r="DN195" s="43" t="str">
        <f aca="false">IF(Tasks[[#This Row],[_Res3Text]]="","",TRIM(MID(SUBSTITUTE(Tasks[[#This Row],[_Resources]],",",REPT(" ",99)),298,99)))</f>
        <v/>
      </c>
      <c r="DO195" s="43" t="n">
        <f aca="false">IF(Tasks[[#This Row],[_Res1Text]]="",0,IFERROR(MATCH(TRIM(LEFT(Tasks[[#This Row],[_Res1Text]],FIND("[",Tasks[[#This Row],[_Res1Text]]&amp;"[")-1)),res_Name,0),IFERROR(MATCH(TRIM(LEFT(Tasks[[#This Row],[_Res1Text]],FIND("[",Tasks[[#This Row],[_Res1Text]]&amp;"[")-1)),res_Initials,0),0)))</f>
        <v>0</v>
      </c>
      <c r="DP195" s="43" t="n">
        <f aca="false">IF(Tasks[[#This Row],[_Res2Text]]="",0,IFERROR(MATCH(TRIM(LEFT(Tasks[[#This Row],[_Res2Text]],FIND("[",Tasks[[#This Row],[_Res2Text]]&amp;"[")-1)),res_Name,0),IFERROR(MATCH(TRIM(LEFT(Tasks[[#This Row],[_Res2Text]],FIND("[",Tasks[[#This Row],[_Res2Text]]&amp;"[")-1)),res_Initials,0),0)))</f>
        <v>0</v>
      </c>
      <c r="DQ195" s="43" t="n">
        <f aca="false">IF(Tasks[[#This Row],[_Res3Text]]="",0,IFERROR(MATCH(TRIM(LEFT(Tasks[[#This Row],[_Res3Text]],FIND("[",Tasks[[#This Row],[_Res3Text]]&amp;"[")-1)),res_Name,0),IFERROR(MATCH(TRIM(LEFT(Tasks[[#This Row],[_Res3Text]],FIND("[",Tasks[[#This Row],[_Res3Text]]&amp;"[")-1)),res_Initials,0),0)))</f>
        <v>0</v>
      </c>
      <c r="DR195" s="43" t="n">
        <f aca="false">IF(Tasks[[#This Row],[_Res4Text]]="",0,IFERROR(MATCH(TRIM(LEFT(Tasks[[#This Row],[_Res4Text]],FIND("[",Tasks[[#This Row],[_Res4Text]]&amp;"[")-1)),res_Name,0),IFERROR(MATCH(TRIM(LEFT(Tasks[[#This Row],[_Res4Text]],FIND("[",Tasks[[#This Row],[_Res4Text]]&amp;"[")-1)),res_Initials,0),0)))</f>
        <v>0</v>
      </c>
      <c r="DS195" s="43" t="str">
        <f aca="false">IF(Tasks[[#This Row],[_Res1Text]]="","",IF(Tasks[[#This Row],[_Res1Row]]&gt;0,INDEX(res_Name,Tasks[[#This Row],[_Res1Row]]),TRIM(LEFT(Tasks[[#This Row],[_Res1Text]],FIND("[",Tasks[[#This Row],[_Res1Text]]&amp;"[")-1))))</f>
        <v/>
      </c>
      <c r="DT19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5" s="43" t="n">
        <f aca="false">IF(NOT(Tasks[[#This Row],[_IsLeaf]]=1),0,(Tasks[[#This Row],[_Resource1]]&lt;&gt;"")+(Tasks[[#This Row],[_Res2]]&lt;&gt;"")+(Tasks[[#This Row],[_Res3]]&lt;&gt;"")+(Tasks[[#This Row],[_Res4]]&lt;&gt;""))</f>
        <v>0</v>
      </c>
      <c r="DV195" s="43" t="str">
        <f aca="false">IF(Tasks[[#This Row],[_Res2Text]]="","",IF(Tasks[[#This Row],[_Res2Row]]&gt;0,INDEX(res_Name,Tasks[[#This Row],[_Res2Row]]),TRIM(LEFT(Tasks[[#This Row],[_Res2Text]],FIND("[",Tasks[[#This Row],[_Res2Text]]&amp;"[")-1))))</f>
        <v/>
      </c>
      <c r="DW19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5" s="43" t="n">
        <f aca="false">IF(OR(NOT(Tasks[[#This Row],[_IsLeaf]]=1),Tasks[[#This Row],[_Res2Row]]=0),0,N(Tasks[[#This Row],[_Days]])*HoursPerDay*IF(Tasks[[#This Row],[_Res2Units]]="",DefaultUnits,Tasks[[#This Row],[_Res2Units]]))</f>
        <v>0</v>
      </c>
      <c r="DY195" s="43" t="n">
        <f aca="false">IF(AND(AND(Tasks[[#This Row],[_IsLeaf]]=1,Tasks[[#This Row],[_LeafTotalWork]]&gt;0),Tasks[[#This Row],[_Res2Work]]&gt;0),Tasks[[#This Row],[_Res2Work]]/(Tasks[[#This Row],[_FinishWorkday]]-Tasks[[#This Row],[_StartWorkday]]+1),0)</f>
        <v>0</v>
      </c>
      <c r="DZ195" s="43" t="n">
        <f aca="false">Tasks[[#This Row],[_Res2WorkPerWD]]*MAX(0,Tasks[[#This Row],[_StartWorkday]]-1)</f>
        <v>0</v>
      </c>
      <c r="EA195" s="43" t="n">
        <f aca="false">Tasks[[#This Row],[_Res2Work]]*Tasks[[#This Row],[_LeafProgress]]</f>
        <v>0</v>
      </c>
      <c r="EB195" s="43" t="str">
        <f aca="false">IF(Tasks[[#This Row],[_Res3Text]]="","",IF(Tasks[[#This Row],[_Res3Row]]&gt;0,INDEX(res_Name,Tasks[[#This Row],[_Res3Row]]),TRIM(LEFT(Tasks[[#This Row],[_Res3Text]],FIND("[",Tasks[[#This Row],[_Res3Text]]&amp;"[")-1))))</f>
        <v/>
      </c>
      <c r="EC19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5" s="43" t="n">
        <f aca="false">IF(OR(NOT(Tasks[[#This Row],[_IsLeaf]]=1),Tasks[[#This Row],[_Res3Row]]=0),0,N(Tasks[[#This Row],[_Days]])*HoursPerDay*IF(Tasks[[#This Row],[_Res3Units]]="",DefaultUnits,Tasks[[#This Row],[_Res3Units]]))</f>
        <v>0</v>
      </c>
      <c r="EE195" s="43" t="n">
        <f aca="false">IF(AND(AND(Tasks[[#This Row],[_IsLeaf]]=1,Tasks[[#This Row],[_LeafTotalWork]]&gt;0),Tasks[[#This Row],[_Res3Work]]&gt;0),Tasks[[#This Row],[_Res3Work]]/(Tasks[[#This Row],[_FinishWorkday]]-Tasks[[#This Row],[_StartWorkday]]+1),0)</f>
        <v>0</v>
      </c>
      <c r="EF195" s="43" t="n">
        <f aca="false">Tasks[[#This Row],[_Res3WorkPerWD]]*MAX(0,Tasks[[#This Row],[_StartWorkday]]-1)</f>
        <v>0</v>
      </c>
      <c r="EG195" s="43" t="n">
        <f aca="false">Tasks[[#This Row],[_Res3Work]]*Tasks[[#This Row],[_LeafProgress]]</f>
        <v>0</v>
      </c>
      <c r="EH195" s="43" t="str">
        <f aca="false">IF(Tasks[[#This Row],[_Res4Text]]="","",IF(Tasks[[#This Row],[_Res4Row]]&gt;0,INDEX(res_Name,Tasks[[#This Row],[_Res4Row]]),TRIM(LEFT(Tasks[[#This Row],[_Res4Text]],FIND("[",Tasks[[#This Row],[_Res4Text]]&amp;"[")-1))))</f>
        <v/>
      </c>
      <c r="EI19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5" s="43" t="n">
        <f aca="false">IF(OR(NOT(Tasks[[#This Row],[_IsLeaf]]=1),Tasks[[#This Row],[_Res4Row]]=0),0,N(Tasks[[#This Row],[_Days]])*HoursPerDay*IF(Tasks[[#This Row],[_Res4Units]]="",DefaultUnits,Tasks[[#This Row],[_Res4Units]]))</f>
        <v>0</v>
      </c>
      <c r="EK195" s="43" t="n">
        <f aca="false">IF(AND(AND(Tasks[[#This Row],[_IsLeaf]]=1,Tasks[[#This Row],[_LeafTotalWork]]&gt;0),Tasks[[#This Row],[_Res4Work]]&gt;0),Tasks[[#This Row],[_Res4Work]]/(Tasks[[#This Row],[_FinishWorkday]]-Tasks[[#This Row],[_StartWorkday]]+1),0)</f>
        <v>0</v>
      </c>
      <c r="EL195" s="43" t="n">
        <f aca="false">Tasks[[#This Row],[_Res4WorkPerWD]]*MAX(0,Tasks[[#This Row],[_StartWorkday]]-1)</f>
        <v>0</v>
      </c>
      <c r="EM195" s="43" t="n">
        <f aca="false">Tasks[[#This Row],[_Res4Work]]*Tasks[[#This Row],[_LeafProgress]]</f>
        <v>0</v>
      </c>
      <c r="EN195" s="43" t="n">
        <f aca="false">IF(ISNUMBER(Tasks[[#This Row],[% Complete]]),Tasks[[#This Row],[% Complete]],IF(Tasks[[#This Row],[Stage]]="",0,IFERROR(INDEX(stg_Pct,MATCH(Tasks[[#This Row],[Stage]],stg_Name,0)),0)))</f>
        <v>0</v>
      </c>
      <c r="EO195" s="43" t="n">
        <f aca="false">IF(NOT(Tasks[[#This Row],[_IsLeaf]]=1),0,IF(N(Tasks[[#This Row],[Actual Finish]])&gt;0,1,MIN(1,Tasks[[#This Row],[_Pct]])))</f>
        <v>0</v>
      </c>
      <c r="EP195" s="43" t="n">
        <f aca="false">IF(OR(NOT(Tasks[[#This Row],[_IsLeaf]]=1),Tasks[[#This Row],[_Res1Row]]=0),0,N(Tasks[[#This Row],[_Days]])*HoursPerDay*IF(Tasks[[#This Row],[_Units1]]="",DefaultUnits,Tasks[[#This Row],[_Units1]]))</f>
        <v>0</v>
      </c>
      <c r="EQ195" s="43" t="n">
        <f aca="false">Tasks[[#This Row],[_LeafWork]]+Tasks[[#This Row],[_Res2Work]]+Tasks[[#This Row],[_Res3Work]]+Tasks[[#This Row],[_Res4Work]]</f>
        <v>0</v>
      </c>
      <c r="ER19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5" s="43" t="n">
        <f aca="false">IF(NOT(Tasks[[#This Row],[_IsLeaf]]=1),0,MAX(_xlfn.MAXIFS(Tasks[_Row],Tasks[_Pred1UID],Tasks[[#This Row],[UID]]),_xlfn.MAXIFS(Tasks[_Row],Tasks[_Pred2UID],Tasks[[#This Row],[UID]]),_xlfn.MAXIFS(Tasks[_Row],Tasks[_Pred3UID],Tasks[[#This Row],[UID]]),_xlfn.MAXIFS(Tasks[_Row],Tasks[_Pred4UID],Tasks[[#This Row],[UID]])))</f>
        <v>0</v>
      </c>
      <c r="FA19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5" s="91" t="str">
        <f aca="false">IF(NOT(Tasks[[#This Row],[_IsLeaf]]=1),"",IF(N(Tasks[[#This Row],[_Days]])&lt;=0,Tasks[[#This Row],[_LeafLateFinish]],WORKDAY.INTL(Tasks[[#This Row],[_LeafLateFinish]],-(Tasks[[#This Row],[_Days]]-1),WorkWeek,Holidays)))</f>
        <v/>
      </c>
      <c r="FD19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5" s="90" t="b">
        <f aca="false">AND(Tasks[[#This Row],[_IsLeaf]]=1,Tasks[[#This Row],[_LeafProgress]]&lt;1,N(Tasks[[#This Row],[_LeafTotalSlack]])&lt;=CriticalSlackDays)</f>
        <v>0</v>
      </c>
      <c r="FF195" s="43" t="n">
        <f aca="false">IF(AND(Tasks[[#This Row],[_IsLeaf]]=1,Tasks[[#This Row],[_ConstraintCode]]=1,Tasks[[#This Row],[Mode]]&lt;&gt;"Manual",N(Tasks[[#This Row],[Actual Start]])=0),MAX(0,N(Tasks[[#This Row],[Free Slack]])),0)</f>
        <v>0</v>
      </c>
      <c r="FG195" s="91" t="str">
        <f aca="false">IF(NOT(Tasks[[#This Row],[_IsLeaf]]=1),"",IF(Tasks[[#This Row],[_AlapShift]]=0,Tasks[[#This Row],[_LeafCalcStart]],WORKDAY.INTL(Tasks[[#This Row],[_LeafCalcStart]],Tasks[[#This Row],[_AlapShift]],WorkWeek,Holidays)))</f>
        <v/>
      </c>
      <c r="FH195" s="91" t="str">
        <f aca="false">IF(NOT(Tasks[[#This Row],[_IsLeaf]]=1),"",IF(Tasks[[#This Row],[_AlapShift]]=0,Tasks[[#This Row],[_LeafCalcFinish]],WORKDAY.INTL(Tasks[[#This Row],[_LeafCalcFinish]],Tasks[[#This Row],[_AlapShift]],WorkWeek,Holidays)))</f>
        <v/>
      </c>
      <c r="FI195" s="91" t="str">
        <f aca="false">IF(NOT(Tasks[[#This Row],[_IsLeaf]]=1),"",IF(Tasks[[#This Row],[_AlapShift]]=0,Tasks[[#This Row],[_LeafFcstStart]],WORKDAY.INTL(Tasks[[#This Row],[_LeafFcstStart]],Tasks[[#This Row],[_AlapShift]],WorkWeek,Holidays)))</f>
        <v/>
      </c>
      <c r="FJ195" s="91" t="str">
        <f aca="false">IF(NOT(Tasks[[#This Row],[_IsLeaf]]=1),"",IF(Tasks[[#This Row],[_AlapShift]]=0,Tasks[[#This Row],[_LeafFcstFinish]],WORKDAY.INTL(Tasks[[#This Row],[_LeafFcstFinish]],Tasks[[#This Row],[_AlapShift]],WorkWeek,Holidays)))</f>
        <v/>
      </c>
      <c r="FK195" s="91" t="str">
        <f aca="false">IF(Tasks[[#This Row],[Task Name]]="","",IF(Tasks[[#This Row],[_IsSummary]],MIN(INDEX(Tasks[_ShownCalcStart],Tasks[[#This Row],[_Row]]+1):INDEX(Tasks[_ShownCalcStart],Tasks[[#This Row],[_Row]]+Tasks[[#This Row],[_Descendants]])),Tasks[[#This Row],[_ShownCalcStart]]))</f>
        <v/>
      </c>
      <c r="FL195" s="91" t="str">
        <f aca="false">IF(Tasks[[#This Row],[Task Name]]="","",IF(Tasks[[#This Row],[_IsSummary]],MAX(INDEX(Tasks[_ShownCalcFinish],Tasks[[#This Row],[_Row]]+1):INDEX(Tasks[_ShownCalcFinish],Tasks[[#This Row],[_Row]]+Tasks[[#This Row],[_Descendants]])),Tasks[[#This Row],[_ShownCalcFinish]]))</f>
        <v/>
      </c>
      <c r="FM19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5" s="43" t="n">
        <f aca="false">IF(AND(Tasks[[#This Row],[_IsLeaf]]=1,Tasks[[#This Row],[_LeafTotalWork]]&gt;0),NETWORKDAYS.INTL(ProjectStart,Tasks[[#This Row],[_ShownFcstStart]],WorkWeek,Holidays),0)</f>
        <v>0</v>
      </c>
      <c r="FZ195" s="43" t="n">
        <f aca="false">IF(AND(Tasks[[#This Row],[_IsLeaf]]=1,Tasks[[#This Row],[_LeafTotalWork]]&gt;0),MAX(Tasks[[#This Row],[_StartWorkday]],NETWORKDAYS.INTL(ProjectStart,Tasks[[#This Row],[_ShownFcstFinish]],WorkWeek,Holidays)),0)</f>
        <v>0</v>
      </c>
      <c r="GA195" s="43" t="n">
        <f aca="false">IF(AND(Tasks[[#This Row],[_IsLeaf]]=1,Tasks[[#This Row],[_LeafTotalWork]]&gt;0),Tasks[[#This Row],[_LeafWork]]/(Tasks[[#This Row],[_FinishWorkday]]-Tasks[[#This Row],[_StartWorkday]]+1),0)</f>
        <v>0</v>
      </c>
      <c r="GB195" s="43" t="n">
        <f aca="false">Tasks[[#This Row],[_WorkPerWorkday]]*(Tasks[[#This Row],[_StartWorkday]]-1)</f>
        <v>-0</v>
      </c>
      <c r="GC195" s="43" t="n">
        <f aca="false">IF(Tasks[[#This Row],[_IsLeaf]]=1,MAX(N(Tasks[[#This Row],[_Days]]),0.1),0)</f>
        <v>0</v>
      </c>
      <c r="GD195" s="43" t="n">
        <f aca="false">Tasks[[#This Row],[_WeightDur]]*Tasks[[#This Row],[_LeafProgress]]</f>
        <v>0</v>
      </c>
      <c r="GE195" s="43" t="n">
        <f aca="false">Tasks[[#This Row],[_WeightDur]]*Tasks[[#This Row],[_PlannedPct]]</f>
        <v>0</v>
      </c>
      <c r="GF19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5" s="43" t="str">
        <f aca="false">IF(AND(Tasks[[#This Row],[_IsLeaf]]=1,N(Tasks[[#This Row],[_Days]])=0,Tasks[[#This Row],[_LeafProgress]]&lt;1),Tasks[[#This Row],[_ShownFcstFinish]]+Tasks[[#This Row],[_Row]]/100000,"")</f>
        <v/>
      </c>
      <c r="GH19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5" s="43" t="str">
        <f aca="false">IF(Tasks[[#This Row],[Task Name]]="","",LEFT(Tasks[[#This Row],[WBS]],FIND(".",Tasks[[#This Row],[WBS]]&amp;".")-1))</f>
        <v/>
      </c>
      <c r="GJ195" s="43" t="str">
        <f aca="false">IF(AND(Tasks[[#This Row],[Task Name]]&lt;&gt;"",Tasks[[#This Row],[_Level]]=1),Tasks[[#This Row],[_Row]],"")</f>
        <v/>
      </c>
      <c r="GK195" s="43" t="str">
        <f aca="false">IF(AND(Tasks[[#This Row],[_IsLeaf]]=1,N(Tasks[[#This Row],[_Days]])=0),Tasks[[#This Row],[Planned Finish]]+Tasks[[#This Row],[_Row]]/100000,"")</f>
        <v/>
      </c>
      <c r="GL195" s="43" t="str">
        <f aca="false">IF(AND(Tasks[[#This Row],[_IsLeaf]]=1,Tasks[[#This Row],[_LeafProgress]]&lt;1,OR(N(Tasks[[#This Row],[Finish Var]])&gt;0,Tasks[[#This Row],[Status]]="Late Start")),MAX(0,Tasks[[#This Row],[Finish Var]])+1-Tasks[[#This Row],[_Row]]/1000000,"")</f>
        <v/>
      </c>
      <c r="GM195" s="43" t="str">
        <f aca="false">IF(AND(Tasks[[#This Row],[_IsLeaf]]=1,N(Tasks[[#This Row],[Actual Start]])=0,Tasks[[#This Row],[_ShownFcstStart]]&gt;=StatusDate,Tasks[[#This Row],[_ShownFcstStart]]&lt;=LookaheadEnd),Tasks[[#This Row],[_ShownFcstStart]]+Tasks[[#This Row],[_Row]]/100000,"")</f>
        <v/>
      </c>
      <c r="GN195" s="43" t="str">
        <f aca="false">IF(AND(Tasks[[#This Row],[_IsLeaf]]=1,Tasks[[#This Row],[_LeafProgress]]&lt;1,Tasks[[#This Row],[_ShownFcstFinish]]&gt;=StatusDate,Tasks[[#This Row],[_ShownFcstFinish]]&lt;=LookaheadEnd),Tasks[[#This Row],[_ShownFcstFinish]]+Tasks[[#This Row],[_Row]]/100000,"")</f>
        <v/>
      </c>
      <c r="GO195" s="43" t="str">
        <f aca="false">IF(Tasks[[#This Row],[_LeafCritical]],Tasks[[#This Row],[_ShownFcstStart]]+Tasks[[#This Row],[_Row]]/100000,"")</f>
        <v/>
      </c>
      <c r="GP195" s="43" t="n">
        <f aca="false">Tasks[[#This Row],[_LeafWork]]*Tasks[[#This Row],[_LeafProgress]]</f>
        <v>0</v>
      </c>
      <c r="GQ195" s="91" t="str">
        <f aca="false">IF(AND(Tasks[[#This Row],[_IsLeaf]]=1,Tasks[[#This Row],[_LeafProgress]]&gt;=1),IF(N(Tasks[[#This Row],[Actual Finish]])&gt;0,Tasks[[#This Row],[Actual Finish]],Tasks[[#This Row],[_ShownFcstFinish]]),"")</f>
        <v/>
      </c>
      <c r="GR195" s="43" t="n">
        <f aca="false">IF(Tasks[[#This Row],[_IsLeaf]]=1,N(Tasks[[#This Row],[Story Points]]),0)</f>
        <v>0</v>
      </c>
      <c r="GS195" s="43" t="str">
        <f aca="false">""</f>
        <v/>
      </c>
      <c r="GT195" s="90" t="b">
        <f aca="false">IF(Tasks[[#This Row],[Task Name]]="",FALSE(),AND(Tasks[[#This Row],[_IsLeaf]]=1,N(Tasks[[#This Row],[_Days]])=0))</f>
        <v>0</v>
      </c>
      <c r="GU195" s="91" t="n">
        <f aca="false">IF(Tasks[[#This Row],[Task Name]]="",0,IF(AND(Tasks[[#This Row],[_IsLeaf]]=1,NOT(Tasks[[#This Row],[_IsMilestone]]),N(Tasks[[#This Row],[Progress]])&gt;0),Tasks[[#This Row],[Start]],0))</f>
        <v>0</v>
      </c>
      <c r="GV195" s="91" t="n">
        <f aca="false">IF(Tasks[[#This Row],[_DoneFrom]]=0,0,IF(Tasks[[#This Row],[Progress]]&gt;=1,Tasks[[#This Row],[Finish]],MAX(Tasks[[#This Row],[_DoneFrom]],Tasks[[#This Row],[Start]]+ROUND((Tasks[[#This Row],[Finish]]-Tasks[[#This Row],[Start]]+1)*Tasks[[#This Row],[Progress]],0)-1)))</f>
        <v>0</v>
      </c>
      <c r="GW195" s="91" t="n">
        <f aca="false">IF(Tasks[[#This Row],[Task Name]]="",0,IF(OR(NOT(Tasks[[#This Row],[_IsLeaf]]=1),Tasks[[#This Row],[_IsMilestone]],N(Tasks[[#This Row],[Progress]])&gt;=1),0,IF(Tasks[[#This Row],[_DoneTo]]&gt;0,Tasks[[#This Row],[_DoneTo]]+1,Tasks[[#This Row],[Start]])))</f>
        <v>0</v>
      </c>
      <c r="GX195" s="91" t="n">
        <f aca="false">IF(Tasks[[#This Row],[_RemFrom]]=0,0,Tasks[[#This Row],[Finish]])</f>
        <v>0</v>
      </c>
      <c r="GY195" s="90" t="b">
        <f aca="false">IF(Tasks[[#This Row],[Task Name]]="",FALSE(),OR(NOT(BaselineSet),N(Tasks[[#This Row],[Baseline Start]])&gt;0))</f>
        <v>0</v>
      </c>
      <c r="GZ19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5" s="92" t="str">
        <f aca="false">IF(Tasks[[#This Row],[_IsLeaf]]=1,Tasks[[#This Row],[_Row]],"")</f>
        <v/>
      </c>
      <c r="HD195" s="92" t="str">
        <f aca="false">IFERROR(INDEX(Tasks[UID],SMALL(Tasks[_PickKey],Tasks[[#This Row],[_Row]]))&amp;" "&amp;INDEX(Tasks[Task Name],SMALL(Tasks[_PickKey],Tasks[[#This Row],[_Row]])),"")</f>
        <v/>
      </c>
      <c r="HE195" s="43" t="str">
        <f aca="false">IF(Tasks[[#This Row],[Task Name]]="","",IF(Tasks[[#This Row],[_IsSummary]],NETWORKDAYS.INTL(Tasks[[#This Row],[Start]],Tasks[[#This Row],[Finish]],WorkWeek,Holidays),N(Tasks[[#This Row],[_Days]])))</f>
        <v/>
      </c>
      <c r="HF195" s="43" t="n">
        <f aca="false">IF(Tasks[[#This Row],[Expected]]="",0,((Tasks[[#This Row],[Pessimistic]]-Tasks[[#This Row],[Optimistic]])/6)^2)</f>
        <v>0</v>
      </c>
      <c r="HG195" s="43" t="n">
        <f aca="false">IF(Tasks[[#This Row],[Expected]]="",0,Tasks[[#This Row],[Expected]]-N(Tasks[[#This Row],[_Days]]))</f>
        <v>0</v>
      </c>
    </row>
    <row r="196" customFormat="false" ht="15" hidden="false" customHeight="false" outlineLevel="0" collapsed="false">
      <c r="A196" s="21" t="str">
        <f aca="false">IF(Tasks[[#This Row],[Task Name]]="","",COUNTA(Tasks[[#Headers],[Task Name]]:Tasks[[#This Row],[Task Name]])-1)</f>
        <v/>
      </c>
      <c r="B196" s="22" t="n">
        <v>204</v>
      </c>
      <c r="C196" s="22"/>
      <c r="D196" s="23"/>
      <c r="E196" s="22"/>
      <c r="F196" s="23"/>
      <c r="G196" s="22"/>
      <c r="H196" s="22"/>
      <c r="I196" s="23"/>
      <c r="J196" s="22"/>
      <c r="K196" s="22"/>
      <c r="L196" s="23"/>
      <c r="M196" s="22"/>
      <c r="N196" s="22"/>
      <c r="O196" s="23"/>
      <c r="P196" s="22"/>
      <c r="Q196" s="22"/>
      <c r="R196" s="23"/>
      <c r="S196" s="23"/>
      <c r="T196" s="84"/>
      <c r="U196" s="23"/>
      <c r="V196" s="84"/>
      <c r="W196" s="23"/>
      <c r="X196" s="84"/>
      <c r="Y196" s="23"/>
      <c r="Z196" s="84"/>
      <c r="AA196" s="23"/>
      <c r="AB196" s="23"/>
      <c r="AC196" s="7"/>
      <c r="AD196" s="7"/>
      <c r="AE196" s="63" t="str">
        <f aca="false">IF(Tasks[[#This Row],[Task Name]]="","",IF(Tasks[[#This Row],[_IsSummary]],MIN(INDEX(Tasks[_ShownFcstStart],Tasks[[#This Row],[_Row]]+1):INDEX(Tasks[_ShownFcstStart],Tasks[[#This Row],[_Row]]+Tasks[[#This Row],[_Descendants]])),Tasks[[#This Row],[_ShownFcstStart]]))</f>
        <v/>
      </c>
      <c r="AF196" s="63" t="str">
        <f aca="false">IF(Tasks[[#This Row],[Task Name]]="","",IF(Tasks[[#This Row],[_IsSummary]],MAX(INDEX(Tasks[_ShownFcstFinish],Tasks[[#This Row],[_Row]]+1):INDEX(Tasks[_ShownFcstFinish],Tasks[[#This Row],[_Row]]+Tasks[[#This Row],[_Descendants]])),Tasks[[#This Row],[_ShownFcstFinish]]))</f>
        <v/>
      </c>
      <c r="AG196" s="21" t="str">
        <f aca="false">""</f>
        <v/>
      </c>
      <c r="AH196" s="23"/>
      <c r="AI1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6" s="7"/>
      <c r="AK196" s="22"/>
      <c r="AL196" s="23"/>
      <c r="AM196" s="7"/>
      <c r="AN196" s="47" t="str">
        <f aca="false">IF(Tasks[[#This Row],[Task Name]]="","",IF(Tasks[[#This Row],[Finish]]&gt;=Tasks[[#This Row],[Planned Finish]],NETWORKDAYS.INTL(Tasks[[#This Row],[Planned Finish]],Tasks[[#This Row],[Finish]],WorkWeek,Holidays)-1,1-NETWORKDAYS.INTL(Tasks[[#This Row],[Finish]],Tasks[[#This Row],[Planned Finish]],WorkWeek,Holidays)))</f>
        <v/>
      </c>
      <c r="AO196" s="21" t="str">
        <f aca="false">IF(Tasks[[#This Row],[Task Name]]="","",IF(Tasks[[#This Row],[Progress]]&gt;=1,"Complete",IF(OR(N(Tasks[[#This Row],[Actual Start]])&gt;0,Tasks[[#This Row],[Progress]]&gt;0),IF(Tasks[[#This Row],[Finish Var]]&gt;0,"Behind","In Progress"),IF(Tasks[[#This Row],[Planned Start]]&lt;StatusDate,"Late Start","Not Started"))))</f>
        <v/>
      </c>
      <c r="AP196" s="21" t="str">
        <f aca="false">IF(Tasks[[#This Row],[Task Name]]="","",IF(IF(Tasks[[#This Row],[_IsSummary]],COUNTIF(INDEX(Tasks[_LeafCritical],Tasks[[#This Row],[_Row]]+1):INDEX(Tasks[_LeafCritical],Tasks[[#This Row],[_Row]]+Tasks[[#This Row],[_Descendants]]),TRUE())&gt;0,Tasks[[#This Row],[_LeafCritical]]),"Yes",""))</f>
        <v/>
      </c>
      <c r="AQ196" s="63" t="str">
        <f aca="false">IF(Tasks[[#This Row],[Task Name]]="","",IF(N(Tasks[[#This Row],[Baseline Start]])&gt;0,Tasks[[#This Row],[Baseline Start]],Tasks[[#This Row],[_CalcStart]]))</f>
        <v/>
      </c>
      <c r="AR196" s="63" t="str">
        <f aca="false">IF(Tasks[[#This Row],[Task Name]]="","",IF(N(Tasks[[#This Row],[Baseline Finish]])&gt;0,Tasks[[#This Row],[Baseline Finish]],Tasks[[#This Row],[_CalcFinish]]))</f>
        <v/>
      </c>
      <c r="AS196" s="47" t="str">
        <f aca="false">IF(Tasks[[#This Row],[Task Name]]="","",IF(Tasks[[#This Row],[Start]]&gt;=Tasks[[#This Row],[Planned Start]],NETWORKDAYS.INTL(Tasks[[#This Row],[Planned Start]],Tasks[[#This Row],[Start]],WorkWeek,Holidays)-1,1-NETWORKDAYS.INTL(Tasks[[#This Row],[Start]],Tasks[[#This Row],[Planned Start]],WorkWeek,Holidays)))</f>
        <v/>
      </c>
      <c r="AT196" s="63" t="str">
        <f aca="false">IF(Tasks[[#This Row],[Task Name]]="","",IF(Tasks[[#This Row],[_IsSummary]],MIN(INDEX(Tasks[_LeafLateStart],Tasks[[#This Row],[_Row]]+1):INDEX(Tasks[_LeafLateStart],Tasks[[#This Row],[_Row]]+Tasks[[#This Row],[_Descendants]])),Tasks[[#This Row],[_LeafLateStart]]))</f>
        <v/>
      </c>
      <c r="AU196" s="63" t="str">
        <f aca="false">IF(Tasks[[#This Row],[Task Name]]="","",IF(Tasks[[#This Row],[_IsSummary]],MAX(INDEX(Tasks[_LeafLateFinish],Tasks[[#This Row],[_Row]]+1):INDEX(Tasks[_LeafLateFinish],Tasks[[#This Row],[_Row]]+Tasks[[#This Row],[_Descendants]])),Tasks[[#This Row],[_LeafLateFinish]]))</f>
        <v/>
      </c>
      <c r="AV196" s="47" t="str">
        <f aca="false">IF(Tasks[[#This Row],[Task Name]]="","",IF(Tasks[[#This Row],[_IsSummary]],MIN(INDEX(Tasks[_LeafTotalSlack],Tasks[[#This Row],[_Row]]+1):INDEX(Tasks[_LeafTotalSlack],Tasks[[#This Row],[_Row]]+Tasks[[#This Row],[_Descendants]])),Tasks[[#This Row],[_LeafTotalSlack]]))</f>
        <v/>
      </c>
      <c r="AW1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5"/>
      <c r="BA19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1" t="str">
        <f aca="false">IF(Tasks[[#This Row],[Task Name]]="","",IF(Tasks[[#This Row],[_Level]]&lt;=OutlineShowLevel,"Yes","No"))</f>
        <v/>
      </c>
      <c r="BE196" s="86" t="str">
        <f aca="false">IF(Tasks[[#This Row],[Task Name]]="","",IF(Tasks[[#This Row],[_IsSummary]],SUM(INDEX(Tasks[_LeafTotalWork],Tasks[[#This Row],[_Row]]+1):INDEX(Tasks[_LeafTotalWork],Tasks[[#This Row],[_Row]]+Tasks[[#This Row],[_Descendants]])),Tasks[[#This Row],[_LeafTotalWork]]))</f>
        <v/>
      </c>
      <c r="BF196" s="23"/>
      <c r="BG1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6" s="21" t="str">
        <f aca="false">""</f>
        <v/>
      </c>
      <c r="BI196" s="87"/>
      <c r="BJ196" s="22"/>
      <c r="BK196" s="47" t="str">
        <f aca="false">IF(OR(Tasks[[#This Row],[Task Name]]="",Tasks[[#This Row],[Baseline Duration]]=""),"",Tasks[[#This Row],[_SpanDays]]-N(Tasks[[#This Row],[Baseline Duration]]))</f>
        <v/>
      </c>
      <c r="BL196" s="86" t="str">
        <f aca="false">IF(OR(Tasks[[#This Row],[Task Name]]="",Tasks[[#This Row],[Baseline Work]]=""),"",Tasks[[#This Row],[Work]]-N(Tasks[[#This Row],[Baseline Work]]))</f>
        <v/>
      </c>
      <c r="BM196" s="63" t="str">
        <f aca="false">IF(Tasks[[#This Row],[Task Name]]="","",IF(OR(TakeBaseline="Yes",N(Tasks[[#This Row],[Baseline Start]])=0),Tasks[[#This Row],[Start]],Tasks[[#This Row],[Baseline Start]]))</f>
        <v/>
      </c>
      <c r="BN196" s="63" t="str">
        <f aca="false">IF(Tasks[[#This Row],[Task Name]]="","",IF(OR(TakeBaseline="Yes",N(Tasks[[#This Row],[Baseline Finish]])=0),Tasks[[#This Row],[Finish]],Tasks[[#This Row],[Baseline Finish]]))</f>
        <v/>
      </c>
      <c r="BO196" s="21" t="str">
        <f aca="false">IF(Tasks[[#This Row],[Task Name]]="","",IF(OR(TakeBaseline="Yes",N(Tasks[[#This Row],[Baseline Duration]])=0),Tasks[[#This Row],[_SpanDays]],Tasks[[#This Row],[Baseline Duration]]))</f>
        <v/>
      </c>
      <c r="BP196" s="86" t="str">
        <f aca="false">IF(Tasks[[#This Row],[Task Name]]="","",IF(OR(TakeBaseline="Yes",N(Tasks[[#This Row],[Baseline Work]])=0),Tasks[[#This Row],[Work]],Tasks[[#This Row],[Baseline Work]]))</f>
        <v/>
      </c>
      <c r="BQ196" s="7"/>
      <c r="BR196" s="7"/>
      <c r="BS196" s="22"/>
      <c r="BT196" s="88"/>
      <c r="BU196" s="23"/>
      <c r="BV196" s="23"/>
      <c r="BW196" s="23"/>
      <c r="BX196" s="89" t="str">
        <f aca="false">IF(AND(Tasks[[#This Row],[_IsLeaf]]=1,ISNUMBER(Tasks[[#This Row],[Optimistic]]),ISNUMBER(Tasks[[#This Row],[Pessimistic]])),ROUND((Tasks[[#This Row],[Optimistic]]+4*N(Tasks[[#This Row],[_Days]])+Tasks[[#This Row],[Pessimistic]])/6,1),"")</f>
        <v/>
      </c>
      <c r="BY196" s="87"/>
      <c r="BZ196" s="87"/>
      <c r="CA196" s="22"/>
      <c r="CB196" s="43" t="str">
        <f aca="false">IF(Tasks[[#This Row],[Task Name]]="","",MAX(1,N(Tasks[[#This Row],[Level]])))</f>
        <v/>
      </c>
      <c r="CC196" s="43" t="n">
        <f aca="false">ROW()-ROW(Tasks[[#Headers],[ID]])</f>
        <v>191</v>
      </c>
      <c r="CD196" s="43" t="n">
        <f aca="false">IF(OR(Tasks[[#This Row],[Task Name]]="",Tasks[[#This Row],[_Level]]&lt;=1),0,IFERROR(LOOKUP(2,1/(Tasks[[#Headers],[_Level]]:Tasks[[#This Row],[_Level]]=Tasks[[#This Row],[_Level]]-1),ROW(Tasks[[#Headers],[_Level]]:Tasks[[#This Row],[_Level]])),0))</f>
        <v>0</v>
      </c>
      <c r="CE196" s="43" t="n">
        <f aca="false">IFERROR(N(INDEX(Tasks[_Level],Tasks[[#This Row],[_Row]]+1)),0)</f>
        <v>0</v>
      </c>
      <c r="CF196" s="90" t="b">
        <f aca="false">AND(Tasks[[#This Row],[Task Name]]&lt;&gt;"",Tasks[[#This Row],[_NextLevel]]&gt;Tasks[[#This Row],[_Level]])</f>
        <v>0</v>
      </c>
      <c r="CG196" s="43" t="n">
        <f aca="false">IF(Tasks[[#This Row],[_IsSummary]],COUNTIF(Tasks[WBS],Tasks[[#This Row],[WBS]]&amp;".*"),0)</f>
        <v>0</v>
      </c>
      <c r="CH196" s="43" t="n">
        <f aca="false">IF(AND(Tasks[[#This Row],[Task Name]]&lt;&gt;"",NOT(Tasks[[#This Row],[_IsSummary]])),1,0)</f>
        <v>0</v>
      </c>
      <c r="CI196" s="43" t="n">
        <f aca="false">IF(N(Tasks[[#This Row],[_Pred1UID]])=0,0,IFERROR(MATCH(Tasks[[#This Row],[_Pred1UID]],Tasks[UID],0),-1))</f>
        <v>0</v>
      </c>
      <c r="CJ196" s="43" t="n">
        <f aca="false">IF(N(Tasks[[#This Row],[_Pred2UID]])=0,0,IFERROR(MATCH(Tasks[[#This Row],[_Pred2UID]],Tasks[UID],0),-1))</f>
        <v>0</v>
      </c>
      <c r="CK196" s="43" t="n">
        <f aca="false">IF(N(Tasks[[#This Row],[_Pred3UID]])=0,0,IFERROR(MATCH(Tasks[[#This Row],[_Pred3UID]],Tasks[UID],0),-1))</f>
        <v>0</v>
      </c>
      <c r="CL196" s="43" t="n">
        <f aca="false">IF(N(Tasks[[#This Row],[_Pred4UID]])=0,0,IFERROR(MATCH(Tasks[[#This Row],[_Pred4UID]],Tasks[UID],0),-1))</f>
        <v>0</v>
      </c>
      <c r="CM19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6" s="91" t="n">
        <f aca="false">IF(OR(Tasks[[#This Row],[_ConstraintCode]]=2,Tasks[[#This Row],[_ConstraintCode]]=3,Tasks[[#This Row],[_ConstraintCode]]=4,Tasks[[#This Row],[_ConstraintCode]]=6),Tasks[[#This Row],[_ConstraintStart]],0)</f>
        <v>0</v>
      </c>
      <c r="CP196" s="91" t="n">
        <f aca="false">IF(OR(Tasks[[#This Row],[_ConstraintCode]]=2,Tasks[[#This Row],[_ConstraintCode]]=3,Tasks[[#This Row],[_ConstraintCode]]=5,Tasks[[#This Row],[_ConstraintCode]]=7),Tasks[[#This Row],[_ConstraintStart]],2958465)</f>
        <v>2958465</v>
      </c>
      <c r="CQ19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6" s="91" t="str">
        <f aca="false">IF(NOT(Tasks[[#This Row],[_IsLeaf]]=1),"",IF(N(Tasks[[#This Row],[_Days]])&lt;=0,Tasks[[#This Row],[_LeafCalcStart]],WORKDAY.INTL(Tasks[[#This Row],[_LeafCalcStart]],Tasks[[#This Row],[_Days]]-1,WorkWeek,Holidays)))</f>
        <v/>
      </c>
      <c r="CS19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6" s="43" t="str">
        <f aca="false">IF(Tasks[[#This Row],[_Predecessors]]="","",TRIM(MID(SUBSTITUTE(SUBSTITUTE(SUBSTITUTE(UPPER(Tasks[[#This Row],[_Predecessors]]),";",",")," ",""),",",REPT(" ",99)),1,99)))</f>
        <v/>
      </c>
      <c r="CV196" s="43" t="str">
        <f aca="false">IF(Tasks[[#This Row],[_Pred1Text]]="","",IFERROR(VALUE(LEFT(Tasks[[#This Row],[_Pred1Text]],MIN(FIND("F",Tasks[[#This Row],[_Pred1Text]]&amp;"F"),FIND("S",Tasks[[#This Row],[_Pred1Text]]&amp;"S"),FIND("+",Tasks[[#This Row],[_Pred1Text]]&amp;"+"),FIND("-",Tasks[[#This Row],[_Pred1Text]]&amp;"-"))-1)),""))</f>
        <v/>
      </c>
      <c r="CW19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6" s="43" t="str">
        <f aca="false">IF(Tasks[[#This Row],[_Pred1Text]]="","",TRIM(MID(SUBSTITUTE(SUBSTITUTE(SUBSTITUTE(UPPER(Tasks[[#This Row],[_Predecessors]]),";",",")," ",""),",",REPT(" ",99)),100,99)))</f>
        <v/>
      </c>
      <c r="CZ196" s="43" t="str">
        <f aca="false">IF(Tasks[[#This Row],[_Pred2Text]]="","",IFERROR(VALUE(LEFT(Tasks[[#This Row],[_Pred2Text]],MIN(FIND("F",Tasks[[#This Row],[_Pred2Text]]&amp;"F"),FIND("S",Tasks[[#This Row],[_Pred2Text]]&amp;"S"),FIND("+",Tasks[[#This Row],[_Pred2Text]]&amp;"+"),FIND("-",Tasks[[#This Row],[_Pred2Text]]&amp;"-"))-1)),""))</f>
        <v/>
      </c>
      <c r="DA19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6" s="43" t="str">
        <f aca="false">IF(Tasks[[#This Row],[_Pred2Text]]="","",TRIM(MID(SUBSTITUTE(SUBSTITUTE(SUBSTITUTE(UPPER(Tasks[[#This Row],[_Predecessors]]),";",",")," ",""),",",REPT(" ",99)),199,99)))</f>
        <v/>
      </c>
      <c r="DD196" s="43" t="str">
        <f aca="false">IF(Tasks[[#This Row],[_Pred3Text]]="","",IFERROR(VALUE(LEFT(Tasks[[#This Row],[_Pred3Text]],MIN(FIND("F",Tasks[[#This Row],[_Pred3Text]]&amp;"F"),FIND("S",Tasks[[#This Row],[_Pred3Text]]&amp;"S"),FIND("+",Tasks[[#This Row],[_Pred3Text]]&amp;"+"),FIND("-",Tasks[[#This Row],[_Pred3Text]]&amp;"-"))-1)),""))</f>
        <v/>
      </c>
      <c r="DE19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6" s="43" t="str">
        <f aca="false">IF(Tasks[[#This Row],[_Pred3Text]]="","",TRIM(MID(SUBSTITUTE(SUBSTITUTE(SUBSTITUTE(UPPER(Tasks[[#This Row],[_Predecessors]]),";",",")," ",""),",",REPT(" ",99)),298,99)))</f>
        <v/>
      </c>
      <c r="DH196" s="43" t="str">
        <f aca="false">IF(Tasks[[#This Row],[_Pred4Text]]="","",IFERROR(VALUE(LEFT(Tasks[[#This Row],[_Pred4Text]],MIN(FIND("F",Tasks[[#This Row],[_Pred4Text]]&amp;"F"),FIND("S",Tasks[[#This Row],[_Pred4Text]]&amp;"S"),FIND("+",Tasks[[#This Row],[_Pred4Text]]&amp;"+"),FIND("-",Tasks[[#This Row],[_Pred4Text]]&amp;"-"))-1)),""))</f>
        <v/>
      </c>
      <c r="DI19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6" s="43" t="str">
        <f aca="false">IF(OR(Tasks[[#This Row],[Task Name]]="",Tasks[[#This Row],[_Resources]]=""),"",TRIM(MID(SUBSTITUTE(Tasks[[#This Row],[_Resources]],",",REPT(" ",99)),1,99)))</f>
        <v/>
      </c>
      <c r="DL196" s="43" t="str">
        <f aca="false">IF(Tasks[[#This Row],[_Res1Text]]="","",TRIM(MID(SUBSTITUTE(Tasks[[#This Row],[_Resources]],",",REPT(" ",99)),100,99)))</f>
        <v/>
      </c>
      <c r="DM196" s="43" t="str">
        <f aca="false">IF(Tasks[[#This Row],[_Res2Text]]="","",TRIM(MID(SUBSTITUTE(Tasks[[#This Row],[_Resources]],",",REPT(" ",99)),199,99)))</f>
        <v/>
      </c>
      <c r="DN196" s="43" t="str">
        <f aca="false">IF(Tasks[[#This Row],[_Res3Text]]="","",TRIM(MID(SUBSTITUTE(Tasks[[#This Row],[_Resources]],",",REPT(" ",99)),298,99)))</f>
        <v/>
      </c>
      <c r="DO196" s="43" t="n">
        <f aca="false">IF(Tasks[[#This Row],[_Res1Text]]="",0,IFERROR(MATCH(TRIM(LEFT(Tasks[[#This Row],[_Res1Text]],FIND("[",Tasks[[#This Row],[_Res1Text]]&amp;"[")-1)),res_Name,0),IFERROR(MATCH(TRIM(LEFT(Tasks[[#This Row],[_Res1Text]],FIND("[",Tasks[[#This Row],[_Res1Text]]&amp;"[")-1)),res_Initials,0),0)))</f>
        <v>0</v>
      </c>
      <c r="DP196" s="43" t="n">
        <f aca="false">IF(Tasks[[#This Row],[_Res2Text]]="",0,IFERROR(MATCH(TRIM(LEFT(Tasks[[#This Row],[_Res2Text]],FIND("[",Tasks[[#This Row],[_Res2Text]]&amp;"[")-1)),res_Name,0),IFERROR(MATCH(TRIM(LEFT(Tasks[[#This Row],[_Res2Text]],FIND("[",Tasks[[#This Row],[_Res2Text]]&amp;"[")-1)),res_Initials,0),0)))</f>
        <v>0</v>
      </c>
      <c r="DQ196" s="43" t="n">
        <f aca="false">IF(Tasks[[#This Row],[_Res3Text]]="",0,IFERROR(MATCH(TRIM(LEFT(Tasks[[#This Row],[_Res3Text]],FIND("[",Tasks[[#This Row],[_Res3Text]]&amp;"[")-1)),res_Name,0),IFERROR(MATCH(TRIM(LEFT(Tasks[[#This Row],[_Res3Text]],FIND("[",Tasks[[#This Row],[_Res3Text]]&amp;"[")-1)),res_Initials,0),0)))</f>
        <v>0</v>
      </c>
      <c r="DR196" s="43" t="n">
        <f aca="false">IF(Tasks[[#This Row],[_Res4Text]]="",0,IFERROR(MATCH(TRIM(LEFT(Tasks[[#This Row],[_Res4Text]],FIND("[",Tasks[[#This Row],[_Res4Text]]&amp;"[")-1)),res_Name,0),IFERROR(MATCH(TRIM(LEFT(Tasks[[#This Row],[_Res4Text]],FIND("[",Tasks[[#This Row],[_Res4Text]]&amp;"[")-1)),res_Initials,0),0)))</f>
        <v>0</v>
      </c>
      <c r="DS196" s="43" t="str">
        <f aca="false">IF(Tasks[[#This Row],[_Res1Text]]="","",IF(Tasks[[#This Row],[_Res1Row]]&gt;0,INDEX(res_Name,Tasks[[#This Row],[_Res1Row]]),TRIM(LEFT(Tasks[[#This Row],[_Res1Text]],FIND("[",Tasks[[#This Row],[_Res1Text]]&amp;"[")-1))))</f>
        <v/>
      </c>
      <c r="DT19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6" s="43" t="n">
        <f aca="false">IF(NOT(Tasks[[#This Row],[_IsLeaf]]=1),0,(Tasks[[#This Row],[_Resource1]]&lt;&gt;"")+(Tasks[[#This Row],[_Res2]]&lt;&gt;"")+(Tasks[[#This Row],[_Res3]]&lt;&gt;"")+(Tasks[[#This Row],[_Res4]]&lt;&gt;""))</f>
        <v>0</v>
      </c>
      <c r="DV196" s="43" t="str">
        <f aca="false">IF(Tasks[[#This Row],[_Res2Text]]="","",IF(Tasks[[#This Row],[_Res2Row]]&gt;0,INDEX(res_Name,Tasks[[#This Row],[_Res2Row]]),TRIM(LEFT(Tasks[[#This Row],[_Res2Text]],FIND("[",Tasks[[#This Row],[_Res2Text]]&amp;"[")-1))))</f>
        <v/>
      </c>
      <c r="DW19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6" s="43" t="n">
        <f aca="false">IF(OR(NOT(Tasks[[#This Row],[_IsLeaf]]=1),Tasks[[#This Row],[_Res2Row]]=0),0,N(Tasks[[#This Row],[_Days]])*HoursPerDay*IF(Tasks[[#This Row],[_Res2Units]]="",DefaultUnits,Tasks[[#This Row],[_Res2Units]]))</f>
        <v>0</v>
      </c>
      <c r="DY196" s="43" t="n">
        <f aca="false">IF(AND(AND(Tasks[[#This Row],[_IsLeaf]]=1,Tasks[[#This Row],[_LeafTotalWork]]&gt;0),Tasks[[#This Row],[_Res2Work]]&gt;0),Tasks[[#This Row],[_Res2Work]]/(Tasks[[#This Row],[_FinishWorkday]]-Tasks[[#This Row],[_StartWorkday]]+1),0)</f>
        <v>0</v>
      </c>
      <c r="DZ196" s="43" t="n">
        <f aca="false">Tasks[[#This Row],[_Res2WorkPerWD]]*MAX(0,Tasks[[#This Row],[_StartWorkday]]-1)</f>
        <v>0</v>
      </c>
      <c r="EA196" s="43" t="n">
        <f aca="false">Tasks[[#This Row],[_Res2Work]]*Tasks[[#This Row],[_LeafProgress]]</f>
        <v>0</v>
      </c>
      <c r="EB196" s="43" t="str">
        <f aca="false">IF(Tasks[[#This Row],[_Res3Text]]="","",IF(Tasks[[#This Row],[_Res3Row]]&gt;0,INDEX(res_Name,Tasks[[#This Row],[_Res3Row]]),TRIM(LEFT(Tasks[[#This Row],[_Res3Text]],FIND("[",Tasks[[#This Row],[_Res3Text]]&amp;"[")-1))))</f>
        <v/>
      </c>
      <c r="EC19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6" s="43" t="n">
        <f aca="false">IF(OR(NOT(Tasks[[#This Row],[_IsLeaf]]=1),Tasks[[#This Row],[_Res3Row]]=0),0,N(Tasks[[#This Row],[_Days]])*HoursPerDay*IF(Tasks[[#This Row],[_Res3Units]]="",DefaultUnits,Tasks[[#This Row],[_Res3Units]]))</f>
        <v>0</v>
      </c>
      <c r="EE196" s="43" t="n">
        <f aca="false">IF(AND(AND(Tasks[[#This Row],[_IsLeaf]]=1,Tasks[[#This Row],[_LeafTotalWork]]&gt;0),Tasks[[#This Row],[_Res3Work]]&gt;0),Tasks[[#This Row],[_Res3Work]]/(Tasks[[#This Row],[_FinishWorkday]]-Tasks[[#This Row],[_StartWorkday]]+1),0)</f>
        <v>0</v>
      </c>
      <c r="EF196" s="43" t="n">
        <f aca="false">Tasks[[#This Row],[_Res3WorkPerWD]]*MAX(0,Tasks[[#This Row],[_StartWorkday]]-1)</f>
        <v>0</v>
      </c>
      <c r="EG196" s="43" t="n">
        <f aca="false">Tasks[[#This Row],[_Res3Work]]*Tasks[[#This Row],[_LeafProgress]]</f>
        <v>0</v>
      </c>
      <c r="EH196" s="43" t="str">
        <f aca="false">IF(Tasks[[#This Row],[_Res4Text]]="","",IF(Tasks[[#This Row],[_Res4Row]]&gt;0,INDEX(res_Name,Tasks[[#This Row],[_Res4Row]]),TRIM(LEFT(Tasks[[#This Row],[_Res4Text]],FIND("[",Tasks[[#This Row],[_Res4Text]]&amp;"[")-1))))</f>
        <v/>
      </c>
      <c r="EI19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6" s="43" t="n">
        <f aca="false">IF(OR(NOT(Tasks[[#This Row],[_IsLeaf]]=1),Tasks[[#This Row],[_Res4Row]]=0),0,N(Tasks[[#This Row],[_Days]])*HoursPerDay*IF(Tasks[[#This Row],[_Res4Units]]="",DefaultUnits,Tasks[[#This Row],[_Res4Units]]))</f>
        <v>0</v>
      </c>
      <c r="EK196" s="43" t="n">
        <f aca="false">IF(AND(AND(Tasks[[#This Row],[_IsLeaf]]=1,Tasks[[#This Row],[_LeafTotalWork]]&gt;0),Tasks[[#This Row],[_Res4Work]]&gt;0),Tasks[[#This Row],[_Res4Work]]/(Tasks[[#This Row],[_FinishWorkday]]-Tasks[[#This Row],[_StartWorkday]]+1),0)</f>
        <v>0</v>
      </c>
      <c r="EL196" s="43" t="n">
        <f aca="false">Tasks[[#This Row],[_Res4WorkPerWD]]*MAX(0,Tasks[[#This Row],[_StartWorkday]]-1)</f>
        <v>0</v>
      </c>
      <c r="EM196" s="43" t="n">
        <f aca="false">Tasks[[#This Row],[_Res4Work]]*Tasks[[#This Row],[_LeafProgress]]</f>
        <v>0</v>
      </c>
      <c r="EN196" s="43" t="n">
        <f aca="false">IF(ISNUMBER(Tasks[[#This Row],[% Complete]]),Tasks[[#This Row],[% Complete]],IF(Tasks[[#This Row],[Stage]]="",0,IFERROR(INDEX(stg_Pct,MATCH(Tasks[[#This Row],[Stage]],stg_Name,0)),0)))</f>
        <v>0</v>
      </c>
      <c r="EO196" s="43" t="n">
        <f aca="false">IF(NOT(Tasks[[#This Row],[_IsLeaf]]=1),0,IF(N(Tasks[[#This Row],[Actual Finish]])&gt;0,1,MIN(1,Tasks[[#This Row],[_Pct]])))</f>
        <v>0</v>
      </c>
      <c r="EP196" s="43" t="n">
        <f aca="false">IF(OR(NOT(Tasks[[#This Row],[_IsLeaf]]=1),Tasks[[#This Row],[_Res1Row]]=0),0,N(Tasks[[#This Row],[_Days]])*HoursPerDay*IF(Tasks[[#This Row],[_Units1]]="",DefaultUnits,Tasks[[#This Row],[_Units1]]))</f>
        <v>0</v>
      </c>
      <c r="EQ196" s="43" t="n">
        <f aca="false">Tasks[[#This Row],[_LeafWork]]+Tasks[[#This Row],[_Res2Work]]+Tasks[[#This Row],[_Res3Work]]+Tasks[[#This Row],[_Res4Work]]</f>
        <v>0</v>
      </c>
      <c r="ER19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6" s="43" t="n">
        <f aca="false">IF(NOT(Tasks[[#This Row],[_IsLeaf]]=1),0,MAX(_xlfn.MAXIFS(Tasks[_Row],Tasks[_Pred1UID],Tasks[[#This Row],[UID]]),_xlfn.MAXIFS(Tasks[_Row],Tasks[_Pred2UID],Tasks[[#This Row],[UID]]),_xlfn.MAXIFS(Tasks[_Row],Tasks[_Pred3UID],Tasks[[#This Row],[UID]]),_xlfn.MAXIFS(Tasks[_Row],Tasks[_Pred4UID],Tasks[[#This Row],[UID]])))</f>
        <v>0</v>
      </c>
      <c r="FA19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6" s="91" t="str">
        <f aca="false">IF(NOT(Tasks[[#This Row],[_IsLeaf]]=1),"",IF(N(Tasks[[#This Row],[_Days]])&lt;=0,Tasks[[#This Row],[_LeafLateFinish]],WORKDAY.INTL(Tasks[[#This Row],[_LeafLateFinish]],-(Tasks[[#This Row],[_Days]]-1),WorkWeek,Holidays)))</f>
        <v/>
      </c>
      <c r="FD19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6" s="90" t="b">
        <f aca="false">AND(Tasks[[#This Row],[_IsLeaf]]=1,Tasks[[#This Row],[_LeafProgress]]&lt;1,N(Tasks[[#This Row],[_LeafTotalSlack]])&lt;=CriticalSlackDays)</f>
        <v>0</v>
      </c>
      <c r="FF196" s="43" t="n">
        <f aca="false">IF(AND(Tasks[[#This Row],[_IsLeaf]]=1,Tasks[[#This Row],[_ConstraintCode]]=1,Tasks[[#This Row],[Mode]]&lt;&gt;"Manual",N(Tasks[[#This Row],[Actual Start]])=0),MAX(0,N(Tasks[[#This Row],[Free Slack]])),0)</f>
        <v>0</v>
      </c>
      <c r="FG196" s="91" t="str">
        <f aca="false">IF(NOT(Tasks[[#This Row],[_IsLeaf]]=1),"",IF(Tasks[[#This Row],[_AlapShift]]=0,Tasks[[#This Row],[_LeafCalcStart]],WORKDAY.INTL(Tasks[[#This Row],[_LeafCalcStart]],Tasks[[#This Row],[_AlapShift]],WorkWeek,Holidays)))</f>
        <v/>
      </c>
      <c r="FH196" s="91" t="str">
        <f aca="false">IF(NOT(Tasks[[#This Row],[_IsLeaf]]=1),"",IF(Tasks[[#This Row],[_AlapShift]]=0,Tasks[[#This Row],[_LeafCalcFinish]],WORKDAY.INTL(Tasks[[#This Row],[_LeafCalcFinish]],Tasks[[#This Row],[_AlapShift]],WorkWeek,Holidays)))</f>
        <v/>
      </c>
      <c r="FI196" s="91" t="str">
        <f aca="false">IF(NOT(Tasks[[#This Row],[_IsLeaf]]=1),"",IF(Tasks[[#This Row],[_AlapShift]]=0,Tasks[[#This Row],[_LeafFcstStart]],WORKDAY.INTL(Tasks[[#This Row],[_LeafFcstStart]],Tasks[[#This Row],[_AlapShift]],WorkWeek,Holidays)))</f>
        <v/>
      </c>
      <c r="FJ196" s="91" t="str">
        <f aca="false">IF(NOT(Tasks[[#This Row],[_IsLeaf]]=1),"",IF(Tasks[[#This Row],[_AlapShift]]=0,Tasks[[#This Row],[_LeafFcstFinish]],WORKDAY.INTL(Tasks[[#This Row],[_LeafFcstFinish]],Tasks[[#This Row],[_AlapShift]],WorkWeek,Holidays)))</f>
        <v/>
      </c>
      <c r="FK196" s="91" t="str">
        <f aca="false">IF(Tasks[[#This Row],[Task Name]]="","",IF(Tasks[[#This Row],[_IsSummary]],MIN(INDEX(Tasks[_ShownCalcStart],Tasks[[#This Row],[_Row]]+1):INDEX(Tasks[_ShownCalcStart],Tasks[[#This Row],[_Row]]+Tasks[[#This Row],[_Descendants]])),Tasks[[#This Row],[_ShownCalcStart]]))</f>
        <v/>
      </c>
      <c r="FL196" s="91" t="str">
        <f aca="false">IF(Tasks[[#This Row],[Task Name]]="","",IF(Tasks[[#This Row],[_IsSummary]],MAX(INDEX(Tasks[_ShownCalcFinish],Tasks[[#This Row],[_Row]]+1):INDEX(Tasks[_ShownCalcFinish],Tasks[[#This Row],[_Row]]+Tasks[[#This Row],[_Descendants]])),Tasks[[#This Row],[_ShownCalcFinish]]))</f>
        <v/>
      </c>
      <c r="FM19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6" s="43" t="n">
        <f aca="false">IF(AND(Tasks[[#This Row],[_IsLeaf]]=1,Tasks[[#This Row],[_LeafTotalWork]]&gt;0),NETWORKDAYS.INTL(ProjectStart,Tasks[[#This Row],[_ShownFcstStart]],WorkWeek,Holidays),0)</f>
        <v>0</v>
      </c>
      <c r="FZ196" s="43" t="n">
        <f aca="false">IF(AND(Tasks[[#This Row],[_IsLeaf]]=1,Tasks[[#This Row],[_LeafTotalWork]]&gt;0),MAX(Tasks[[#This Row],[_StartWorkday]],NETWORKDAYS.INTL(ProjectStart,Tasks[[#This Row],[_ShownFcstFinish]],WorkWeek,Holidays)),0)</f>
        <v>0</v>
      </c>
      <c r="GA196" s="43" t="n">
        <f aca="false">IF(AND(Tasks[[#This Row],[_IsLeaf]]=1,Tasks[[#This Row],[_LeafTotalWork]]&gt;0),Tasks[[#This Row],[_LeafWork]]/(Tasks[[#This Row],[_FinishWorkday]]-Tasks[[#This Row],[_StartWorkday]]+1),0)</f>
        <v>0</v>
      </c>
      <c r="GB196" s="43" t="n">
        <f aca="false">Tasks[[#This Row],[_WorkPerWorkday]]*(Tasks[[#This Row],[_StartWorkday]]-1)</f>
        <v>-0</v>
      </c>
      <c r="GC196" s="43" t="n">
        <f aca="false">IF(Tasks[[#This Row],[_IsLeaf]]=1,MAX(N(Tasks[[#This Row],[_Days]]),0.1),0)</f>
        <v>0</v>
      </c>
      <c r="GD196" s="43" t="n">
        <f aca="false">Tasks[[#This Row],[_WeightDur]]*Tasks[[#This Row],[_LeafProgress]]</f>
        <v>0</v>
      </c>
      <c r="GE196" s="43" t="n">
        <f aca="false">Tasks[[#This Row],[_WeightDur]]*Tasks[[#This Row],[_PlannedPct]]</f>
        <v>0</v>
      </c>
      <c r="GF19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6" s="43" t="str">
        <f aca="false">IF(AND(Tasks[[#This Row],[_IsLeaf]]=1,N(Tasks[[#This Row],[_Days]])=0,Tasks[[#This Row],[_LeafProgress]]&lt;1),Tasks[[#This Row],[_ShownFcstFinish]]+Tasks[[#This Row],[_Row]]/100000,"")</f>
        <v/>
      </c>
      <c r="GH19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6" s="43" t="str">
        <f aca="false">IF(Tasks[[#This Row],[Task Name]]="","",LEFT(Tasks[[#This Row],[WBS]],FIND(".",Tasks[[#This Row],[WBS]]&amp;".")-1))</f>
        <v/>
      </c>
      <c r="GJ196" s="43" t="str">
        <f aca="false">IF(AND(Tasks[[#This Row],[Task Name]]&lt;&gt;"",Tasks[[#This Row],[_Level]]=1),Tasks[[#This Row],[_Row]],"")</f>
        <v/>
      </c>
      <c r="GK196" s="43" t="str">
        <f aca="false">IF(AND(Tasks[[#This Row],[_IsLeaf]]=1,N(Tasks[[#This Row],[_Days]])=0),Tasks[[#This Row],[Planned Finish]]+Tasks[[#This Row],[_Row]]/100000,"")</f>
        <v/>
      </c>
      <c r="GL196" s="43" t="str">
        <f aca="false">IF(AND(Tasks[[#This Row],[_IsLeaf]]=1,Tasks[[#This Row],[_LeafProgress]]&lt;1,OR(N(Tasks[[#This Row],[Finish Var]])&gt;0,Tasks[[#This Row],[Status]]="Late Start")),MAX(0,Tasks[[#This Row],[Finish Var]])+1-Tasks[[#This Row],[_Row]]/1000000,"")</f>
        <v/>
      </c>
      <c r="GM196" s="43" t="str">
        <f aca="false">IF(AND(Tasks[[#This Row],[_IsLeaf]]=1,N(Tasks[[#This Row],[Actual Start]])=0,Tasks[[#This Row],[_ShownFcstStart]]&gt;=StatusDate,Tasks[[#This Row],[_ShownFcstStart]]&lt;=LookaheadEnd),Tasks[[#This Row],[_ShownFcstStart]]+Tasks[[#This Row],[_Row]]/100000,"")</f>
        <v/>
      </c>
      <c r="GN196" s="43" t="str">
        <f aca="false">IF(AND(Tasks[[#This Row],[_IsLeaf]]=1,Tasks[[#This Row],[_LeafProgress]]&lt;1,Tasks[[#This Row],[_ShownFcstFinish]]&gt;=StatusDate,Tasks[[#This Row],[_ShownFcstFinish]]&lt;=LookaheadEnd),Tasks[[#This Row],[_ShownFcstFinish]]+Tasks[[#This Row],[_Row]]/100000,"")</f>
        <v/>
      </c>
      <c r="GO196" s="43" t="str">
        <f aca="false">IF(Tasks[[#This Row],[_LeafCritical]],Tasks[[#This Row],[_ShownFcstStart]]+Tasks[[#This Row],[_Row]]/100000,"")</f>
        <v/>
      </c>
      <c r="GP196" s="43" t="n">
        <f aca="false">Tasks[[#This Row],[_LeafWork]]*Tasks[[#This Row],[_LeafProgress]]</f>
        <v>0</v>
      </c>
      <c r="GQ196" s="91" t="str">
        <f aca="false">IF(AND(Tasks[[#This Row],[_IsLeaf]]=1,Tasks[[#This Row],[_LeafProgress]]&gt;=1),IF(N(Tasks[[#This Row],[Actual Finish]])&gt;0,Tasks[[#This Row],[Actual Finish]],Tasks[[#This Row],[_ShownFcstFinish]]),"")</f>
        <v/>
      </c>
      <c r="GR196" s="43" t="n">
        <f aca="false">IF(Tasks[[#This Row],[_IsLeaf]]=1,N(Tasks[[#This Row],[Story Points]]),0)</f>
        <v>0</v>
      </c>
      <c r="GS196" s="43" t="str">
        <f aca="false">""</f>
        <v/>
      </c>
      <c r="GT196" s="90" t="b">
        <f aca="false">IF(Tasks[[#This Row],[Task Name]]="",FALSE(),AND(Tasks[[#This Row],[_IsLeaf]]=1,N(Tasks[[#This Row],[_Days]])=0))</f>
        <v>0</v>
      </c>
      <c r="GU196" s="91" t="n">
        <f aca="false">IF(Tasks[[#This Row],[Task Name]]="",0,IF(AND(Tasks[[#This Row],[_IsLeaf]]=1,NOT(Tasks[[#This Row],[_IsMilestone]]),N(Tasks[[#This Row],[Progress]])&gt;0),Tasks[[#This Row],[Start]],0))</f>
        <v>0</v>
      </c>
      <c r="GV196" s="91" t="n">
        <f aca="false">IF(Tasks[[#This Row],[_DoneFrom]]=0,0,IF(Tasks[[#This Row],[Progress]]&gt;=1,Tasks[[#This Row],[Finish]],MAX(Tasks[[#This Row],[_DoneFrom]],Tasks[[#This Row],[Start]]+ROUND((Tasks[[#This Row],[Finish]]-Tasks[[#This Row],[Start]]+1)*Tasks[[#This Row],[Progress]],0)-1)))</f>
        <v>0</v>
      </c>
      <c r="GW196" s="91" t="n">
        <f aca="false">IF(Tasks[[#This Row],[Task Name]]="",0,IF(OR(NOT(Tasks[[#This Row],[_IsLeaf]]=1),Tasks[[#This Row],[_IsMilestone]],N(Tasks[[#This Row],[Progress]])&gt;=1),0,IF(Tasks[[#This Row],[_DoneTo]]&gt;0,Tasks[[#This Row],[_DoneTo]]+1,Tasks[[#This Row],[Start]])))</f>
        <v>0</v>
      </c>
      <c r="GX196" s="91" t="n">
        <f aca="false">IF(Tasks[[#This Row],[_RemFrom]]=0,0,Tasks[[#This Row],[Finish]])</f>
        <v>0</v>
      </c>
      <c r="GY196" s="90" t="b">
        <f aca="false">IF(Tasks[[#This Row],[Task Name]]="",FALSE(),OR(NOT(BaselineSet),N(Tasks[[#This Row],[Baseline Start]])&gt;0))</f>
        <v>0</v>
      </c>
      <c r="GZ19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6" s="92" t="str">
        <f aca="false">IF(Tasks[[#This Row],[_IsLeaf]]=1,Tasks[[#This Row],[_Row]],"")</f>
        <v/>
      </c>
      <c r="HD196" s="92" t="str">
        <f aca="false">IFERROR(INDEX(Tasks[UID],SMALL(Tasks[_PickKey],Tasks[[#This Row],[_Row]]))&amp;" "&amp;INDEX(Tasks[Task Name],SMALL(Tasks[_PickKey],Tasks[[#This Row],[_Row]])),"")</f>
        <v/>
      </c>
      <c r="HE196" s="43" t="str">
        <f aca="false">IF(Tasks[[#This Row],[Task Name]]="","",IF(Tasks[[#This Row],[_IsSummary]],NETWORKDAYS.INTL(Tasks[[#This Row],[Start]],Tasks[[#This Row],[Finish]],WorkWeek,Holidays),N(Tasks[[#This Row],[_Days]])))</f>
        <v/>
      </c>
      <c r="HF196" s="43" t="n">
        <f aca="false">IF(Tasks[[#This Row],[Expected]]="",0,((Tasks[[#This Row],[Pessimistic]]-Tasks[[#This Row],[Optimistic]])/6)^2)</f>
        <v>0</v>
      </c>
      <c r="HG196" s="43" t="n">
        <f aca="false">IF(Tasks[[#This Row],[Expected]]="",0,Tasks[[#This Row],[Expected]]-N(Tasks[[#This Row],[_Days]]))</f>
        <v>0</v>
      </c>
    </row>
    <row r="197" customFormat="false" ht="15" hidden="false" customHeight="false" outlineLevel="0" collapsed="false">
      <c r="A197" s="21" t="str">
        <f aca="false">IF(Tasks[[#This Row],[Task Name]]="","",COUNTA(Tasks[[#Headers],[Task Name]]:Tasks[[#This Row],[Task Name]])-1)</f>
        <v/>
      </c>
      <c r="B197" s="22" t="n">
        <v>205</v>
      </c>
      <c r="C197" s="22"/>
      <c r="D197" s="23"/>
      <c r="E197" s="22"/>
      <c r="F197" s="23"/>
      <c r="G197" s="22"/>
      <c r="H197" s="22"/>
      <c r="I197" s="23"/>
      <c r="J197" s="22"/>
      <c r="K197" s="22"/>
      <c r="L197" s="23"/>
      <c r="M197" s="22"/>
      <c r="N197" s="22"/>
      <c r="O197" s="23"/>
      <c r="P197" s="22"/>
      <c r="Q197" s="22"/>
      <c r="R197" s="23"/>
      <c r="S197" s="23"/>
      <c r="T197" s="84"/>
      <c r="U197" s="23"/>
      <c r="V197" s="84"/>
      <c r="W197" s="23"/>
      <c r="X197" s="84"/>
      <c r="Y197" s="23"/>
      <c r="Z197" s="84"/>
      <c r="AA197" s="23"/>
      <c r="AB197" s="23"/>
      <c r="AC197" s="7"/>
      <c r="AD197" s="7"/>
      <c r="AE197" s="63" t="str">
        <f aca="false">IF(Tasks[[#This Row],[Task Name]]="","",IF(Tasks[[#This Row],[_IsSummary]],MIN(INDEX(Tasks[_ShownFcstStart],Tasks[[#This Row],[_Row]]+1):INDEX(Tasks[_ShownFcstStart],Tasks[[#This Row],[_Row]]+Tasks[[#This Row],[_Descendants]])),Tasks[[#This Row],[_ShownFcstStart]]))</f>
        <v/>
      </c>
      <c r="AF197" s="63" t="str">
        <f aca="false">IF(Tasks[[#This Row],[Task Name]]="","",IF(Tasks[[#This Row],[_IsSummary]],MAX(INDEX(Tasks[_ShownFcstFinish],Tasks[[#This Row],[_Row]]+1):INDEX(Tasks[_ShownFcstFinish],Tasks[[#This Row],[_Row]]+Tasks[[#This Row],[_Descendants]])),Tasks[[#This Row],[_ShownFcstFinish]]))</f>
        <v/>
      </c>
      <c r="AG197" s="21" t="str">
        <f aca="false">""</f>
        <v/>
      </c>
      <c r="AH197" s="23"/>
      <c r="AI1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7" s="7"/>
      <c r="AK197" s="22"/>
      <c r="AL197" s="23"/>
      <c r="AM197" s="7"/>
      <c r="AN197" s="47" t="str">
        <f aca="false">IF(Tasks[[#This Row],[Task Name]]="","",IF(Tasks[[#This Row],[Finish]]&gt;=Tasks[[#This Row],[Planned Finish]],NETWORKDAYS.INTL(Tasks[[#This Row],[Planned Finish]],Tasks[[#This Row],[Finish]],WorkWeek,Holidays)-1,1-NETWORKDAYS.INTL(Tasks[[#This Row],[Finish]],Tasks[[#This Row],[Planned Finish]],WorkWeek,Holidays)))</f>
        <v/>
      </c>
      <c r="AO197" s="21" t="str">
        <f aca="false">IF(Tasks[[#This Row],[Task Name]]="","",IF(Tasks[[#This Row],[Progress]]&gt;=1,"Complete",IF(OR(N(Tasks[[#This Row],[Actual Start]])&gt;0,Tasks[[#This Row],[Progress]]&gt;0),IF(Tasks[[#This Row],[Finish Var]]&gt;0,"Behind","In Progress"),IF(Tasks[[#This Row],[Planned Start]]&lt;StatusDate,"Late Start","Not Started"))))</f>
        <v/>
      </c>
      <c r="AP197" s="21" t="str">
        <f aca="false">IF(Tasks[[#This Row],[Task Name]]="","",IF(IF(Tasks[[#This Row],[_IsSummary]],COUNTIF(INDEX(Tasks[_LeafCritical],Tasks[[#This Row],[_Row]]+1):INDEX(Tasks[_LeafCritical],Tasks[[#This Row],[_Row]]+Tasks[[#This Row],[_Descendants]]),TRUE())&gt;0,Tasks[[#This Row],[_LeafCritical]]),"Yes",""))</f>
        <v/>
      </c>
      <c r="AQ197" s="63" t="str">
        <f aca="false">IF(Tasks[[#This Row],[Task Name]]="","",IF(N(Tasks[[#This Row],[Baseline Start]])&gt;0,Tasks[[#This Row],[Baseline Start]],Tasks[[#This Row],[_CalcStart]]))</f>
        <v/>
      </c>
      <c r="AR197" s="63" t="str">
        <f aca="false">IF(Tasks[[#This Row],[Task Name]]="","",IF(N(Tasks[[#This Row],[Baseline Finish]])&gt;0,Tasks[[#This Row],[Baseline Finish]],Tasks[[#This Row],[_CalcFinish]]))</f>
        <v/>
      </c>
      <c r="AS197" s="47" t="str">
        <f aca="false">IF(Tasks[[#This Row],[Task Name]]="","",IF(Tasks[[#This Row],[Start]]&gt;=Tasks[[#This Row],[Planned Start]],NETWORKDAYS.INTL(Tasks[[#This Row],[Planned Start]],Tasks[[#This Row],[Start]],WorkWeek,Holidays)-1,1-NETWORKDAYS.INTL(Tasks[[#This Row],[Start]],Tasks[[#This Row],[Planned Start]],WorkWeek,Holidays)))</f>
        <v/>
      </c>
      <c r="AT197" s="63" t="str">
        <f aca="false">IF(Tasks[[#This Row],[Task Name]]="","",IF(Tasks[[#This Row],[_IsSummary]],MIN(INDEX(Tasks[_LeafLateStart],Tasks[[#This Row],[_Row]]+1):INDEX(Tasks[_LeafLateStart],Tasks[[#This Row],[_Row]]+Tasks[[#This Row],[_Descendants]])),Tasks[[#This Row],[_LeafLateStart]]))</f>
        <v/>
      </c>
      <c r="AU197" s="63" t="str">
        <f aca="false">IF(Tasks[[#This Row],[Task Name]]="","",IF(Tasks[[#This Row],[_IsSummary]],MAX(INDEX(Tasks[_LeafLateFinish],Tasks[[#This Row],[_Row]]+1):INDEX(Tasks[_LeafLateFinish],Tasks[[#This Row],[_Row]]+Tasks[[#This Row],[_Descendants]])),Tasks[[#This Row],[_LeafLateFinish]]))</f>
        <v/>
      </c>
      <c r="AV197" s="47" t="str">
        <f aca="false">IF(Tasks[[#This Row],[Task Name]]="","",IF(Tasks[[#This Row],[_IsSummary]],MIN(INDEX(Tasks[_LeafTotalSlack],Tasks[[#This Row],[_Row]]+1):INDEX(Tasks[_LeafTotalSlack],Tasks[[#This Row],[_Row]]+Tasks[[#This Row],[_Descendants]])),Tasks[[#This Row],[_LeafTotalSlack]]))</f>
        <v/>
      </c>
      <c r="AW1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5"/>
      <c r="BA19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1" t="str">
        <f aca="false">IF(Tasks[[#This Row],[Task Name]]="","",IF(Tasks[[#This Row],[_Level]]&lt;=OutlineShowLevel,"Yes","No"))</f>
        <v/>
      </c>
      <c r="BE197" s="86" t="str">
        <f aca="false">IF(Tasks[[#This Row],[Task Name]]="","",IF(Tasks[[#This Row],[_IsSummary]],SUM(INDEX(Tasks[_LeafTotalWork],Tasks[[#This Row],[_Row]]+1):INDEX(Tasks[_LeafTotalWork],Tasks[[#This Row],[_Row]]+Tasks[[#This Row],[_Descendants]])),Tasks[[#This Row],[_LeafTotalWork]]))</f>
        <v/>
      </c>
      <c r="BF197" s="23"/>
      <c r="BG1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7" s="21" t="str">
        <f aca="false">""</f>
        <v/>
      </c>
      <c r="BI197" s="87"/>
      <c r="BJ197" s="22"/>
      <c r="BK197" s="47" t="str">
        <f aca="false">IF(OR(Tasks[[#This Row],[Task Name]]="",Tasks[[#This Row],[Baseline Duration]]=""),"",Tasks[[#This Row],[_SpanDays]]-N(Tasks[[#This Row],[Baseline Duration]]))</f>
        <v/>
      </c>
      <c r="BL197" s="86" t="str">
        <f aca="false">IF(OR(Tasks[[#This Row],[Task Name]]="",Tasks[[#This Row],[Baseline Work]]=""),"",Tasks[[#This Row],[Work]]-N(Tasks[[#This Row],[Baseline Work]]))</f>
        <v/>
      </c>
      <c r="BM197" s="63" t="str">
        <f aca="false">IF(Tasks[[#This Row],[Task Name]]="","",IF(OR(TakeBaseline="Yes",N(Tasks[[#This Row],[Baseline Start]])=0),Tasks[[#This Row],[Start]],Tasks[[#This Row],[Baseline Start]]))</f>
        <v/>
      </c>
      <c r="BN197" s="63" t="str">
        <f aca="false">IF(Tasks[[#This Row],[Task Name]]="","",IF(OR(TakeBaseline="Yes",N(Tasks[[#This Row],[Baseline Finish]])=0),Tasks[[#This Row],[Finish]],Tasks[[#This Row],[Baseline Finish]]))</f>
        <v/>
      </c>
      <c r="BO197" s="21" t="str">
        <f aca="false">IF(Tasks[[#This Row],[Task Name]]="","",IF(OR(TakeBaseline="Yes",N(Tasks[[#This Row],[Baseline Duration]])=0),Tasks[[#This Row],[_SpanDays]],Tasks[[#This Row],[Baseline Duration]]))</f>
        <v/>
      </c>
      <c r="BP197" s="86" t="str">
        <f aca="false">IF(Tasks[[#This Row],[Task Name]]="","",IF(OR(TakeBaseline="Yes",N(Tasks[[#This Row],[Baseline Work]])=0),Tasks[[#This Row],[Work]],Tasks[[#This Row],[Baseline Work]]))</f>
        <v/>
      </c>
      <c r="BQ197" s="7"/>
      <c r="BR197" s="7"/>
      <c r="BS197" s="22"/>
      <c r="BT197" s="88"/>
      <c r="BU197" s="23"/>
      <c r="BV197" s="23"/>
      <c r="BW197" s="23"/>
      <c r="BX197" s="89" t="str">
        <f aca="false">IF(AND(Tasks[[#This Row],[_IsLeaf]]=1,ISNUMBER(Tasks[[#This Row],[Optimistic]]),ISNUMBER(Tasks[[#This Row],[Pessimistic]])),ROUND((Tasks[[#This Row],[Optimistic]]+4*N(Tasks[[#This Row],[_Days]])+Tasks[[#This Row],[Pessimistic]])/6,1),"")</f>
        <v/>
      </c>
      <c r="BY197" s="87"/>
      <c r="BZ197" s="87"/>
      <c r="CA197" s="22"/>
      <c r="CB197" s="43" t="str">
        <f aca="false">IF(Tasks[[#This Row],[Task Name]]="","",MAX(1,N(Tasks[[#This Row],[Level]])))</f>
        <v/>
      </c>
      <c r="CC197" s="43" t="n">
        <f aca="false">ROW()-ROW(Tasks[[#Headers],[ID]])</f>
        <v>192</v>
      </c>
      <c r="CD197" s="43" t="n">
        <f aca="false">IF(OR(Tasks[[#This Row],[Task Name]]="",Tasks[[#This Row],[_Level]]&lt;=1),0,IFERROR(LOOKUP(2,1/(Tasks[[#Headers],[_Level]]:Tasks[[#This Row],[_Level]]=Tasks[[#This Row],[_Level]]-1),ROW(Tasks[[#Headers],[_Level]]:Tasks[[#This Row],[_Level]])),0))</f>
        <v>0</v>
      </c>
      <c r="CE197" s="43" t="n">
        <f aca="false">IFERROR(N(INDEX(Tasks[_Level],Tasks[[#This Row],[_Row]]+1)),0)</f>
        <v>0</v>
      </c>
      <c r="CF197" s="90" t="b">
        <f aca="false">AND(Tasks[[#This Row],[Task Name]]&lt;&gt;"",Tasks[[#This Row],[_NextLevel]]&gt;Tasks[[#This Row],[_Level]])</f>
        <v>0</v>
      </c>
      <c r="CG197" s="43" t="n">
        <f aca="false">IF(Tasks[[#This Row],[_IsSummary]],COUNTIF(Tasks[WBS],Tasks[[#This Row],[WBS]]&amp;".*"),0)</f>
        <v>0</v>
      </c>
      <c r="CH197" s="43" t="n">
        <f aca="false">IF(AND(Tasks[[#This Row],[Task Name]]&lt;&gt;"",NOT(Tasks[[#This Row],[_IsSummary]])),1,0)</f>
        <v>0</v>
      </c>
      <c r="CI197" s="43" t="n">
        <f aca="false">IF(N(Tasks[[#This Row],[_Pred1UID]])=0,0,IFERROR(MATCH(Tasks[[#This Row],[_Pred1UID]],Tasks[UID],0),-1))</f>
        <v>0</v>
      </c>
      <c r="CJ197" s="43" t="n">
        <f aca="false">IF(N(Tasks[[#This Row],[_Pred2UID]])=0,0,IFERROR(MATCH(Tasks[[#This Row],[_Pred2UID]],Tasks[UID],0),-1))</f>
        <v>0</v>
      </c>
      <c r="CK197" s="43" t="n">
        <f aca="false">IF(N(Tasks[[#This Row],[_Pred3UID]])=0,0,IFERROR(MATCH(Tasks[[#This Row],[_Pred3UID]],Tasks[UID],0),-1))</f>
        <v>0</v>
      </c>
      <c r="CL197" s="43" t="n">
        <f aca="false">IF(N(Tasks[[#This Row],[_Pred4UID]])=0,0,IFERROR(MATCH(Tasks[[#This Row],[_Pred4UID]],Tasks[UID],0),-1))</f>
        <v>0</v>
      </c>
      <c r="CM19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7" s="91" t="n">
        <f aca="false">IF(OR(Tasks[[#This Row],[_ConstraintCode]]=2,Tasks[[#This Row],[_ConstraintCode]]=3,Tasks[[#This Row],[_ConstraintCode]]=4,Tasks[[#This Row],[_ConstraintCode]]=6),Tasks[[#This Row],[_ConstraintStart]],0)</f>
        <v>0</v>
      </c>
      <c r="CP197" s="91" t="n">
        <f aca="false">IF(OR(Tasks[[#This Row],[_ConstraintCode]]=2,Tasks[[#This Row],[_ConstraintCode]]=3,Tasks[[#This Row],[_ConstraintCode]]=5,Tasks[[#This Row],[_ConstraintCode]]=7),Tasks[[#This Row],[_ConstraintStart]],2958465)</f>
        <v>2958465</v>
      </c>
      <c r="CQ19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7" s="91" t="str">
        <f aca="false">IF(NOT(Tasks[[#This Row],[_IsLeaf]]=1),"",IF(N(Tasks[[#This Row],[_Days]])&lt;=0,Tasks[[#This Row],[_LeafCalcStart]],WORKDAY.INTL(Tasks[[#This Row],[_LeafCalcStart]],Tasks[[#This Row],[_Days]]-1,WorkWeek,Holidays)))</f>
        <v/>
      </c>
      <c r="CS19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7" s="43" t="str">
        <f aca="false">IF(Tasks[[#This Row],[_Predecessors]]="","",TRIM(MID(SUBSTITUTE(SUBSTITUTE(SUBSTITUTE(UPPER(Tasks[[#This Row],[_Predecessors]]),";",",")," ",""),",",REPT(" ",99)),1,99)))</f>
        <v/>
      </c>
      <c r="CV197" s="43" t="str">
        <f aca="false">IF(Tasks[[#This Row],[_Pred1Text]]="","",IFERROR(VALUE(LEFT(Tasks[[#This Row],[_Pred1Text]],MIN(FIND("F",Tasks[[#This Row],[_Pred1Text]]&amp;"F"),FIND("S",Tasks[[#This Row],[_Pred1Text]]&amp;"S"),FIND("+",Tasks[[#This Row],[_Pred1Text]]&amp;"+"),FIND("-",Tasks[[#This Row],[_Pred1Text]]&amp;"-"))-1)),""))</f>
        <v/>
      </c>
      <c r="CW19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7" s="43" t="str">
        <f aca="false">IF(Tasks[[#This Row],[_Pred1Text]]="","",TRIM(MID(SUBSTITUTE(SUBSTITUTE(SUBSTITUTE(UPPER(Tasks[[#This Row],[_Predecessors]]),";",",")," ",""),",",REPT(" ",99)),100,99)))</f>
        <v/>
      </c>
      <c r="CZ197" s="43" t="str">
        <f aca="false">IF(Tasks[[#This Row],[_Pred2Text]]="","",IFERROR(VALUE(LEFT(Tasks[[#This Row],[_Pred2Text]],MIN(FIND("F",Tasks[[#This Row],[_Pred2Text]]&amp;"F"),FIND("S",Tasks[[#This Row],[_Pred2Text]]&amp;"S"),FIND("+",Tasks[[#This Row],[_Pred2Text]]&amp;"+"),FIND("-",Tasks[[#This Row],[_Pred2Text]]&amp;"-"))-1)),""))</f>
        <v/>
      </c>
      <c r="DA19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7" s="43" t="str">
        <f aca="false">IF(Tasks[[#This Row],[_Pred2Text]]="","",TRIM(MID(SUBSTITUTE(SUBSTITUTE(SUBSTITUTE(UPPER(Tasks[[#This Row],[_Predecessors]]),";",",")," ",""),",",REPT(" ",99)),199,99)))</f>
        <v/>
      </c>
      <c r="DD197" s="43" t="str">
        <f aca="false">IF(Tasks[[#This Row],[_Pred3Text]]="","",IFERROR(VALUE(LEFT(Tasks[[#This Row],[_Pred3Text]],MIN(FIND("F",Tasks[[#This Row],[_Pred3Text]]&amp;"F"),FIND("S",Tasks[[#This Row],[_Pred3Text]]&amp;"S"),FIND("+",Tasks[[#This Row],[_Pred3Text]]&amp;"+"),FIND("-",Tasks[[#This Row],[_Pred3Text]]&amp;"-"))-1)),""))</f>
        <v/>
      </c>
      <c r="DE19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7" s="43" t="str">
        <f aca="false">IF(Tasks[[#This Row],[_Pred3Text]]="","",TRIM(MID(SUBSTITUTE(SUBSTITUTE(SUBSTITUTE(UPPER(Tasks[[#This Row],[_Predecessors]]),";",",")," ",""),",",REPT(" ",99)),298,99)))</f>
        <v/>
      </c>
      <c r="DH197" s="43" t="str">
        <f aca="false">IF(Tasks[[#This Row],[_Pred4Text]]="","",IFERROR(VALUE(LEFT(Tasks[[#This Row],[_Pred4Text]],MIN(FIND("F",Tasks[[#This Row],[_Pred4Text]]&amp;"F"),FIND("S",Tasks[[#This Row],[_Pred4Text]]&amp;"S"),FIND("+",Tasks[[#This Row],[_Pred4Text]]&amp;"+"),FIND("-",Tasks[[#This Row],[_Pred4Text]]&amp;"-"))-1)),""))</f>
        <v/>
      </c>
      <c r="DI19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7" s="43" t="str">
        <f aca="false">IF(OR(Tasks[[#This Row],[Task Name]]="",Tasks[[#This Row],[_Resources]]=""),"",TRIM(MID(SUBSTITUTE(Tasks[[#This Row],[_Resources]],",",REPT(" ",99)),1,99)))</f>
        <v/>
      </c>
      <c r="DL197" s="43" t="str">
        <f aca="false">IF(Tasks[[#This Row],[_Res1Text]]="","",TRIM(MID(SUBSTITUTE(Tasks[[#This Row],[_Resources]],",",REPT(" ",99)),100,99)))</f>
        <v/>
      </c>
      <c r="DM197" s="43" t="str">
        <f aca="false">IF(Tasks[[#This Row],[_Res2Text]]="","",TRIM(MID(SUBSTITUTE(Tasks[[#This Row],[_Resources]],",",REPT(" ",99)),199,99)))</f>
        <v/>
      </c>
      <c r="DN197" s="43" t="str">
        <f aca="false">IF(Tasks[[#This Row],[_Res3Text]]="","",TRIM(MID(SUBSTITUTE(Tasks[[#This Row],[_Resources]],",",REPT(" ",99)),298,99)))</f>
        <v/>
      </c>
      <c r="DO197" s="43" t="n">
        <f aca="false">IF(Tasks[[#This Row],[_Res1Text]]="",0,IFERROR(MATCH(TRIM(LEFT(Tasks[[#This Row],[_Res1Text]],FIND("[",Tasks[[#This Row],[_Res1Text]]&amp;"[")-1)),res_Name,0),IFERROR(MATCH(TRIM(LEFT(Tasks[[#This Row],[_Res1Text]],FIND("[",Tasks[[#This Row],[_Res1Text]]&amp;"[")-1)),res_Initials,0),0)))</f>
        <v>0</v>
      </c>
      <c r="DP197" s="43" t="n">
        <f aca="false">IF(Tasks[[#This Row],[_Res2Text]]="",0,IFERROR(MATCH(TRIM(LEFT(Tasks[[#This Row],[_Res2Text]],FIND("[",Tasks[[#This Row],[_Res2Text]]&amp;"[")-1)),res_Name,0),IFERROR(MATCH(TRIM(LEFT(Tasks[[#This Row],[_Res2Text]],FIND("[",Tasks[[#This Row],[_Res2Text]]&amp;"[")-1)),res_Initials,0),0)))</f>
        <v>0</v>
      </c>
      <c r="DQ197" s="43" t="n">
        <f aca="false">IF(Tasks[[#This Row],[_Res3Text]]="",0,IFERROR(MATCH(TRIM(LEFT(Tasks[[#This Row],[_Res3Text]],FIND("[",Tasks[[#This Row],[_Res3Text]]&amp;"[")-1)),res_Name,0),IFERROR(MATCH(TRIM(LEFT(Tasks[[#This Row],[_Res3Text]],FIND("[",Tasks[[#This Row],[_Res3Text]]&amp;"[")-1)),res_Initials,0),0)))</f>
        <v>0</v>
      </c>
      <c r="DR197" s="43" t="n">
        <f aca="false">IF(Tasks[[#This Row],[_Res4Text]]="",0,IFERROR(MATCH(TRIM(LEFT(Tasks[[#This Row],[_Res4Text]],FIND("[",Tasks[[#This Row],[_Res4Text]]&amp;"[")-1)),res_Name,0),IFERROR(MATCH(TRIM(LEFT(Tasks[[#This Row],[_Res4Text]],FIND("[",Tasks[[#This Row],[_Res4Text]]&amp;"[")-1)),res_Initials,0),0)))</f>
        <v>0</v>
      </c>
      <c r="DS197" s="43" t="str">
        <f aca="false">IF(Tasks[[#This Row],[_Res1Text]]="","",IF(Tasks[[#This Row],[_Res1Row]]&gt;0,INDEX(res_Name,Tasks[[#This Row],[_Res1Row]]),TRIM(LEFT(Tasks[[#This Row],[_Res1Text]],FIND("[",Tasks[[#This Row],[_Res1Text]]&amp;"[")-1))))</f>
        <v/>
      </c>
      <c r="DT19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7" s="43" t="n">
        <f aca="false">IF(NOT(Tasks[[#This Row],[_IsLeaf]]=1),0,(Tasks[[#This Row],[_Resource1]]&lt;&gt;"")+(Tasks[[#This Row],[_Res2]]&lt;&gt;"")+(Tasks[[#This Row],[_Res3]]&lt;&gt;"")+(Tasks[[#This Row],[_Res4]]&lt;&gt;""))</f>
        <v>0</v>
      </c>
      <c r="DV197" s="43" t="str">
        <f aca="false">IF(Tasks[[#This Row],[_Res2Text]]="","",IF(Tasks[[#This Row],[_Res2Row]]&gt;0,INDEX(res_Name,Tasks[[#This Row],[_Res2Row]]),TRIM(LEFT(Tasks[[#This Row],[_Res2Text]],FIND("[",Tasks[[#This Row],[_Res2Text]]&amp;"[")-1))))</f>
        <v/>
      </c>
      <c r="DW19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7" s="43" t="n">
        <f aca="false">IF(OR(NOT(Tasks[[#This Row],[_IsLeaf]]=1),Tasks[[#This Row],[_Res2Row]]=0),0,N(Tasks[[#This Row],[_Days]])*HoursPerDay*IF(Tasks[[#This Row],[_Res2Units]]="",DefaultUnits,Tasks[[#This Row],[_Res2Units]]))</f>
        <v>0</v>
      </c>
      <c r="DY197" s="43" t="n">
        <f aca="false">IF(AND(AND(Tasks[[#This Row],[_IsLeaf]]=1,Tasks[[#This Row],[_LeafTotalWork]]&gt;0),Tasks[[#This Row],[_Res2Work]]&gt;0),Tasks[[#This Row],[_Res2Work]]/(Tasks[[#This Row],[_FinishWorkday]]-Tasks[[#This Row],[_StartWorkday]]+1),0)</f>
        <v>0</v>
      </c>
      <c r="DZ197" s="43" t="n">
        <f aca="false">Tasks[[#This Row],[_Res2WorkPerWD]]*MAX(0,Tasks[[#This Row],[_StartWorkday]]-1)</f>
        <v>0</v>
      </c>
      <c r="EA197" s="43" t="n">
        <f aca="false">Tasks[[#This Row],[_Res2Work]]*Tasks[[#This Row],[_LeafProgress]]</f>
        <v>0</v>
      </c>
      <c r="EB197" s="43" t="str">
        <f aca="false">IF(Tasks[[#This Row],[_Res3Text]]="","",IF(Tasks[[#This Row],[_Res3Row]]&gt;0,INDEX(res_Name,Tasks[[#This Row],[_Res3Row]]),TRIM(LEFT(Tasks[[#This Row],[_Res3Text]],FIND("[",Tasks[[#This Row],[_Res3Text]]&amp;"[")-1))))</f>
        <v/>
      </c>
      <c r="EC19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7" s="43" t="n">
        <f aca="false">IF(OR(NOT(Tasks[[#This Row],[_IsLeaf]]=1),Tasks[[#This Row],[_Res3Row]]=0),0,N(Tasks[[#This Row],[_Days]])*HoursPerDay*IF(Tasks[[#This Row],[_Res3Units]]="",DefaultUnits,Tasks[[#This Row],[_Res3Units]]))</f>
        <v>0</v>
      </c>
      <c r="EE197" s="43" t="n">
        <f aca="false">IF(AND(AND(Tasks[[#This Row],[_IsLeaf]]=1,Tasks[[#This Row],[_LeafTotalWork]]&gt;0),Tasks[[#This Row],[_Res3Work]]&gt;0),Tasks[[#This Row],[_Res3Work]]/(Tasks[[#This Row],[_FinishWorkday]]-Tasks[[#This Row],[_StartWorkday]]+1),0)</f>
        <v>0</v>
      </c>
      <c r="EF197" s="43" t="n">
        <f aca="false">Tasks[[#This Row],[_Res3WorkPerWD]]*MAX(0,Tasks[[#This Row],[_StartWorkday]]-1)</f>
        <v>0</v>
      </c>
      <c r="EG197" s="43" t="n">
        <f aca="false">Tasks[[#This Row],[_Res3Work]]*Tasks[[#This Row],[_LeafProgress]]</f>
        <v>0</v>
      </c>
      <c r="EH197" s="43" t="str">
        <f aca="false">IF(Tasks[[#This Row],[_Res4Text]]="","",IF(Tasks[[#This Row],[_Res4Row]]&gt;0,INDEX(res_Name,Tasks[[#This Row],[_Res4Row]]),TRIM(LEFT(Tasks[[#This Row],[_Res4Text]],FIND("[",Tasks[[#This Row],[_Res4Text]]&amp;"[")-1))))</f>
        <v/>
      </c>
      <c r="EI19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7" s="43" t="n">
        <f aca="false">IF(OR(NOT(Tasks[[#This Row],[_IsLeaf]]=1),Tasks[[#This Row],[_Res4Row]]=0),0,N(Tasks[[#This Row],[_Days]])*HoursPerDay*IF(Tasks[[#This Row],[_Res4Units]]="",DefaultUnits,Tasks[[#This Row],[_Res4Units]]))</f>
        <v>0</v>
      </c>
      <c r="EK197" s="43" t="n">
        <f aca="false">IF(AND(AND(Tasks[[#This Row],[_IsLeaf]]=1,Tasks[[#This Row],[_LeafTotalWork]]&gt;0),Tasks[[#This Row],[_Res4Work]]&gt;0),Tasks[[#This Row],[_Res4Work]]/(Tasks[[#This Row],[_FinishWorkday]]-Tasks[[#This Row],[_StartWorkday]]+1),0)</f>
        <v>0</v>
      </c>
      <c r="EL197" s="43" t="n">
        <f aca="false">Tasks[[#This Row],[_Res4WorkPerWD]]*MAX(0,Tasks[[#This Row],[_StartWorkday]]-1)</f>
        <v>0</v>
      </c>
      <c r="EM197" s="43" t="n">
        <f aca="false">Tasks[[#This Row],[_Res4Work]]*Tasks[[#This Row],[_LeafProgress]]</f>
        <v>0</v>
      </c>
      <c r="EN197" s="43" t="n">
        <f aca="false">IF(ISNUMBER(Tasks[[#This Row],[% Complete]]),Tasks[[#This Row],[% Complete]],IF(Tasks[[#This Row],[Stage]]="",0,IFERROR(INDEX(stg_Pct,MATCH(Tasks[[#This Row],[Stage]],stg_Name,0)),0)))</f>
        <v>0</v>
      </c>
      <c r="EO197" s="43" t="n">
        <f aca="false">IF(NOT(Tasks[[#This Row],[_IsLeaf]]=1),0,IF(N(Tasks[[#This Row],[Actual Finish]])&gt;0,1,MIN(1,Tasks[[#This Row],[_Pct]])))</f>
        <v>0</v>
      </c>
      <c r="EP197" s="43" t="n">
        <f aca="false">IF(OR(NOT(Tasks[[#This Row],[_IsLeaf]]=1),Tasks[[#This Row],[_Res1Row]]=0),0,N(Tasks[[#This Row],[_Days]])*HoursPerDay*IF(Tasks[[#This Row],[_Units1]]="",DefaultUnits,Tasks[[#This Row],[_Units1]]))</f>
        <v>0</v>
      </c>
      <c r="EQ197" s="43" t="n">
        <f aca="false">Tasks[[#This Row],[_LeafWork]]+Tasks[[#This Row],[_Res2Work]]+Tasks[[#This Row],[_Res3Work]]+Tasks[[#This Row],[_Res4Work]]</f>
        <v>0</v>
      </c>
      <c r="ER19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7" s="43" t="n">
        <f aca="false">IF(NOT(Tasks[[#This Row],[_IsLeaf]]=1),0,MAX(_xlfn.MAXIFS(Tasks[_Row],Tasks[_Pred1UID],Tasks[[#This Row],[UID]]),_xlfn.MAXIFS(Tasks[_Row],Tasks[_Pred2UID],Tasks[[#This Row],[UID]]),_xlfn.MAXIFS(Tasks[_Row],Tasks[_Pred3UID],Tasks[[#This Row],[UID]]),_xlfn.MAXIFS(Tasks[_Row],Tasks[_Pred4UID],Tasks[[#This Row],[UID]])))</f>
        <v>0</v>
      </c>
      <c r="FA19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7" s="91" t="str">
        <f aca="false">IF(NOT(Tasks[[#This Row],[_IsLeaf]]=1),"",IF(N(Tasks[[#This Row],[_Days]])&lt;=0,Tasks[[#This Row],[_LeafLateFinish]],WORKDAY.INTL(Tasks[[#This Row],[_LeafLateFinish]],-(Tasks[[#This Row],[_Days]]-1),WorkWeek,Holidays)))</f>
        <v/>
      </c>
      <c r="FD19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7" s="90" t="b">
        <f aca="false">AND(Tasks[[#This Row],[_IsLeaf]]=1,Tasks[[#This Row],[_LeafProgress]]&lt;1,N(Tasks[[#This Row],[_LeafTotalSlack]])&lt;=CriticalSlackDays)</f>
        <v>0</v>
      </c>
      <c r="FF197" s="43" t="n">
        <f aca="false">IF(AND(Tasks[[#This Row],[_IsLeaf]]=1,Tasks[[#This Row],[_ConstraintCode]]=1,Tasks[[#This Row],[Mode]]&lt;&gt;"Manual",N(Tasks[[#This Row],[Actual Start]])=0),MAX(0,N(Tasks[[#This Row],[Free Slack]])),0)</f>
        <v>0</v>
      </c>
      <c r="FG197" s="91" t="str">
        <f aca="false">IF(NOT(Tasks[[#This Row],[_IsLeaf]]=1),"",IF(Tasks[[#This Row],[_AlapShift]]=0,Tasks[[#This Row],[_LeafCalcStart]],WORKDAY.INTL(Tasks[[#This Row],[_LeafCalcStart]],Tasks[[#This Row],[_AlapShift]],WorkWeek,Holidays)))</f>
        <v/>
      </c>
      <c r="FH197" s="91" t="str">
        <f aca="false">IF(NOT(Tasks[[#This Row],[_IsLeaf]]=1),"",IF(Tasks[[#This Row],[_AlapShift]]=0,Tasks[[#This Row],[_LeafCalcFinish]],WORKDAY.INTL(Tasks[[#This Row],[_LeafCalcFinish]],Tasks[[#This Row],[_AlapShift]],WorkWeek,Holidays)))</f>
        <v/>
      </c>
      <c r="FI197" s="91" t="str">
        <f aca="false">IF(NOT(Tasks[[#This Row],[_IsLeaf]]=1),"",IF(Tasks[[#This Row],[_AlapShift]]=0,Tasks[[#This Row],[_LeafFcstStart]],WORKDAY.INTL(Tasks[[#This Row],[_LeafFcstStart]],Tasks[[#This Row],[_AlapShift]],WorkWeek,Holidays)))</f>
        <v/>
      </c>
      <c r="FJ197" s="91" t="str">
        <f aca="false">IF(NOT(Tasks[[#This Row],[_IsLeaf]]=1),"",IF(Tasks[[#This Row],[_AlapShift]]=0,Tasks[[#This Row],[_LeafFcstFinish]],WORKDAY.INTL(Tasks[[#This Row],[_LeafFcstFinish]],Tasks[[#This Row],[_AlapShift]],WorkWeek,Holidays)))</f>
        <v/>
      </c>
      <c r="FK197" s="91" t="str">
        <f aca="false">IF(Tasks[[#This Row],[Task Name]]="","",IF(Tasks[[#This Row],[_IsSummary]],MIN(INDEX(Tasks[_ShownCalcStart],Tasks[[#This Row],[_Row]]+1):INDEX(Tasks[_ShownCalcStart],Tasks[[#This Row],[_Row]]+Tasks[[#This Row],[_Descendants]])),Tasks[[#This Row],[_ShownCalcStart]]))</f>
        <v/>
      </c>
      <c r="FL197" s="91" t="str">
        <f aca="false">IF(Tasks[[#This Row],[Task Name]]="","",IF(Tasks[[#This Row],[_IsSummary]],MAX(INDEX(Tasks[_ShownCalcFinish],Tasks[[#This Row],[_Row]]+1):INDEX(Tasks[_ShownCalcFinish],Tasks[[#This Row],[_Row]]+Tasks[[#This Row],[_Descendants]])),Tasks[[#This Row],[_ShownCalcFinish]]))</f>
        <v/>
      </c>
      <c r="FM19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7" s="43" t="n">
        <f aca="false">IF(AND(Tasks[[#This Row],[_IsLeaf]]=1,Tasks[[#This Row],[_LeafTotalWork]]&gt;0),NETWORKDAYS.INTL(ProjectStart,Tasks[[#This Row],[_ShownFcstStart]],WorkWeek,Holidays),0)</f>
        <v>0</v>
      </c>
      <c r="FZ197" s="43" t="n">
        <f aca="false">IF(AND(Tasks[[#This Row],[_IsLeaf]]=1,Tasks[[#This Row],[_LeafTotalWork]]&gt;0),MAX(Tasks[[#This Row],[_StartWorkday]],NETWORKDAYS.INTL(ProjectStart,Tasks[[#This Row],[_ShownFcstFinish]],WorkWeek,Holidays)),0)</f>
        <v>0</v>
      </c>
      <c r="GA197" s="43" t="n">
        <f aca="false">IF(AND(Tasks[[#This Row],[_IsLeaf]]=1,Tasks[[#This Row],[_LeafTotalWork]]&gt;0),Tasks[[#This Row],[_LeafWork]]/(Tasks[[#This Row],[_FinishWorkday]]-Tasks[[#This Row],[_StartWorkday]]+1),0)</f>
        <v>0</v>
      </c>
      <c r="GB197" s="43" t="n">
        <f aca="false">Tasks[[#This Row],[_WorkPerWorkday]]*(Tasks[[#This Row],[_StartWorkday]]-1)</f>
        <v>-0</v>
      </c>
      <c r="GC197" s="43" t="n">
        <f aca="false">IF(Tasks[[#This Row],[_IsLeaf]]=1,MAX(N(Tasks[[#This Row],[_Days]]),0.1),0)</f>
        <v>0</v>
      </c>
      <c r="GD197" s="43" t="n">
        <f aca="false">Tasks[[#This Row],[_WeightDur]]*Tasks[[#This Row],[_LeafProgress]]</f>
        <v>0</v>
      </c>
      <c r="GE197" s="43" t="n">
        <f aca="false">Tasks[[#This Row],[_WeightDur]]*Tasks[[#This Row],[_PlannedPct]]</f>
        <v>0</v>
      </c>
      <c r="GF19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7" s="43" t="str">
        <f aca="false">IF(AND(Tasks[[#This Row],[_IsLeaf]]=1,N(Tasks[[#This Row],[_Days]])=0,Tasks[[#This Row],[_LeafProgress]]&lt;1),Tasks[[#This Row],[_ShownFcstFinish]]+Tasks[[#This Row],[_Row]]/100000,"")</f>
        <v/>
      </c>
      <c r="GH19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7" s="43" t="str">
        <f aca="false">IF(Tasks[[#This Row],[Task Name]]="","",LEFT(Tasks[[#This Row],[WBS]],FIND(".",Tasks[[#This Row],[WBS]]&amp;".")-1))</f>
        <v/>
      </c>
      <c r="GJ197" s="43" t="str">
        <f aca="false">IF(AND(Tasks[[#This Row],[Task Name]]&lt;&gt;"",Tasks[[#This Row],[_Level]]=1),Tasks[[#This Row],[_Row]],"")</f>
        <v/>
      </c>
      <c r="GK197" s="43" t="str">
        <f aca="false">IF(AND(Tasks[[#This Row],[_IsLeaf]]=1,N(Tasks[[#This Row],[_Days]])=0),Tasks[[#This Row],[Planned Finish]]+Tasks[[#This Row],[_Row]]/100000,"")</f>
        <v/>
      </c>
      <c r="GL197" s="43" t="str">
        <f aca="false">IF(AND(Tasks[[#This Row],[_IsLeaf]]=1,Tasks[[#This Row],[_LeafProgress]]&lt;1,OR(N(Tasks[[#This Row],[Finish Var]])&gt;0,Tasks[[#This Row],[Status]]="Late Start")),MAX(0,Tasks[[#This Row],[Finish Var]])+1-Tasks[[#This Row],[_Row]]/1000000,"")</f>
        <v/>
      </c>
      <c r="GM197" s="43" t="str">
        <f aca="false">IF(AND(Tasks[[#This Row],[_IsLeaf]]=1,N(Tasks[[#This Row],[Actual Start]])=0,Tasks[[#This Row],[_ShownFcstStart]]&gt;=StatusDate,Tasks[[#This Row],[_ShownFcstStart]]&lt;=LookaheadEnd),Tasks[[#This Row],[_ShownFcstStart]]+Tasks[[#This Row],[_Row]]/100000,"")</f>
        <v/>
      </c>
      <c r="GN197" s="43" t="str">
        <f aca="false">IF(AND(Tasks[[#This Row],[_IsLeaf]]=1,Tasks[[#This Row],[_LeafProgress]]&lt;1,Tasks[[#This Row],[_ShownFcstFinish]]&gt;=StatusDate,Tasks[[#This Row],[_ShownFcstFinish]]&lt;=LookaheadEnd),Tasks[[#This Row],[_ShownFcstFinish]]+Tasks[[#This Row],[_Row]]/100000,"")</f>
        <v/>
      </c>
      <c r="GO197" s="43" t="str">
        <f aca="false">IF(Tasks[[#This Row],[_LeafCritical]],Tasks[[#This Row],[_ShownFcstStart]]+Tasks[[#This Row],[_Row]]/100000,"")</f>
        <v/>
      </c>
      <c r="GP197" s="43" t="n">
        <f aca="false">Tasks[[#This Row],[_LeafWork]]*Tasks[[#This Row],[_LeafProgress]]</f>
        <v>0</v>
      </c>
      <c r="GQ197" s="91" t="str">
        <f aca="false">IF(AND(Tasks[[#This Row],[_IsLeaf]]=1,Tasks[[#This Row],[_LeafProgress]]&gt;=1),IF(N(Tasks[[#This Row],[Actual Finish]])&gt;0,Tasks[[#This Row],[Actual Finish]],Tasks[[#This Row],[_ShownFcstFinish]]),"")</f>
        <v/>
      </c>
      <c r="GR197" s="43" t="n">
        <f aca="false">IF(Tasks[[#This Row],[_IsLeaf]]=1,N(Tasks[[#This Row],[Story Points]]),0)</f>
        <v>0</v>
      </c>
      <c r="GS197" s="43" t="str">
        <f aca="false">""</f>
        <v/>
      </c>
      <c r="GT197" s="90" t="b">
        <f aca="false">IF(Tasks[[#This Row],[Task Name]]="",FALSE(),AND(Tasks[[#This Row],[_IsLeaf]]=1,N(Tasks[[#This Row],[_Days]])=0))</f>
        <v>0</v>
      </c>
      <c r="GU197" s="91" t="n">
        <f aca="false">IF(Tasks[[#This Row],[Task Name]]="",0,IF(AND(Tasks[[#This Row],[_IsLeaf]]=1,NOT(Tasks[[#This Row],[_IsMilestone]]),N(Tasks[[#This Row],[Progress]])&gt;0),Tasks[[#This Row],[Start]],0))</f>
        <v>0</v>
      </c>
      <c r="GV197" s="91" t="n">
        <f aca="false">IF(Tasks[[#This Row],[_DoneFrom]]=0,0,IF(Tasks[[#This Row],[Progress]]&gt;=1,Tasks[[#This Row],[Finish]],MAX(Tasks[[#This Row],[_DoneFrom]],Tasks[[#This Row],[Start]]+ROUND((Tasks[[#This Row],[Finish]]-Tasks[[#This Row],[Start]]+1)*Tasks[[#This Row],[Progress]],0)-1)))</f>
        <v>0</v>
      </c>
      <c r="GW197" s="91" t="n">
        <f aca="false">IF(Tasks[[#This Row],[Task Name]]="",0,IF(OR(NOT(Tasks[[#This Row],[_IsLeaf]]=1),Tasks[[#This Row],[_IsMilestone]],N(Tasks[[#This Row],[Progress]])&gt;=1),0,IF(Tasks[[#This Row],[_DoneTo]]&gt;0,Tasks[[#This Row],[_DoneTo]]+1,Tasks[[#This Row],[Start]])))</f>
        <v>0</v>
      </c>
      <c r="GX197" s="91" t="n">
        <f aca="false">IF(Tasks[[#This Row],[_RemFrom]]=0,0,Tasks[[#This Row],[Finish]])</f>
        <v>0</v>
      </c>
      <c r="GY197" s="90" t="b">
        <f aca="false">IF(Tasks[[#This Row],[Task Name]]="",FALSE(),OR(NOT(BaselineSet),N(Tasks[[#This Row],[Baseline Start]])&gt;0))</f>
        <v>0</v>
      </c>
      <c r="GZ19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7" s="92" t="str">
        <f aca="false">IF(Tasks[[#This Row],[_IsLeaf]]=1,Tasks[[#This Row],[_Row]],"")</f>
        <v/>
      </c>
      <c r="HD197" s="92" t="str">
        <f aca="false">IFERROR(INDEX(Tasks[UID],SMALL(Tasks[_PickKey],Tasks[[#This Row],[_Row]]))&amp;" "&amp;INDEX(Tasks[Task Name],SMALL(Tasks[_PickKey],Tasks[[#This Row],[_Row]])),"")</f>
        <v/>
      </c>
      <c r="HE197" s="43" t="str">
        <f aca="false">IF(Tasks[[#This Row],[Task Name]]="","",IF(Tasks[[#This Row],[_IsSummary]],NETWORKDAYS.INTL(Tasks[[#This Row],[Start]],Tasks[[#This Row],[Finish]],WorkWeek,Holidays),N(Tasks[[#This Row],[_Days]])))</f>
        <v/>
      </c>
      <c r="HF197" s="43" t="n">
        <f aca="false">IF(Tasks[[#This Row],[Expected]]="",0,((Tasks[[#This Row],[Pessimistic]]-Tasks[[#This Row],[Optimistic]])/6)^2)</f>
        <v>0</v>
      </c>
      <c r="HG197" s="43" t="n">
        <f aca="false">IF(Tasks[[#This Row],[Expected]]="",0,Tasks[[#This Row],[Expected]]-N(Tasks[[#This Row],[_Days]]))</f>
        <v>0</v>
      </c>
    </row>
    <row r="198" customFormat="false" ht="15" hidden="false" customHeight="false" outlineLevel="0" collapsed="false">
      <c r="A198" s="21" t="str">
        <f aca="false">IF(Tasks[[#This Row],[Task Name]]="","",COUNTA(Tasks[[#Headers],[Task Name]]:Tasks[[#This Row],[Task Name]])-1)</f>
        <v/>
      </c>
      <c r="B198" s="22" t="n">
        <v>206</v>
      </c>
      <c r="C198" s="22"/>
      <c r="D198" s="23"/>
      <c r="E198" s="22"/>
      <c r="F198" s="23"/>
      <c r="G198" s="22"/>
      <c r="H198" s="22"/>
      <c r="I198" s="23"/>
      <c r="J198" s="22"/>
      <c r="K198" s="22"/>
      <c r="L198" s="23"/>
      <c r="M198" s="22"/>
      <c r="N198" s="22"/>
      <c r="O198" s="23"/>
      <c r="P198" s="22"/>
      <c r="Q198" s="22"/>
      <c r="R198" s="23"/>
      <c r="S198" s="23"/>
      <c r="T198" s="84"/>
      <c r="U198" s="23"/>
      <c r="V198" s="84"/>
      <c r="W198" s="23"/>
      <c r="X198" s="84"/>
      <c r="Y198" s="23"/>
      <c r="Z198" s="84"/>
      <c r="AA198" s="23"/>
      <c r="AB198" s="23"/>
      <c r="AC198" s="7"/>
      <c r="AD198" s="7"/>
      <c r="AE198" s="63" t="str">
        <f aca="false">IF(Tasks[[#This Row],[Task Name]]="","",IF(Tasks[[#This Row],[_IsSummary]],MIN(INDEX(Tasks[_ShownFcstStart],Tasks[[#This Row],[_Row]]+1):INDEX(Tasks[_ShownFcstStart],Tasks[[#This Row],[_Row]]+Tasks[[#This Row],[_Descendants]])),Tasks[[#This Row],[_ShownFcstStart]]))</f>
        <v/>
      </c>
      <c r="AF198" s="63" t="str">
        <f aca="false">IF(Tasks[[#This Row],[Task Name]]="","",IF(Tasks[[#This Row],[_IsSummary]],MAX(INDEX(Tasks[_ShownFcstFinish],Tasks[[#This Row],[_Row]]+1):INDEX(Tasks[_ShownFcstFinish],Tasks[[#This Row],[_Row]]+Tasks[[#This Row],[_Descendants]])),Tasks[[#This Row],[_ShownFcstFinish]]))</f>
        <v/>
      </c>
      <c r="AG198" s="21" t="str">
        <f aca="false">""</f>
        <v/>
      </c>
      <c r="AH198" s="23"/>
      <c r="AI1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8" s="7"/>
      <c r="AK198" s="22"/>
      <c r="AL198" s="23"/>
      <c r="AM198" s="7"/>
      <c r="AN198" s="47" t="str">
        <f aca="false">IF(Tasks[[#This Row],[Task Name]]="","",IF(Tasks[[#This Row],[Finish]]&gt;=Tasks[[#This Row],[Planned Finish]],NETWORKDAYS.INTL(Tasks[[#This Row],[Planned Finish]],Tasks[[#This Row],[Finish]],WorkWeek,Holidays)-1,1-NETWORKDAYS.INTL(Tasks[[#This Row],[Finish]],Tasks[[#This Row],[Planned Finish]],WorkWeek,Holidays)))</f>
        <v/>
      </c>
      <c r="AO198" s="21" t="str">
        <f aca="false">IF(Tasks[[#This Row],[Task Name]]="","",IF(Tasks[[#This Row],[Progress]]&gt;=1,"Complete",IF(OR(N(Tasks[[#This Row],[Actual Start]])&gt;0,Tasks[[#This Row],[Progress]]&gt;0),IF(Tasks[[#This Row],[Finish Var]]&gt;0,"Behind","In Progress"),IF(Tasks[[#This Row],[Planned Start]]&lt;StatusDate,"Late Start","Not Started"))))</f>
        <v/>
      </c>
      <c r="AP198" s="21" t="str">
        <f aca="false">IF(Tasks[[#This Row],[Task Name]]="","",IF(IF(Tasks[[#This Row],[_IsSummary]],COUNTIF(INDEX(Tasks[_LeafCritical],Tasks[[#This Row],[_Row]]+1):INDEX(Tasks[_LeafCritical],Tasks[[#This Row],[_Row]]+Tasks[[#This Row],[_Descendants]]),TRUE())&gt;0,Tasks[[#This Row],[_LeafCritical]]),"Yes",""))</f>
        <v/>
      </c>
      <c r="AQ198" s="63" t="str">
        <f aca="false">IF(Tasks[[#This Row],[Task Name]]="","",IF(N(Tasks[[#This Row],[Baseline Start]])&gt;0,Tasks[[#This Row],[Baseline Start]],Tasks[[#This Row],[_CalcStart]]))</f>
        <v/>
      </c>
      <c r="AR198" s="63" t="str">
        <f aca="false">IF(Tasks[[#This Row],[Task Name]]="","",IF(N(Tasks[[#This Row],[Baseline Finish]])&gt;0,Tasks[[#This Row],[Baseline Finish]],Tasks[[#This Row],[_CalcFinish]]))</f>
        <v/>
      </c>
      <c r="AS198" s="47" t="str">
        <f aca="false">IF(Tasks[[#This Row],[Task Name]]="","",IF(Tasks[[#This Row],[Start]]&gt;=Tasks[[#This Row],[Planned Start]],NETWORKDAYS.INTL(Tasks[[#This Row],[Planned Start]],Tasks[[#This Row],[Start]],WorkWeek,Holidays)-1,1-NETWORKDAYS.INTL(Tasks[[#This Row],[Start]],Tasks[[#This Row],[Planned Start]],WorkWeek,Holidays)))</f>
        <v/>
      </c>
      <c r="AT198" s="63" t="str">
        <f aca="false">IF(Tasks[[#This Row],[Task Name]]="","",IF(Tasks[[#This Row],[_IsSummary]],MIN(INDEX(Tasks[_LeafLateStart],Tasks[[#This Row],[_Row]]+1):INDEX(Tasks[_LeafLateStart],Tasks[[#This Row],[_Row]]+Tasks[[#This Row],[_Descendants]])),Tasks[[#This Row],[_LeafLateStart]]))</f>
        <v/>
      </c>
      <c r="AU198" s="63" t="str">
        <f aca="false">IF(Tasks[[#This Row],[Task Name]]="","",IF(Tasks[[#This Row],[_IsSummary]],MAX(INDEX(Tasks[_LeafLateFinish],Tasks[[#This Row],[_Row]]+1):INDEX(Tasks[_LeafLateFinish],Tasks[[#This Row],[_Row]]+Tasks[[#This Row],[_Descendants]])),Tasks[[#This Row],[_LeafLateFinish]]))</f>
        <v/>
      </c>
      <c r="AV198" s="47" t="str">
        <f aca="false">IF(Tasks[[#This Row],[Task Name]]="","",IF(Tasks[[#This Row],[_IsSummary]],MIN(INDEX(Tasks[_LeafTotalSlack],Tasks[[#This Row],[_Row]]+1):INDEX(Tasks[_LeafTotalSlack],Tasks[[#This Row],[_Row]]+Tasks[[#This Row],[_Descendants]])),Tasks[[#This Row],[_LeafTotalSlack]]))</f>
        <v/>
      </c>
      <c r="AW1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5"/>
      <c r="BA19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1" t="str">
        <f aca="false">IF(Tasks[[#This Row],[Task Name]]="","",IF(Tasks[[#This Row],[_Level]]&lt;=OutlineShowLevel,"Yes","No"))</f>
        <v/>
      </c>
      <c r="BE198" s="86" t="str">
        <f aca="false">IF(Tasks[[#This Row],[Task Name]]="","",IF(Tasks[[#This Row],[_IsSummary]],SUM(INDEX(Tasks[_LeafTotalWork],Tasks[[#This Row],[_Row]]+1):INDEX(Tasks[_LeafTotalWork],Tasks[[#This Row],[_Row]]+Tasks[[#This Row],[_Descendants]])),Tasks[[#This Row],[_LeafTotalWork]]))</f>
        <v/>
      </c>
      <c r="BF198" s="23"/>
      <c r="BG1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8" s="21" t="str">
        <f aca="false">""</f>
        <v/>
      </c>
      <c r="BI198" s="87"/>
      <c r="BJ198" s="22"/>
      <c r="BK198" s="47" t="str">
        <f aca="false">IF(OR(Tasks[[#This Row],[Task Name]]="",Tasks[[#This Row],[Baseline Duration]]=""),"",Tasks[[#This Row],[_SpanDays]]-N(Tasks[[#This Row],[Baseline Duration]]))</f>
        <v/>
      </c>
      <c r="BL198" s="86" t="str">
        <f aca="false">IF(OR(Tasks[[#This Row],[Task Name]]="",Tasks[[#This Row],[Baseline Work]]=""),"",Tasks[[#This Row],[Work]]-N(Tasks[[#This Row],[Baseline Work]]))</f>
        <v/>
      </c>
      <c r="BM198" s="63" t="str">
        <f aca="false">IF(Tasks[[#This Row],[Task Name]]="","",IF(OR(TakeBaseline="Yes",N(Tasks[[#This Row],[Baseline Start]])=0),Tasks[[#This Row],[Start]],Tasks[[#This Row],[Baseline Start]]))</f>
        <v/>
      </c>
      <c r="BN198" s="63" t="str">
        <f aca="false">IF(Tasks[[#This Row],[Task Name]]="","",IF(OR(TakeBaseline="Yes",N(Tasks[[#This Row],[Baseline Finish]])=0),Tasks[[#This Row],[Finish]],Tasks[[#This Row],[Baseline Finish]]))</f>
        <v/>
      </c>
      <c r="BO198" s="21" t="str">
        <f aca="false">IF(Tasks[[#This Row],[Task Name]]="","",IF(OR(TakeBaseline="Yes",N(Tasks[[#This Row],[Baseline Duration]])=0),Tasks[[#This Row],[_SpanDays]],Tasks[[#This Row],[Baseline Duration]]))</f>
        <v/>
      </c>
      <c r="BP198" s="86" t="str">
        <f aca="false">IF(Tasks[[#This Row],[Task Name]]="","",IF(OR(TakeBaseline="Yes",N(Tasks[[#This Row],[Baseline Work]])=0),Tasks[[#This Row],[Work]],Tasks[[#This Row],[Baseline Work]]))</f>
        <v/>
      </c>
      <c r="BQ198" s="7"/>
      <c r="BR198" s="7"/>
      <c r="BS198" s="22"/>
      <c r="BT198" s="88"/>
      <c r="BU198" s="23"/>
      <c r="BV198" s="23"/>
      <c r="BW198" s="23"/>
      <c r="BX198" s="89" t="str">
        <f aca="false">IF(AND(Tasks[[#This Row],[_IsLeaf]]=1,ISNUMBER(Tasks[[#This Row],[Optimistic]]),ISNUMBER(Tasks[[#This Row],[Pessimistic]])),ROUND((Tasks[[#This Row],[Optimistic]]+4*N(Tasks[[#This Row],[_Days]])+Tasks[[#This Row],[Pessimistic]])/6,1),"")</f>
        <v/>
      </c>
      <c r="BY198" s="87"/>
      <c r="BZ198" s="87"/>
      <c r="CA198" s="22"/>
      <c r="CB198" s="43" t="str">
        <f aca="false">IF(Tasks[[#This Row],[Task Name]]="","",MAX(1,N(Tasks[[#This Row],[Level]])))</f>
        <v/>
      </c>
      <c r="CC198" s="43" t="n">
        <f aca="false">ROW()-ROW(Tasks[[#Headers],[ID]])</f>
        <v>193</v>
      </c>
      <c r="CD198" s="43" t="n">
        <f aca="false">IF(OR(Tasks[[#This Row],[Task Name]]="",Tasks[[#This Row],[_Level]]&lt;=1),0,IFERROR(LOOKUP(2,1/(Tasks[[#Headers],[_Level]]:Tasks[[#This Row],[_Level]]=Tasks[[#This Row],[_Level]]-1),ROW(Tasks[[#Headers],[_Level]]:Tasks[[#This Row],[_Level]])),0))</f>
        <v>0</v>
      </c>
      <c r="CE198" s="43" t="n">
        <f aca="false">IFERROR(N(INDEX(Tasks[_Level],Tasks[[#This Row],[_Row]]+1)),0)</f>
        <v>0</v>
      </c>
      <c r="CF198" s="90" t="b">
        <f aca="false">AND(Tasks[[#This Row],[Task Name]]&lt;&gt;"",Tasks[[#This Row],[_NextLevel]]&gt;Tasks[[#This Row],[_Level]])</f>
        <v>0</v>
      </c>
      <c r="CG198" s="43" t="n">
        <f aca="false">IF(Tasks[[#This Row],[_IsSummary]],COUNTIF(Tasks[WBS],Tasks[[#This Row],[WBS]]&amp;".*"),0)</f>
        <v>0</v>
      </c>
      <c r="CH198" s="43" t="n">
        <f aca="false">IF(AND(Tasks[[#This Row],[Task Name]]&lt;&gt;"",NOT(Tasks[[#This Row],[_IsSummary]])),1,0)</f>
        <v>0</v>
      </c>
      <c r="CI198" s="43" t="n">
        <f aca="false">IF(N(Tasks[[#This Row],[_Pred1UID]])=0,0,IFERROR(MATCH(Tasks[[#This Row],[_Pred1UID]],Tasks[UID],0),-1))</f>
        <v>0</v>
      </c>
      <c r="CJ198" s="43" t="n">
        <f aca="false">IF(N(Tasks[[#This Row],[_Pred2UID]])=0,0,IFERROR(MATCH(Tasks[[#This Row],[_Pred2UID]],Tasks[UID],0),-1))</f>
        <v>0</v>
      </c>
      <c r="CK198" s="43" t="n">
        <f aca="false">IF(N(Tasks[[#This Row],[_Pred3UID]])=0,0,IFERROR(MATCH(Tasks[[#This Row],[_Pred3UID]],Tasks[UID],0),-1))</f>
        <v>0</v>
      </c>
      <c r="CL198" s="43" t="n">
        <f aca="false">IF(N(Tasks[[#This Row],[_Pred4UID]])=0,0,IFERROR(MATCH(Tasks[[#This Row],[_Pred4UID]],Tasks[UID],0),-1))</f>
        <v>0</v>
      </c>
      <c r="CM19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8" s="91" t="n">
        <f aca="false">IF(OR(Tasks[[#This Row],[_ConstraintCode]]=2,Tasks[[#This Row],[_ConstraintCode]]=3,Tasks[[#This Row],[_ConstraintCode]]=4,Tasks[[#This Row],[_ConstraintCode]]=6),Tasks[[#This Row],[_ConstraintStart]],0)</f>
        <v>0</v>
      </c>
      <c r="CP198" s="91" t="n">
        <f aca="false">IF(OR(Tasks[[#This Row],[_ConstraintCode]]=2,Tasks[[#This Row],[_ConstraintCode]]=3,Tasks[[#This Row],[_ConstraintCode]]=5,Tasks[[#This Row],[_ConstraintCode]]=7),Tasks[[#This Row],[_ConstraintStart]],2958465)</f>
        <v>2958465</v>
      </c>
      <c r="CQ19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8" s="91" t="str">
        <f aca="false">IF(NOT(Tasks[[#This Row],[_IsLeaf]]=1),"",IF(N(Tasks[[#This Row],[_Days]])&lt;=0,Tasks[[#This Row],[_LeafCalcStart]],WORKDAY.INTL(Tasks[[#This Row],[_LeafCalcStart]],Tasks[[#This Row],[_Days]]-1,WorkWeek,Holidays)))</f>
        <v/>
      </c>
      <c r="CS19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8" s="43" t="str">
        <f aca="false">IF(Tasks[[#This Row],[_Predecessors]]="","",TRIM(MID(SUBSTITUTE(SUBSTITUTE(SUBSTITUTE(UPPER(Tasks[[#This Row],[_Predecessors]]),";",",")," ",""),",",REPT(" ",99)),1,99)))</f>
        <v/>
      </c>
      <c r="CV198" s="43" t="str">
        <f aca="false">IF(Tasks[[#This Row],[_Pred1Text]]="","",IFERROR(VALUE(LEFT(Tasks[[#This Row],[_Pred1Text]],MIN(FIND("F",Tasks[[#This Row],[_Pred1Text]]&amp;"F"),FIND("S",Tasks[[#This Row],[_Pred1Text]]&amp;"S"),FIND("+",Tasks[[#This Row],[_Pred1Text]]&amp;"+"),FIND("-",Tasks[[#This Row],[_Pred1Text]]&amp;"-"))-1)),""))</f>
        <v/>
      </c>
      <c r="CW19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8" s="43" t="str">
        <f aca="false">IF(Tasks[[#This Row],[_Pred1Text]]="","",TRIM(MID(SUBSTITUTE(SUBSTITUTE(SUBSTITUTE(UPPER(Tasks[[#This Row],[_Predecessors]]),";",",")," ",""),",",REPT(" ",99)),100,99)))</f>
        <v/>
      </c>
      <c r="CZ198" s="43" t="str">
        <f aca="false">IF(Tasks[[#This Row],[_Pred2Text]]="","",IFERROR(VALUE(LEFT(Tasks[[#This Row],[_Pred2Text]],MIN(FIND("F",Tasks[[#This Row],[_Pred2Text]]&amp;"F"),FIND("S",Tasks[[#This Row],[_Pred2Text]]&amp;"S"),FIND("+",Tasks[[#This Row],[_Pred2Text]]&amp;"+"),FIND("-",Tasks[[#This Row],[_Pred2Text]]&amp;"-"))-1)),""))</f>
        <v/>
      </c>
      <c r="DA19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8" s="43" t="str">
        <f aca="false">IF(Tasks[[#This Row],[_Pred2Text]]="","",TRIM(MID(SUBSTITUTE(SUBSTITUTE(SUBSTITUTE(UPPER(Tasks[[#This Row],[_Predecessors]]),";",",")," ",""),",",REPT(" ",99)),199,99)))</f>
        <v/>
      </c>
      <c r="DD198" s="43" t="str">
        <f aca="false">IF(Tasks[[#This Row],[_Pred3Text]]="","",IFERROR(VALUE(LEFT(Tasks[[#This Row],[_Pred3Text]],MIN(FIND("F",Tasks[[#This Row],[_Pred3Text]]&amp;"F"),FIND("S",Tasks[[#This Row],[_Pred3Text]]&amp;"S"),FIND("+",Tasks[[#This Row],[_Pred3Text]]&amp;"+"),FIND("-",Tasks[[#This Row],[_Pred3Text]]&amp;"-"))-1)),""))</f>
        <v/>
      </c>
      <c r="DE19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8" s="43" t="str">
        <f aca="false">IF(Tasks[[#This Row],[_Pred3Text]]="","",TRIM(MID(SUBSTITUTE(SUBSTITUTE(SUBSTITUTE(UPPER(Tasks[[#This Row],[_Predecessors]]),";",",")," ",""),",",REPT(" ",99)),298,99)))</f>
        <v/>
      </c>
      <c r="DH198" s="43" t="str">
        <f aca="false">IF(Tasks[[#This Row],[_Pred4Text]]="","",IFERROR(VALUE(LEFT(Tasks[[#This Row],[_Pred4Text]],MIN(FIND("F",Tasks[[#This Row],[_Pred4Text]]&amp;"F"),FIND("S",Tasks[[#This Row],[_Pred4Text]]&amp;"S"),FIND("+",Tasks[[#This Row],[_Pred4Text]]&amp;"+"),FIND("-",Tasks[[#This Row],[_Pred4Text]]&amp;"-"))-1)),""))</f>
        <v/>
      </c>
      <c r="DI19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8" s="43" t="str">
        <f aca="false">IF(OR(Tasks[[#This Row],[Task Name]]="",Tasks[[#This Row],[_Resources]]=""),"",TRIM(MID(SUBSTITUTE(Tasks[[#This Row],[_Resources]],",",REPT(" ",99)),1,99)))</f>
        <v/>
      </c>
      <c r="DL198" s="43" t="str">
        <f aca="false">IF(Tasks[[#This Row],[_Res1Text]]="","",TRIM(MID(SUBSTITUTE(Tasks[[#This Row],[_Resources]],",",REPT(" ",99)),100,99)))</f>
        <v/>
      </c>
      <c r="DM198" s="43" t="str">
        <f aca="false">IF(Tasks[[#This Row],[_Res2Text]]="","",TRIM(MID(SUBSTITUTE(Tasks[[#This Row],[_Resources]],",",REPT(" ",99)),199,99)))</f>
        <v/>
      </c>
      <c r="DN198" s="43" t="str">
        <f aca="false">IF(Tasks[[#This Row],[_Res3Text]]="","",TRIM(MID(SUBSTITUTE(Tasks[[#This Row],[_Resources]],",",REPT(" ",99)),298,99)))</f>
        <v/>
      </c>
      <c r="DO198" s="43" t="n">
        <f aca="false">IF(Tasks[[#This Row],[_Res1Text]]="",0,IFERROR(MATCH(TRIM(LEFT(Tasks[[#This Row],[_Res1Text]],FIND("[",Tasks[[#This Row],[_Res1Text]]&amp;"[")-1)),res_Name,0),IFERROR(MATCH(TRIM(LEFT(Tasks[[#This Row],[_Res1Text]],FIND("[",Tasks[[#This Row],[_Res1Text]]&amp;"[")-1)),res_Initials,0),0)))</f>
        <v>0</v>
      </c>
      <c r="DP198" s="43" t="n">
        <f aca="false">IF(Tasks[[#This Row],[_Res2Text]]="",0,IFERROR(MATCH(TRIM(LEFT(Tasks[[#This Row],[_Res2Text]],FIND("[",Tasks[[#This Row],[_Res2Text]]&amp;"[")-1)),res_Name,0),IFERROR(MATCH(TRIM(LEFT(Tasks[[#This Row],[_Res2Text]],FIND("[",Tasks[[#This Row],[_Res2Text]]&amp;"[")-1)),res_Initials,0),0)))</f>
        <v>0</v>
      </c>
      <c r="DQ198" s="43" t="n">
        <f aca="false">IF(Tasks[[#This Row],[_Res3Text]]="",0,IFERROR(MATCH(TRIM(LEFT(Tasks[[#This Row],[_Res3Text]],FIND("[",Tasks[[#This Row],[_Res3Text]]&amp;"[")-1)),res_Name,0),IFERROR(MATCH(TRIM(LEFT(Tasks[[#This Row],[_Res3Text]],FIND("[",Tasks[[#This Row],[_Res3Text]]&amp;"[")-1)),res_Initials,0),0)))</f>
        <v>0</v>
      </c>
      <c r="DR198" s="43" t="n">
        <f aca="false">IF(Tasks[[#This Row],[_Res4Text]]="",0,IFERROR(MATCH(TRIM(LEFT(Tasks[[#This Row],[_Res4Text]],FIND("[",Tasks[[#This Row],[_Res4Text]]&amp;"[")-1)),res_Name,0),IFERROR(MATCH(TRIM(LEFT(Tasks[[#This Row],[_Res4Text]],FIND("[",Tasks[[#This Row],[_Res4Text]]&amp;"[")-1)),res_Initials,0),0)))</f>
        <v>0</v>
      </c>
      <c r="DS198" s="43" t="str">
        <f aca="false">IF(Tasks[[#This Row],[_Res1Text]]="","",IF(Tasks[[#This Row],[_Res1Row]]&gt;0,INDEX(res_Name,Tasks[[#This Row],[_Res1Row]]),TRIM(LEFT(Tasks[[#This Row],[_Res1Text]],FIND("[",Tasks[[#This Row],[_Res1Text]]&amp;"[")-1))))</f>
        <v/>
      </c>
      <c r="DT19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8" s="43" t="n">
        <f aca="false">IF(NOT(Tasks[[#This Row],[_IsLeaf]]=1),0,(Tasks[[#This Row],[_Resource1]]&lt;&gt;"")+(Tasks[[#This Row],[_Res2]]&lt;&gt;"")+(Tasks[[#This Row],[_Res3]]&lt;&gt;"")+(Tasks[[#This Row],[_Res4]]&lt;&gt;""))</f>
        <v>0</v>
      </c>
      <c r="DV198" s="43" t="str">
        <f aca="false">IF(Tasks[[#This Row],[_Res2Text]]="","",IF(Tasks[[#This Row],[_Res2Row]]&gt;0,INDEX(res_Name,Tasks[[#This Row],[_Res2Row]]),TRIM(LEFT(Tasks[[#This Row],[_Res2Text]],FIND("[",Tasks[[#This Row],[_Res2Text]]&amp;"[")-1))))</f>
        <v/>
      </c>
      <c r="DW19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8" s="43" t="n">
        <f aca="false">IF(OR(NOT(Tasks[[#This Row],[_IsLeaf]]=1),Tasks[[#This Row],[_Res2Row]]=0),0,N(Tasks[[#This Row],[_Days]])*HoursPerDay*IF(Tasks[[#This Row],[_Res2Units]]="",DefaultUnits,Tasks[[#This Row],[_Res2Units]]))</f>
        <v>0</v>
      </c>
      <c r="DY198" s="43" t="n">
        <f aca="false">IF(AND(AND(Tasks[[#This Row],[_IsLeaf]]=1,Tasks[[#This Row],[_LeafTotalWork]]&gt;0),Tasks[[#This Row],[_Res2Work]]&gt;0),Tasks[[#This Row],[_Res2Work]]/(Tasks[[#This Row],[_FinishWorkday]]-Tasks[[#This Row],[_StartWorkday]]+1),0)</f>
        <v>0</v>
      </c>
      <c r="DZ198" s="43" t="n">
        <f aca="false">Tasks[[#This Row],[_Res2WorkPerWD]]*MAX(0,Tasks[[#This Row],[_StartWorkday]]-1)</f>
        <v>0</v>
      </c>
      <c r="EA198" s="43" t="n">
        <f aca="false">Tasks[[#This Row],[_Res2Work]]*Tasks[[#This Row],[_LeafProgress]]</f>
        <v>0</v>
      </c>
      <c r="EB198" s="43" t="str">
        <f aca="false">IF(Tasks[[#This Row],[_Res3Text]]="","",IF(Tasks[[#This Row],[_Res3Row]]&gt;0,INDEX(res_Name,Tasks[[#This Row],[_Res3Row]]),TRIM(LEFT(Tasks[[#This Row],[_Res3Text]],FIND("[",Tasks[[#This Row],[_Res3Text]]&amp;"[")-1))))</f>
        <v/>
      </c>
      <c r="EC19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8" s="43" t="n">
        <f aca="false">IF(OR(NOT(Tasks[[#This Row],[_IsLeaf]]=1),Tasks[[#This Row],[_Res3Row]]=0),0,N(Tasks[[#This Row],[_Days]])*HoursPerDay*IF(Tasks[[#This Row],[_Res3Units]]="",DefaultUnits,Tasks[[#This Row],[_Res3Units]]))</f>
        <v>0</v>
      </c>
      <c r="EE198" s="43" t="n">
        <f aca="false">IF(AND(AND(Tasks[[#This Row],[_IsLeaf]]=1,Tasks[[#This Row],[_LeafTotalWork]]&gt;0),Tasks[[#This Row],[_Res3Work]]&gt;0),Tasks[[#This Row],[_Res3Work]]/(Tasks[[#This Row],[_FinishWorkday]]-Tasks[[#This Row],[_StartWorkday]]+1),0)</f>
        <v>0</v>
      </c>
      <c r="EF198" s="43" t="n">
        <f aca="false">Tasks[[#This Row],[_Res3WorkPerWD]]*MAX(0,Tasks[[#This Row],[_StartWorkday]]-1)</f>
        <v>0</v>
      </c>
      <c r="EG198" s="43" t="n">
        <f aca="false">Tasks[[#This Row],[_Res3Work]]*Tasks[[#This Row],[_LeafProgress]]</f>
        <v>0</v>
      </c>
      <c r="EH198" s="43" t="str">
        <f aca="false">IF(Tasks[[#This Row],[_Res4Text]]="","",IF(Tasks[[#This Row],[_Res4Row]]&gt;0,INDEX(res_Name,Tasks[[#This Row],[_Res4Row]]),TRIM(LEFT(Tasks[[#This Row],[_Res4Text]],FIND("[",Tasks[[#This Row],[_Res4Text]]&amp;"[")-1))))</f>
        <v/>
      </c>
      <c r="EI19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8" s="43" t="n">
        <f aca="false">IF(OR(NOT(Tasks[[#This Row],[_IsLeaf]]=1),Tasks[[#This Row],[_Res4Row]]=0),0,N(Tasks[[#This Row],[_Days]])*HoursPerDay*IF(Tasks[[#This Row],[_Res4Units]]="",DefaultUnits,Tasks[[#This Row],[_Res4Units]]))</f>
        <v>0</v>
      </c>
      <c r="EK198" s="43" t="n">
        <f aca="false">IF(AND(AND(Tasks[[#This Row],[_IsLeaf]]=1,Tasks[[#This Row],[_LeafTotalWork]]&gt;0),Tasks[[#This Row],[_Res4Work]]&gt;0),Tasks[[#This Row],[_Res4Work]]/(Tasks[[#This Row],[_FinishWorkday]]-Tasks[[#This Row],[_StartWorkday]]+1),0)</f>
        <v>0</v>
      </c>
      <c r="EL198" s="43" t="n">
        <f aca="false">Tasks[[#This Row],[_Res4WorkPerWD]]*MAX(0,Tasks[[#This Row],[_StartWorkday]]-1)</f>
        <v>0</v>
      </c>
      <c r="EM198" s="43" t="n">
        <f aca="false">Tasks[[#This Row],[_Res4Work]]*Tasks[[#This Row],[_LeafProgress]]</f>
        <v>0</v>
      </c>
      <c r="EN198" s="43" t="n">
        <f aca="false">IF(ISNUMBER(Tasks[[#This Row],[% Complete]]),Tasks[[#This Row],[% Complete]],IF(Tasks[[#This Row],[Stage]]="",0,IFERROR(INDEX(stg_Pct,MATCH(Tasks[[#This Row],[Stage]],stg_Name,0)),0)))</f>
        <v>0</v>
      </c>
      <c r="EO198" s="43" t="n">
        <f aca="false">IF(NOT(Tasks[[#This Row],[_IsLeaf]]=1),0,IF(N(Tasks[[#This Row],[Actual Finish]])&gt;0,1,MIN(1,Tasks[[#This Row],[_Pct]])))</f>
        <v>0</v>
      </c>
      <c r="EP198" s="43" t="n">
        <f aca="false">IF(OR(NOT(Tasks[[#This Row],[_IsLeaf]]=1),Tasks[[#This Row],[_Res1Row]]=0),0,N(Tasks[[#This Row],[_Days]])*HoursPerDay*IF(Tasks[[#This Row],[_Units1]]="",DefaultUnits,Tasks[[#This Row],[_Units1]]))</f>
        <v>0</v>
      </c>
      <c r="EQ198" s="43" t="n">
        <f aca="false">Tasks[[#This Row],[_LeafWork]]+Tasks[[#This Row],[_Res2Work]]+Tasks[[#This Row],[_Res3Work]]+Tasks[[#This Row],[_Res4Work]]</f>
        <v>0</v>
      </c>
      <c r="ER19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8" s="43" t="n">
        <f aca="false">IF(NOT(Tasks[[#This Row],[_IsLeaf]]=1),0,MAX(_xlfn.MAXIFS(Tasks[_Row],Tasks[_Pred1UID],Tasks[[#This Row],[UID]]),_xlfn.MAXIFS(Tasks[_Row],Tasks[_Pred2UID],Tasks[[#This Row],[UID]]),_xlfn.MAXIFS(Tasks[_Row],Tasks[_Pred3UID],Tasks[[#This Row],[UID]]),_xlfn.MAXIFS(Tasks[_Row],Tasks[_Pred4UID],Tasks[[#This Row],[UID]])))</f>
        <v>0</v>
      </c>
      <c r="FA19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8" s="91" t="str">
        <f aca="false">IF(NOT(Tasks[[#This Row],[_IsLeaf]]=1),"",IF(N(Tasks[[#This Row],[_Days]])&lt;=0,Tasks[[#This Row],[_LeafLateFinish]],WORKDAY.INTL(Tasks[[#This Row],[_LeafLateFinish]],-(Tasks[[#This Row],[_Days]]-1),WorkWeek,Holidays)))</f>
        <v/>
      </c>
      <c r="FD19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8" s="90" t="b">
        <f aca="false">AND(Tasks[[#This Row],[_IsLeaf]]=1,Tasks[[#This Row],[_LeafProgress]]&lt;1,N(Tasks[[#This Row],[_LeafTotalSlack]])&lt;=CriticalSlackDays)</f>
        <v>0</v>
      </c>
      <c r="FF198" s="43" t="n">
        <f aca="false">IF(AND(Tasks[[#This Row],[_IsLeaf]]=1,Tasks[[#This Row],[_ConstraintCode]]=1,Tasks[[#This Row],[Mode]]&lt;&gt;"Manual",N(Tasks[[#This Row],[Actual Start]])=0),MAX(0,N(Tasks[[#This Row],[Free Slack]])),0)</f>
        <v>0</v>
      </c>
      <c r="FG198" s="91" t="str">
        <f aca="false">IF(NOT(Tasks[[#This Row],[_IsLeaf]]=1),"",IF(Tasks[[#This Row],[_AlapShift]]=0,Tasks[[#This Row],[_LeafCalcStart]],WORKDAY.INTL(Tasks[[#This Row],[_LeafCalcStart]],Tasks[[#This Row],[_AlapShift]],WorkWeek,Holidays)))</f>
        <v/>
      </c>
      <c r="FH198" s="91" t="str">
        <f aca="false">IF(NOT(Tasks[[#This Row],[_IsLeaf]]=1),"",IF(Tasks[[#This Row],[_AlapShift]]=0,Tasks[[#This Row],[_LeafCalcFinish]],WORKDAY.INTL(Tasks[[#This Row],[_LeafCalcFinish]],Tasks[[#This Row],[_AlapShift]],WorkWeek,Holidays)))</f>
        <v/>
      </c>
      <c r="FI198" s="91" t="str">
        <f aca="false">IF(NOT(Tasks[[#This Row],[_IsLeaf]]=1),"",IF(Tasks[[#This Row],[_AlapShift]]=0,Tasks[[#This Row],[_LeafFcstStart]],WORKDAY.INTL(Tasks[[#This Row],[_LeafFcstStart]],Tasks[[#This Row],[_AlapShift]],WorkWeek,Holidays)))</f>
        <v/>
      </c>
      <c r="FJ198" s="91" t="str">
        <f aca="false">IF(NOT(Tasks[[#This Row],[_IsLeaf]]=1),"",IF(Tasks[[#This Row],[_AlapShift]]=0,Tasks[[#This Row],[_LeafFcstFinish]],WORKDAY.INTL(Tasks[[#This Row],[_LeafFcstFinish]],Tasks[[#This Row],[_AlapShift]],WorkWeek,Holidays)))</f>
        <v/>
      </c>
      <c r="FK198" s="91" t="str">
        <f aca="false">IF(Tasks[[#This Row],[Task Name]]="","",IF(Tasks[[#This Row],[_IsSummary]],MIN(INDEX(Tasks[_ShownCalcStart],Tasks[[#This Row],[_Row]]+1):INDEX(Tasks[_ShownCalcStart],Tasks[[#This Row],[_Row]]+Tasks[[#This Row],[_Descendants]])),Tasks[[#This Row],[_ShownCalcStart]]))</f>
        <v/>
      </c>
      <c r="FL198" s="91" t="str">
        <f aca="false">IF(Tasks[[#This Row],[Task Name]]="","",IF(Tasks[[#This Row],[_IsSummary]],MAX(INDEX(Tasks[_ShownCalcFinish],Tasks[[#This Row],[_Row]]+1):INDEX(Tasks[_ShownCalcFinish],Tasks[[#This Row],[_Row]]+Tasks[[#This Row],[_Descendants]])),Tasks[[#This Row],[_ShownCalcFinish]]))</f>
        <v/>
      </c>
      <c r="FM19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8" s="43" t="n">
        <f aca="false">IF(AND(Tasks[[#This Row],[_IsLeaf]]=1,Tasks[[#This Row],[_LeafTotalWork]]&gt;0),NETWORKDAYS.INTL(ProjectStart,Tasks[[#This Row],[_ShownFcstStart]],WorkWeek,Holidays),0)</f>
        <v>0</v>
      </c>
      <c r="FZ198" s="43" t="n">
        <f aca="false">IF(AND(Tasks[[#This Row],[_IsLeaf]]=1,Tasks[[#This Row],[_LeafTotalWork]]&gt;0),MAX(Tasks[[#This Row],[_StartWorkday]],NETWORKDAYS.INTL(ProjectStart,Tasks[[#This Row],[_ShownFcstFinish]],WorkWeek,Holidays)),0)</f>
        <v>0</v>
      </c>
      <c r="GA198" s="43" t="n">
        <f aca="false">IF(AND(Tasks[[#This Row],[_IsLeaf]]=1,Tasks[[#This Row],[_LeafTotalWork]]&gt;0),Tasks[[#This Row],[_LeafWork]]/(Tasks[[#This Row],[_FinishWorkday]]-Tasks[[#This Row],[_StartWorkday]]+1),0)</f>
        <v>0</v>
      </c>
      <c r="GB198" s="43" t="n">
        <f aca="false">Tasks[[#This Row],[_WorkPerWorkday]]*(Tasks[[#This Row],[_StartWorkday]]-1)</f>
        <v>-0</v>
      </c>
      <c r="GC198" s="43" t="n">
        <f aca="false">IF(Tasks[[#This Row],[_IsLeaf]]=1,MAX(N(Tasks[[#This Row],[_Days]]),0.1),0)</f>
        <v>0</v>
      </c>
      <c r="GD198" s="43" t="n">
        <f aca="false">Tasks[[#This Row],[_WeightDur]]*Tasks[[#This Row],[_LeafProgress]]</f>
        <v>0</v>
      </c>
      <c r="GE198" s="43" t="n">
        <f aca="false">Tasks[[#This Row],[_WeightDur]]*Tasks[[#This Row],[_PlannedPct]]</f>
        <v>0</v>
      </c>
      <c r="GF19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8" s="43" t="str">
        <f aca="false">IF(AND(Tasks[[#This Row],[_IsLeaf]]=1,N(Tasks[[#This Row],[_Days]])=0,Tasks[[#This Row],[_LeafProgress]]&lt;1),Tasks[[#This Row],[_ShownFcstFinish]]+Tasks[[#This Row],[_Row]]/100000,"")</f>
        <v/>
      </c>
      <c r="GH19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8" s="43" t="str">
        <f aca="false">IF(Tasks[[#This Row],[Task Name]]="","",LEFT(Tasks[[#This Row],[WBS]],FIND(".",Tasks[[#This Row],[WBS]]&amp;".")-1))</f>
        <v/>
      </c>
      <c r="GJ198" s="43" t="str">
        <f aca="false">IF(AND(Tasks[[#This Row],[Task Name]]&lt;&gt;"",Tasks[[#This Row],[_Level]]=1),Tasks[[#This Row],[_Row]],"")</f>
        <v/>
      </c>
      <c r="GK198" s="43" t="str">
        <f aca="false">IF(AND(Tasks[[#This Row],[_IsLeaf]]=1,N(Tasks[[#This Row],[_Days]])=0),Tasks[[#This Row],[Planned Finish]]+Tasks[[#This Row],[_Row]]/100000,"")</f>
        <v/>
      </c>
      <c r="GL198" s="43" t="str">
        <f aca="false">IF(AND(Tasks[[#This Row],[_IsLeaf]]=1,Tasks[[#This Row],[_LeafProgress]]&lt;1,OR(N(Tasks[[#This Row],[Finish Var]])&gt;0,Tasks[[#This Row],[Status]]="Late Start")),MAX(0,Tasks[[#This Row],[Finish Var]])+1-Tasks[[#This Row],[_Row]]/1000000,"")</f>
        <v/>
      </c>
      <c r="GM198" s="43" t="str">
        <f aca="false">IF(AND(Tasks[[#This Row],[_IsLeaf]]=1,N(Tasks[[#This Row],[Actual Start]])=0,Tasks[[#This Row],[_ShownFcstStart]]&gt;=StatusDate,Tasks[[#This Row],[_ShownFcstStart]]&lt;=LookaheadEnd),Tasks[[#This Row],[_ShownFcstStart]]+Tasks[[#This Row],[_Row]]/100000,"")</f>
        <v/>
      </c>
      <c r="GN198" s="43" t="str">
        <f aca="false">IF(AND(Tasks[[#This Row],[_IsLeaf]]=1,Tasks[[#This Row],[_LeafProgress]]&lt;1,Tasks[[#This Row],[_ShownFcstFinish]]&gt;=StatusDate,Tasks[[#This Row],[_ShownFcstFinish]]&lt;=LookaheadEnd),Tasks[[#This Row],[_ShownFcstFinish]]+Tasks[[#This Row],[_Row]]/100000,"")</f>
        <v/>
      </c>
      <c r="GO198" s="43" t="str">
        <f aca="false">IF(Tasks[[#This Row],[_LeafCritical]],Tasks[[#This Row],[_ShownFcstStart]]+Tasks[[#This Row],[_Row]]/100000,"")</f>
        <v/>
      </c>
      <c r="GP198" s="43" t="n">
        <f aca="false">Tasks[[#This Row],[_LeafWork]]*Tasks[[#This Row],[_LeafProgress]]</f>
        <v>0</v>
      </c>
      <c r="GQ198" s="91" t="str">
        <f aca="false">IF(AND(Tasks[[#This Row],[_IsLeaf]]=1,Tasks[[#This Row],[_LeafProgress]]&gt;=1),IF(N(Tasks[[#This Row],[Actual Finish]])&gt;0,Tasks[[#This Row],[Actual Finish]],Tasks[[#This Row],[_ShownFcstFinish]]),"")</f>
        <v/>
      </c>
      <c r="GR198" s="43" t="n">
        <f aca="false">IF(Tasks[[#This Row],[_IsLeaf]]=1,N(Tasks[[#This Row],[Story Points]]),0)</f>
        <v>0</v>
      </c>
      <c r="GS198" s="43" t="str">
        <f aca="false">""</f>
        <v/>
      </c>
      <c r="GT198" s="90" t="b">
        <f aca="false">IF(Tasks[[#This Row],[Task Name]]="",FALSE(),AND(Tasks[[#This Row],[_IsLeaf]]=1,N(Tasks[[#This Row],[_Days]])=0))</f>
        <v>0</v>
      </c>
      <c r="GU198" s="91" t="n">
        <f aca="false">IF(Tasks[[#This Row],[Task Name]]="",0,IF(AND(Tasks[[#This Row],[_IsLeaf]]=1,NOT(Tasks[[#This Row],[_IsMilestone]]),N(Tasks[[#This Row],[Progress]])&gt;0),Tasks[[#This Row],[Start]],0))</f>
        <v>0</v>
      </c>
      <c r="GV198" s="91" t="n">
        <f aca="false">IF(Tasks[[#This Row],[_DoneFrom]]=0,0,IF(Tasks[[#This Row],[Progress]]&gt;=1,Tasks[[#This Row],[Finish]],MAX(Tasks[[#This Row],[_DoneFrom]],Tasks[[#This Row],[Start]]+ROUND((Tasks[[#This Row],[Finish]]-Tasks[[#This Row],[Start]]+1)*Tasks[[#This Row],[Progress]],0)-1)))</f>
        <v>0</v>
      </c>
      <c r="GW198" s="91" t="n">
        <f aca="false">IF(Tasks[[#This Row],[Task Name]]="",0,IF(OR(NOT(Tasks[[#This Row],[_IsLeaf]]=1),Tasks[[#This Row],[_IsMilestone]],N(Tasks[[#This Row],[Progress]])&gt;=1),0,IF(Tasks[[#This Row],[_DoneTo]]&gt;0,Tasks[[#This Row],[_DoneTo]]+1,Tasks[[#This Row],[Start]])))</f>
        <v>0</v>
      </c>
      <c r="GX198" s="91" t="n">
        <f aca="false">IF(Tasks[[#This Row],[_RemFrom]]=0,0,Tasks[[#This Row],[Finish]])</f>
        <v>0</v>
      </c>
      <c r="GY198" s="90" t="b">
        <f aca="false">IF(Tasks[[#This Row],[Task Name]]="",FALSE(),OR(NOT(BaselineSet),N(Tasks[[#This Row],[Baseline Start]])&gt;0))</f>
        <v>0</v>
      </c>
      <c r="GZ19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8" s="92" t="str">
        <f aca="false">IF(Tasks[[#This Row],[_IsLeaf]]=1,Tasks[[#This Row],[_Row]],"")</f>
        <v/>
      </c>
      <c r="HD198" s="92" t="str">
        <f aca="false">IFERROR(INDEX(Tasks[UID],SMALL(Tasks[_PickKey],Tasks[[#This Row],[_Row]]))&amp;" "&amp;INDEX(Tasks[Task Name],SMALL(Tasks[_PickKey],Tasks[[#This Row],[_Row]])),"")</f>
        <v/>
      </c>
      <c r="HE198" s="43" t="str">
        <f aca="false">IF(Tasks[[#This Row],[Task Name]]="","",IF(Tasks[[#This Row],[_IsSummary]],NETWORKDAYS.INTL(Tasks[[#This Row],[Start]],Tasks[[#This Row],[Finish]],WorkWeek,Holidays),N(Tasks[[#This Row],[_Days]])))</f>
        <v/>
      </c>
      <c r="HF198" s="43" t="n">
        <f aca="false">IF(Tasks[[#This Row],[Expected]]="",0,((Tasks[[#This Row],[Pessimistic]]-Tasks[[#This Row],[Optimistic]])/6)^2)</f>
        <v>0</v>
      </c>
      <c r="HG198" s="43" t="n">
        <f aca="false">IF(Tasks[[#This Row],[Expected]]="",0,Tasks[[#This Row],[Expected]]-N(Tasks[[#This Row],[_Days]]))</f>
        <v>0</v>
      </c>
    </row>
    <row r="199" customFormat="false" ht="15" hidden="false" customHeight="false" outlineLevel="0" collapsed="false">
      <c r="A199" s="21" t="str">
        <f aca="false">IF(Tasks[[#This Row],[Task Name]]="","",COUNTA(Tasks[[#Headers],[Task Name]]:Tasks[[#This Row],[Task Name]])-1)</f>
        <v/>
      </c>
      <c r="B199" s="22" t="n">
        <v>207</v>
      </c>
      <c r="C199" s="22"/>
      <c r="D199" s="23"/>
      <c r="E199" s="22"/>
      <c r="F199" s="23"/>
      <c r="G199" s="22"/>
      <c r="H199" s="22"/>
      <c r="I199" s="23"/>
      <c r="J199" s="22"/>
      <c r="K199" s="22"/>
      <c r="L199" s="23"/>
      <c r="M199" s="22"/>
      <c r="N199" s="22"/>
      <c r="O199" s="23"/>
      <c r="P199" s="22"/>
      <c r="Q199" s="22"/>
      <c r="R199" s="23"/>
      <c r="S199" s="23"/>
      <c r="T199" s="84"/>
      <c r="U199" s="23"/>
      <c r="V199" s="84"/>
      <c r="W199" s="23"/>
      <c r="X199" s="84"/>
      <c r="Y199" s="23"/>
      <c r="Z199" s="84"/>
      <c r="AA199" s="23"/>
      <c r="AB199" s="23"/>
      <c r="AC199" s="7"/>
      <c r="AD199" s="7"/>
      <c r="AE199" s="63" t="str">
        <f aca="false">IF(Tasks[[#This Row],[Task Name]]="","",IF(Tasks[[#This Row],[_IsSummary]],MIN(INDEX(Tasks[_ShownFcstStart],Tasks[[#This Row],[_Row]]+1):INDEX(Tasks[_ShownFcstStart],Tasks[[#This Row],[_Row]]+Tasks[[#This Row],[_Descendants]])),Tasks[[#This Row],[_ShownFcstStart]]))</f>
        <v/>
      </c>
      <c r="AF199" s="63" t="str">
        <f aca="false">IF(Tasks[[#This Row],[Task Name]]="","",IF(Tasks[[#This Row],[_IsSummary]],MAX(INDEX(Tasks[_ShownFcstFinish],Tasks[[#This Row],[_Row]]+1):INDEX(Tasks[_ShownFcstFinish],Tasks[[#This Row],[_Row]]+Tasks[[#This Row],[_Descendants]])),Tasks[[#This Row],[_ShownFcstFinish]]))</f>
        <v/>
      </c>
      <c r="AG199" s="21" t="str">
        <f aca="false">""</f>
        <v/>
      </c>
      <c r="AH199" s="23"/>
      <c r="AI1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9" s="7"/>
      <c r="AK199" s="22"/>
      <c r="AL199" s="23"/>
      <c r="AM199" s="7"/>
      <c r="AN199" s="47" t="str">
        <f aca="false">IF(Tasks[[#This Row],[Task Name]]="","",IF(Tasks[[#This Row],[Finish]]&gt;=Tasks[[#This Row],[Planned Finish]],NETWORKDAYS.INTL(Tasks[[#This Row],[Planned Finish]],Tasks[[#This Row],[Finish]],WorkWeek,Holidays)-1,1-NETWORKDAYS.INTL(Tasks[[#This Row],[Finish]],Tasks[[#This Row],[Planned Finish]],WorkWeek,Holidays)))</f>
        <v/>
      </c>
      <c r="AO199" s="21" t="str">
        <f aca="false">IF(Tasks[[#This Row],[Task Name]]="","",IF(Tasks[[#This Row],[Progress]]&gt;=1,"Complete",IF(OR(N(Tasks[[#This Row],[Actual Start]])&gt;0,Tasks[[#This Row],[Progress]]&gt;0),IF(Tasks[[#This Row],[Finish Var]]&gt;0,"Behind","In Progress"),IF(Tasks[[#This Row],[Planned Start]]&lt;StatusDate,"Late Start","Not Started"))))</f>
        <v/>
      </c>
      <c r="AP199" s="21" t="str">
        <f aca="false">IF(Tasks[[#This Row],[Task Name]]="","",IF(IF(Tasks[[#This Row],[_IsSummary]],COUNTIF(INDEX(Tasks[_LeafCritical],Tasks[[#This Row],[_Row]]+1):INDEX(Tasks[_LeafCritical],Tasks[[#This Row],[_Row]]+Tasks[[#This Row],[_Descendants]]),TRUE())&gt;0,Tasks[[#This Row],[_LeafCritical]]),"Yes",""))</f>
        <v/>
      </c>
      <c r="AQ199" s="63" t="str">
        <f aca="false">IF(Tasks[[#This Row],[Task Name]]="","",IF(N(Tasks[[#This Row],[Baseline Start]])&gt;0,Tasks[[#This Row],[Baseline Start]],Tasks[[#This Row],[_CalcStart]]))</f>
        <v/>
      </c>
      <c r="AR199" s="63" t="str">
        <f aca="false">IF(Tasks[[#This Row],[Task Name]]="","",IF(N(Tasks[[#This Row],[Baseline Finish]])&gt;0,Tasks[[#This Row],[Baseline Finish]],Tasks[[#This Row],[_CalcFinish]]))</f>
        <v/>
      </c>
      <c r="AS199" s="47" t="str">
        <f aca="false">IF(Tasks[[#This Row],[Task Name]]="","",IF(Tasks[[#This Row],[Start]]&gt;=Tasks[[#This Row],[Planned Start]],NETWORKDAYS.INTL(Tasks[[#This Row],[Planned Start]],Tasks[[#This Row],[Start]],WorkWeek,Holidays)-1,1-NETWORKDAYS.INTL(Tasks[[#This Row],[Start]],Tasks[[#This Row],[Planned Start]],WorkWeek,Holidays)))</f>
        <v/>
      </c>
      <c r="AT199" s="63" t="str">
        <f aca="false">IF(Tasks[[#This Row],[Task Name]]="","",IF(Tasks[[#This Row],[_IsSummary]],MIN(INDEX(Tasks[_LeafLateStart],Tasks[[#This Row],[_Row]]+1):INDEX(Tasks[_LeafLateStart],Tasks[[#This Row],[_Row]]+Tasks[[#This Row],[_Descendants]])),Tasks[[#This Row],[_LeafLateStart]]))</f>
        <v/>
      </c>
      <c r="AU199" s="63" t="str">
        <f aca="false">IF(Tasks[[#This Row],[Task Name]]="","",IF(Tasks[[#This Row],[_IsSummary]],MAX(INDEX(Tasks[_LeafLateFinish],Tasks[[#This Row],[_Row]]+1):INDEX(Tasks[_LeafLateFinish],Tasks[[#This Row],[_Row]]+Tasks[[#This Row],[_Descendants]])),Tasks[[#This Row],[_LeafLateFinish]]))</f>
        <v/>
      </c>
      <c r="AV199" s="47" t="str">
        <f aca="false">IF(Tasks[[#This Row],[Task Name]]="","",IF(Tasks[[#This Row],[_IsSummary]],MIN(INDEX(Tasks[_LeafTotalSlack],Tasks[[#This Row],[_Row]]+1):INDEX(Tasks[_LeafTotalSlack],Tasks[[#This Row],[_Row]]+Tasks[[#This Row],[_Descendants]])),Tasks[[#This Row],[_LeafTotalSlack]]))</f>
        <v/>
      </c>
      <c r="AW1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5"/>
      <c r="BA19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1" t="str">
        <f aca="false">IF(Tasks[[#This Row],[Task Name]]="","",IF(Tasks[[#This Row],[_Level]]&lt;=OutlineShowLevel,"Yes","No"))</f>
        <v/>
      </c>
      <c r="BE199" s="86" t="str">
        <f aca="false">IF(Tasks[[#This Row],[Task Name]]="","",IF(Tasks[[#This Row],[_IsSummary]],SUM(INDEX(Tasks[_LeafTotalWork],Tasks[[#This Row],[_Row]]+1):INDEX(Tasks[_LeafTotalWork],Tasks[[#This Row],[_Row]]+Tasks[[#This Row],[_Descendants]])),Tasks[[#This Row],[_LeafTotalWork]]))</f>
        <v/>
      </c>
      <c r="BF199" s="23"/>
      <c r="BG1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9" s="21" t="str">
        <f aca="false">""</f>
        <v/>
      </c>
      <c r="BI199" s="87"/>
      <c r="BJ199" s="22"/>
      <c r="BK199" s="47" t="str">
        <f aca="false">IF(OR(Tasks[[#This Row],[Task Name]]="",Tasks[[#This Row],[Baseline Duration]]=""),"",Tasks[[#This Row],[_SpanDays]]-N(Tasks[[#This Row],[Baseline Duration]]))</f>
        <v/>
      </c>
      <c r="BL199" s="86" t="str">
        <f aca="false">IF(OR(Tasks[[#This Row],[Task Name]]="",Tasks[[#This Row],[Baseline Work]]=""),"",Tasks[[#This Row],[Work]]-N(Tasks[[#This Row],[Baseline Work]]))</f>
        <v/>
      </c>
      <c r="BM199" s="63" t="str">
        <f aca="false">IF(Tasks[[#This Row],[Task Name]]="","",IF(OR(TakeBaseline="Yes",N(Tasks[[#This Row],[Baseline Start]])=0),Tasks[[#This Row],[Start]],Tasks[[#This Row],[Baseline Start]]))</f>
        <v/>
      </c>
      <c r="BN199" s="63" t="str">
        <f aca="false">IF(Tasks[[#This Row],[Task Name]]="","",IF(OR(TakeBaseline="Yes",N(Tasks[[#This Row],[Baseline Finish]])=0),Tasks[[#This Row],[Finish]],Tasks[[#This Row],[Baseline Finish]]))</f>
        <v/>
      </c>
      <c r="BO199" s="21" t="str">
        <f aca="false">IF(Tasks[[#This Row],[Task Name]]="","",IF(OR(TakeBaseline="Yes",N(Tasks[[#This Row],[Baseline Duration]])=0),Tasks[[#This Row],[_SpanDays]],Tasks[[#This Row],[Baseline Duration]]))</f>
        <v/>
      </c>
      <c r="BP199" s="86" t="str">
        <f aca="false">IF(Tasks[[#This Row],[Task Name]]="","",IF(OR(TakeBaseline="Yes",N(Tasks[[#This Row],[Baseline Work]])=0),Tasks[[#This Row],[Work]],Tasks[[#This Row],[Baseline Work]]))</f>
        <v/>
      </c>
      <c r="BQ199" s="7"/>
      <c r="BR199" s="7"/>
      <c r="BS199" s="22"/>
      <c r="BT199" s="88"/>
      <c r="BU199" s="23"/>
      <c r="BV199" s="23"/>
      <c r="BW199" s="23"/>
      <c r="BX199" s="89" t="str">
        <f aca="false">IF(AND(Tasks[[#This Row],[_IsLeaf]]=1,ISNUMBER(Tasks[[#This Row],[Optimistic]]),ISNUMBER(Tasks[[#This Row],[Pessimistic]])),ROUND((Tasks[[#This Row],[Optimistic]]+4*N(Tasks[[#This Row],[_Days]])+Tasks[[#This Row],[Pessimistic]])/6,1),"")</f>
        <v/>
      </c>
      <c r="BY199" s="87"/>
      <c r="BZ199" s="87"/>
      <c r="CA199" s="22"/>
      <c r="CB199" s="43" t="str">
        <f aca="false">IF(Tasks[[#This Row],[Task Name]]="","",MAX(1,N(Tasks[[#This Row],[Level]])))</f>
        <v/>
      </c>
      <c r="CC199" s="43" t="n">
        <f aca="false">ROW()-ROW(Tasks[[#Headers],[ID]])</f>
        <v>194</v>
      </c>
      <c r="CD199" s="43" t="n">
        <f aca="false">IF(OR(Tasks[[#This Row],[Task Name]]="",Tasks[[#This Row],[_Level]]&lt;=1),0,IFERROR(LOOKUP(2,1/(Tasks[[#Headers],[_Level]]:Tasks[[#This Row],[_Level]]=Tasks[[#This Row],[_Level]]-1),ROW(Tasks[[#Headers],[_Level]]:Tasks[[#This Row],[_Level]])),0))</f>
        <v>0</v>
      </c>
      <c r="CE199" s="43" t="n">
        <f aca="false">IFERROR(N(INDEX(Tasks[_Level],Tasks[[#This Row],[_Row]]+1)),0)</f>
        <v>0</v>
      </c>
      <c r="CF199" s="90" t="b">
        <f aca="false">AND(Tasks[[#This Row],[Task Name]]&lt;&gt;"",Tasks[[#This Row],[_NextLevel]]&gt;Tasks[[#This Row],[_Level]])</f>
        <v>0</v>
      </c>
      <c r="CG199" s="43" t="n">
        <f aca="false">IF(Tasks[[#This Row],[_IsSummary]],COUNTIF(Tasks[WBS],Tasks[[#This Row],[WBS]]&amp;".*"),0)</f>
        <v>0</v>
      </c>
      <c r="CH199" s="43" t="n">
        <f aca="false">IF(AND(Tasks[[#This Row],[Task Name]]&lt;&gt;"",NOT(Tasks[[#This Row],[_IsSummary]])),1,0)</f>
        <v>0</v>
      </c>
      <c r="CI199" s="43" t="n">
        <f aca="false">IF(N(Tasks[[#This Row],[_Pred1UID]])=0,0,IFERROR(MATCH(Tasks[[#This Row],[_Pred1UID]],Tasks[UID],0),-1))</f>
        <v>0</v>
      </c>
      <c r="CJ199" s="43" t="n">
        <f aca="false">IF(N(Tasks[[#This Row],[_Pred2UID]])=0,0,IFERROR(MATCH(Tasks[[#This Row],[_Pred2UID]],Tasks[UID],0),-1))</f>
        <v>0</v>
      </c>
      <c r="CK199" s="43" t="n">
        <f aca="false">IF(N(Tasks[[#This Row],[_Pred3UID]])=0,0,IFERROR(MATCH(Tasks[[#This Row],[_Pred3UID]],Tasks[UID],0),-1))</f>
        <v>0</v>
      </c>
      <c r="CL199" s="43" t="n">
        <f aca="false">IF(N(Tasks[[#This Row],[_Pred4UID]])=0,0,IFERROR(MATCH(Tasks[[#This Row],[_Pred4UID]],Tasks[UID],0),-1))</f>
        <v>0</v>
      </c>
      <c r="CM19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9" s="91" t="n">
        <f aca="false">IF(OR(Tasks[[#This Row],[_ConstraintCode]]=2,Tasks[[#This Row],[_ConstraintCode]]=3,Tasks[[#This Row],[_ConstraintCode]]=4,Tasks[[#This Row],[_ConstraintCode]]=6),Tasks[[#This Row],[_ConstraintStart]],0)</f>
        <v>0</v>
      </c>
      <c r="CP199" s="91" t="n">
        <f aca="false">IF(OR(Tasks[[#This Row],[_ConstraintCode]]=2,Tasks[[#This Row],[_ConstraintCode]]=3,Tasks[[#This Row],[_ConstraintCode]]=5,Tasks[[#This Row],[_ConstraintCode]]=7),Tasks[[#This Row],[_ConstraintStart]],2958465)</f>
        <v>2958465</v>
      </c>
      <c r="CQ19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9" s="91" t="str">
        <f aca="false">IF(NOT(Tasks[[#This Row],[_IsLeaf]]=1),"",IF(N(Tasks[[#This Row],[_Days]])&lt;=0,Tasks[[#This Row],[_LeafCalcStart]],WORKDAY.INTL(Tasks[[#This Row],[_LeafCalcStart]],Tasks[[#This Row],[_Days]]-1,WorkWeek,Holidays)))</f>
        <v/>
      </c>
      <c r="CS19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9" s="43" t="str">
        <f aca="false">IF(Tasks[[#This Row],[_Predecessors]]="","",TRIM(MID(SUBSTITUTE(SUBSTITUTE(SUBSTITUTE(UPPER(Tasks[[#This Row],[_Predecessors]]),";",",")," ",""),",",REPT(" ",99)),1,99)))</f>
        <v/>
      </c>
      <c r="CV199" s="43" t="str">
        <f aca="false">IF(Tasks[[#This Row],[_Pred1Text]]="","",IFERROR(VALUE(LEFT(Tasks[[#This Row],[_Pred1Text]],MIN(FIND("F",Tasks[[#This Row],[_Pred1Text]]&amp;"F"),FIND("S",Tasks[[#This Row],[_Pred1Text]]&amp;"S"),FIND("+",Tasks[[#This Row],[_Pred1Text]]&amp;"+"),FIND("-",Tasks[[#This Row],[_Pred1Text]]&amp;"-"))-1)),""))</f>
        <v/>
      </c>
      <c r="CW19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9" s="43" t="str">
        <f aca="false">IF(Tasks[[#This Row],[_Pred1Text]]="","",TRIM(MID(SUBSTITUTE(SUBSTITUTE(SUBSTITUTE(UPPER(Tasks[[#This Row],[_Predecessors]]),";",",")," ",""),",",REPT(" ",99)),100,99)))</f>
        <v/>
      </c>
      <c r="CZ199" s="43" t="str">
        <f aca="false">IF(Tasks[[#This Row],[_Pred2Text]]="","",IFERROR(VALUE(LEFT(Tasks[[#This Row],[_Pred2Text]],MIN(FIND("F",Tasks[[#This Row],[_Pred2Text]]&amp;"F"),FIND("S",Tasks[[#This Row],[_Pred2Text]]&amp;"S"),FIND("+",Tasks[[#This Row],[_Pred2Text]]&amp;"+"),FIND("-",Tasks[[#This Row],[_Pred2Text]]&amp;"-"))-1)),""))</f>
        <v/>
      </c>
      <c r="DA19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9" s="43" t="str">
        <f aca="false">IF(Tasks[[#This Row],[_Pred2Text]]="","",TRIM(MID(SUBSTITUTE(SUBSTITUTE(SUBSTITUTE(UPPER(Tasks[[#This Row],[_Predecessors]]),";",",")," ",""),",",REPT(" ",99)),199,99)))</f>
        <v/>
      </c>
      <c r="DD199" s="43" t="str">
        <f aca="false">IF(Tasks[[#This Row],[_Pred3Text]]="","",IFERROR(VALUE(LEFT(Tasks[[#This Row],[_Pred3Text]],MIN(FIND("F",Tasks[[#This Row],[_Pred3Text]]&amp;"F"),FIND("S",Tasks[[#This Row],[_Pred3Text]]&amp;"S"),FIND("+",Tasks[[#This Row],[_Pred3Text]]&amp;"+"),FIND("-",Tasks[[#This Row],[_Pred3Text]]&amp;"-"))-1)),""))</f>
        <v/>
      </c>
      <c r="DE19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9" s="43" t="str">
        <f aca="false">IF(Tasks[[#This Row],[_Pred3Text]]="","",TRIM(MID(SUBSTITUTE(SUBSTITUTE(SUBSTITUTE(UPPER(Tasks[[#This Row],[_Predecessors]]),";",",")," ",""),",",REPT(" ",99)),298,99)))</f>
        <v/>
      </c>
      <c r="DH199" s="43" t="str">
        <f aca="false">IF(Tasks[[#This Row],[_Pred4Text]]="","",IFERROR(VALUE(LEFT(Tasks[[#This Row],[_Pred4Text]],MIN(FIND("F",Tasks[[#This Row],[_Pred4Text]]&amp;"F"),FIND("S",Tasks[[#This Row],[_Pred4Text]]&amp;"S"),FIND("+",Tasks[[#This Row],[_Pred4Text]]&amp;"+"),FIND("-",Tasks[[#This Row],[_Pred4Text]]&amp;"-"))-1)),""))</f>
        <v/>
      </c>
      <c r="DI19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9" s="43" t="str">
        <f aca="false">IF(OR(Tasks[[#This Row],[Task Name]]="",Tasks[[#This Row],[_Resources]]=""),"",TRIM(MID(SUBSTITUTE(Tasks[[#This Row],[_Resources]],",",REPT(" ",99)),1,99)))</f>
        <v/>
      </c>
      <c r="DL199" s="43" t="str">
        <f aca="false">IF(Tasks[[#This Row],[_Res1Text]]="","",TRIM(MID(SUBSTITUTE(Tasks[[#This Row],[_Resources]],",",REPT(" ",99)),100,99)))</f>
        <v/>
      </c>
      <c r="DM199" s="43" t="str">
        <f aca="false">IF(Tasks[[#This Row],[_Res2Text]]="","",TRIM(MID(SUBSTITUTE(Tasks[[#This Row],[_Resources]],",",REPT(" ",99)),199,99)))</f>
        <v/>
      </c>
      <c r="DN199" s="43" t="str">
        <f aca="false">IF(Tasks[[#This Row],[_Res3Text]]="","",TRIM(MID(SUBSTITUTE(Tasks[[#This Row],[_Resources]],",",REPT(" ",99)),298,99)))</f>
        <v/>
      </c>
      <c r="DO199" s="43" t="n">
        <f aca="false">IF(Tasks[[#This Row],[_Res1Text]]="",0,IFERROR(MATCH(TRIM(LEFT(Tasks[[#This Row],[_Res1Text]],FIND("[",Tasks[[#This Row],[_Res1Text]]&amp;"[")-1)),res_Name,0),IFERROR(MATCH(TRIM(LEFT(Tasks[[#This Row],[_Res1Text]],FIND("[",Tasks[[#This Row],[_Res1Text]]&amp;"[")-1)),res_Initials,0),0)))</f>
        <v>0</v>
      </c>
      <c r="DP199" s="43" t="n">
        <f aca="false">IF(Tasks[[#This Row],[_Res2Text]]="",0,IFERROR(MATCH(TRIM(LEFT(Tasks[[#This Row],[_Res2Text]],FIND("[",Tasks[[#This Row],[_Res2Text]]&amp;"[")-1)),res_Name,0),IFERROR(MATCH(TRIM(LEFT(Tasks[[#This Row],[_Res2Text]],FIND("[",Tasks[[#This Row],[_Res2Text]]&amp;"[")-1)),res_Initials,0),0)))</f>
        <v>0</v>
      </c>
      <c r="DQ199" s="43" t="n">
        <f aca="false">IF(Tasks[[#This Row],[_Res3Text]]="",0,IFERROR(MATCH(TRIM(LEFT(Tasks[[#This Row],[_Res3Text]],FIND("[",Tasks[[#This Row],[_Res3Text]]&amp;"[")-1)),res_Name,0),IFERROR(MATCH(TRIM(LEFT(Tasks[[#This Row],[_Res3Text]],FIND("[",Tasks[[#This Row],[_Res3Text]]&amp;"[")-1)),res_Initials,0),0)))</f>
        <v>0</v>
      </c>
      <c r="DR199" s="43" t="n">
        <f aca="false">IF(Tasks[[#This Row],[_Res4Text]]="",0,IFERROR(MATCH(TRIM(LEFT(Tasks[[#This Row],[_Res4Text]],FIND("[",Tasks[[#This Row],[_Res4Text]]&amp;"[")-1)),res_Name,0),IFERROR(MATCH(TRIM(LEFT(Tasks[[#This Row],[_Res4Text]],FIND("[",Tasks[[#This Row],[_Res4Text]]&amp;"[")-1)),res_Initials,0),0)))</f>
        <v>0</v>
      </c>
      <c r="DS199" s="43" t="str">
        <f aca="false">IF(Tasks[[#This Row],[_Res1Text]]="","",IF(Tasks[[#This Row],[_Res1Row]]&gt;0,INDEX(res_Name,Tasks[[#This Row],[_Res1Row]]),TRIM(LEFT(Tasks[[#This Row],[_Res1Text]],FIND("[",Tasks[[#This Row],[_Res1Text]]&amp;"[")-1))))</f>
        <v/>
      </c>
      <c r="DT19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9" s="43" t="n">
        <f aca="false">IF(NOT(Tasks[[#This Row],[_IsLeaf]]=1),0,(Tasks[[#This Row],[_Resource1]]&lt;&gt;"")+(Tasks[[#This Row],[_Res2]]&lt;&gt;"")+(Tasks[[#This Row],[_Res3]]&lt;&gt;"")+(Tasks[[#This Row],[_Res4]]&lt;&gt;""))</f>
        <v>0</v>
      </c>
      <c r="DV199" s="43" t="str">
        <f aca="false">IF(Tasks[[#This Row],[_Res2Text]]="","",IF(Tasks[[#This Row],[_Res2Row]]&gt;0,INDEX(res_Name,Tasks[[#This Row],[_Res2Row]]),TRIM(LEFT(Tasks[[#This Row],[_Res2Text]],FIND("[",Tasks[[#This Row],[_Res2Text]]&amp;"[")-1))))</f>
        <v/>
      </c>
      <c r="DW19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9" s="43" t="n">
        <f aca="false">IF(OR(NOT(Tasks[[#This Row],[_IsLeaf]]=1),Tasks[[#This Row],[_Res2Row]]=0),0,N(Tasks[[#This Row],[_Days]])*HoursPerDay*IF(Tasks[[#This Row],[_Res2Units]]="",DefaultUnits,Tasks[[#This Row],[_Res2Units]]))</f>
        <v>0</v>
      </c>
      <c r="DY199" s="43" t="n">
        <f aca="false">IF(AND(AND(Tasks[[#This Row],[_IsLeaf]]=1,Tasks[[#This Row],[_LeafTotalWork]]&gt;0),Tasks[[#This Row],[_Res2Work]]&gt;0),Tasks[[#This Row],[_Res2Work]]/(Tasks[[#This Row],[_FinishWorkday]]-Tasks[[#This Row],[_StartWorkday]]+1),0)</f>
        <v>0</v>
      </c>
      <c r="DZ199" s="43" t="n">
        <f aca="false">Tasks[[#This Row],[_Res2WorkPerWD]]*MAX(0,Tasks[[#This Row],[_StartWorkday]]-1)</f>
        <v>0</v>
      </c>
      <c r="EA199" s="43" t="n">
        <f aca="false">Tasks[[#This Row],[_Res2Work]]*Tasks[[#This Row],[_LeafProgress]]</f>
        <v>0</v>
      </c>
      <c r="EB199" s="43" t="str">
        <f aca="false">IF(Tasks[[#This Row],[_Res3Text]]="","",IF(Tasks[[#This Row],[_Res3Row]]&gt;0,INDEX(res_Name,Tasks[[#This Row],[_Res3Row]]),TRIM(LEFT(Tasks[[#This Row],[_Res3Text]],FIND("[",Tasks[[#This Row],[_Res3Text]]&amp;"[")-1))))</f>
        <v/>
      </c>
      <c r="EC19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9" s="43" t="n">
        <f aca="false">IF(OR(NOT(Tasks[[#This Row],[_IsLeaf]]=1),Tasks[[#This Row],[_Res3Row]]=0),0,N(Tasks[[#This Row],[_Days]])*HoursPerDay*IF(Tasks[[#This Row],[_Res3Units]]="",DefaultUnits,Tasks[[#This Row],[_Res3Units]]))</f>
        <v>0</v>
      </c>
      <c r="EE199" s="43" t="n">
        <f aca="false">IF(AND(AND(Tasks[[#This Row],[_IsLeaf]]=1,Tasks[[#This Row],[_LeafTotalWork]]&gt;0),Tasks[[#This Row],[_Res3Work]]&gt;0),Tasks[[#This Row],[_Res3Work]]/(Tasks[[#This Row],[_FinishWorkday]]-Tasks[[#This Row],[_StartWorkday]]+1),0)</f>
        <v>0</v>
      </c>
      <c r="EF199" s="43" t="n">
        <f aca="false">Tasks[[#This Row],[_Res3WorkPerWD]]*MAX(0,Tasks[[#This Row],[_StartWorkday]]-1)</f>
        <v>0</v>
      </c>
      <c r="EG199" s="43" t="n">
        <f aca="false">Tasks[[#This Row],[_Res3Work]]*Tasks[[#This Row],[_LeafProgress]]</f>
        <v>0</v>
      </c>
      <c r="EH199" s="43" t="str">
        <f aca="false">IF(Tasks[[#This Row],[_Res4Text]]="","",IF(Tasks[[#This Row],[_Res4Row]]&gt;0,INDEX(res_Name,Tasks[[#This Row],[_Res4Row]]),TRIM(LEFT(Tasks[[#This Row],[_Res4Text]],FIND("[",Tasks[[#This Row],[_Res4Text]]&amp;"[")-1))))</f>
        <v/>
      </c>
      <c r="EI19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9" s="43" t="n">
        <f aca="false">IF(OR(NOT(Tasks[[#This Row],[_IsLeaf]]=1),Tasks[[#This Row],[_Res4Row]]=0),0,N(Tasks[[#This Row],[_Days]])*HoursPerDay*IF(Tasks[[#This Row],[_Res4Units]]="",DefaultUnits,Tasks[[#This Row],[_Res4Units]]))</f>
        <v>0</v>
      </c>
      <c r="EK199" s="43" t="n">
        <f aca="false">IF(AND(AND(Tasks[[#This Row],[_IsLeaf]]=1,Tasks[[#This Row],[_LeafTotalWork]]&gt;0),Tasks[[#This Row],[_Res4Work]]&gt;0),Tasks[[#This Row],[_Res4Work]]/(Tasks[[#This Row],[_FinishWorkday]]-Tasks[[#This Row],[_StartWorkday]]+1),0)</f>
        <v>0</v>
      </c>
      <c r="EL199" s="43" t="n">
        <f aca="false">Tasks[[#This Row],[_Res4WorkPerWD]]*MAX(0,Tasks[[#This Row],[_StartWorkday]]-1)</f>
        <v>0</v>
      </c>
      <c r="EM199" s="43" t="n">
        <f aca="false">Tasks[[#This Row],[_Res4Work]]*Tasks[[#This Row],[_LeafProgress]]</f>
        <v>0</v>
      </c>
      <c r="EN199" s="43" t="n">
        <f aca="false">IF(ISNUMBER(Tasks[[#This Row],[% Complete]]),Tasks[[#This Row],[% Complete]],IF(Tasks[[#This Row],[Stage]]="",0,IFERROR(INDEX(stg_Pct,MATCH(Tasks[[#This Row],[Stage]],stg_Name,0)),0)))</f>
        <v>0</v>
      </c>
      <c r="EO199" s="43" t="n">
        <f aca="false">IF(NOT(Tasks[[#This Row],[_IsLeaf]]=1),0,IF(N(Tasks[[#This Row],[Actual Finish]])&gt;0,1,MIN(1,Tasks[[#This Row],[_Pct]])))</f>
        <v>0</v>
      </c>
      <c r="EP199" s="43" t="n">
        <f aca="false">IF(OR(NOT(Tasks[[#This Row],[_IsLeaf]]=1),Tasks[[#This Row],[_Res1Row]]=0),0,N(Tasks[[#This Row],[_Days]])*HoursPerDay*IF(Tasks[[#This Row],[_Units1]]="",DefaultUnits,Tasks[[#This Row],[_Units1]]))</f>
        <v>0</v>
      </c>
      <c r="EQ199" s="43" t="n">
        <f aca="false">Tasks[[#This Row],[_LeafWork]]+Tasks[[#This Row],[_Res2Work]]+Tasks[[#This Row],[_Res3Work]]+Tasks[[#This Row],[_Res4Work]]</f>
        <v>0</v>
      </c>
      <c r="ER19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9" s="43" t="n">
        <f aca="false">IF(NOT(Tasks[[#This Row],[_IsLeaf]]=1),0,MAX(_xlfn.MAXIFS(Tasks[_Row],Tasks[_Pred1UID],Tasks[[#This Row],[UID]]),_xlfn.MAXIFS(Tasks[_Row],Tasks[_Pred2UID],Tasks[[#This Row],[UID]]),_xlfn.MAXIFS(Tasks[_Row],Tasks[_Pred3UID],Tasks[[#This Row],[UID]]),_xlfn.MAXIFS(Tasks[_Row],Tasks[_Pred4UID],Tasks[[#This Row],[UID]])))</f>
        <v>0</v>
      </c>
      <c r="FA19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9" s="91" t="str">
        <f aca="false">IF(NOT(Tasks[[#This Row],[_IsLeaf]]=1),"",IF(N(Tasks[[#This Row],[_Days]])&lt;=0,Tasks[[#This Row],[_LeafLateFinish]],WORKDAY.INTL(Tasks[[#This Row],[_LeafLateFinish]],-(Tasks[[#This Row],[_Days]]-1),WorkWeek,Holidays)))</f>
        <v/>
      </c>
      <c r="FD19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9" s="90" t="b">
        <f aca="false">AND(Tasks[[#This Row],[_IsLeaf]]=1,Tasks[[#This Row],[_LeafProgress]]&lt;1,N(Tasks[[#This Row],[_LeafTotalSlack]])&lt;=CriticalSlackDays)</f>
        <v>0</v>
      </c>
      <c r="FF199" s="43" t="n">
        <f aca="false">IF(AND(Tasks[[#This Row],[_IsLeaf]]=1,Tasks[[#This Row],[_ConstraintCode]]=1,Tasks[[#This Row],[Mode]]&lt;&gt;"Manual",N(Tasks[[#This Row],[Actual Start]])=0),MAX(0,N(Tasks[[#This Row],[Free Slack]])),0)</f>
        <v>0</v>
      </c>
      <c r="FG199" s="91" t="str">
        <f aca="false">IF(NOT(Tasks[[#This Row],[_IsLeaf]]=1),"",IF(Tasks[[#This Row],[_AlapShift]]=0,Tasks[[#This Row],[_LeafCalcStart]],WORKDAY.INTL(Tasks[[#This Row],[_LeafCalcStart]],Tasks[[#This Row],[_AlapShift]],WorkWeek,Holidays)))</f>
        <v/>
      </c>
      <c r="FH199" s="91" t="str">
        <f aca="false">IF(NOT(Tasks[[#This Row],[_IsLeaf]]=1),"",IF(Tasks[[#This Row],[_AlapShift]]=0,Tasks[[#This Row],[_LeafCalcFinish]],WORKDAY.INTL(Tasks[[#This Row],[_LeafCalcFinish]],Tasks[[#This Row],[_AlapShift]],WorkWeek,Holidays)))</f>
        <v/>
      </c>
      <c r="FI199" s="91" t="str">
        <f aca="false">IF(NOT(Tasks[[#This Row],[_IsLeaf]]=1),"",IF(Tasks[[#This Row],[_AlapShift]]=0,Tasks[[#This Row],[_LeafFcstStart]],WORKDAY.INTL(Tasks[[#This Row],[_LeafFcstStart]],Tasks[[#This Row],[_AlapShift]],WorkWeek,Holidays)))</f>
        <v/>
      </c>
      <c r="FJ199" s="91" t="str">
        <f aca="false">IF(NOT(Tasks[[#This Row],[_IsLeaf]]=1),"",IF(Tasks[[#This Row],[_AlapShift]]=0,Tasks[[#This Row],[_LeafFcstFinish]],WORKDAY.INTL(Tasks[[#This Row],[_LeafFcstFinish]],Tasks[[#This Row],[_AlapShift]],WorkWeek,Holidays)))</f>
        <v/>
      </c>
      <c r="FK199" s="91" t="str">
        <f aca="false">IF(Tasks[[#This Row],[Task Name]]="","",IF(Tasks[[#This Row],[_IsSummary]],MIN(INDEX(Tasks[_ShownCalcStart],Tasks[[#This Row],[_Row]]+1):INDEX(Tasks[_ShownCalcStart],Tasks[[#This Row],[_Row]]+Tasks[[#This Row],[_Descendants]])),Tasks[[#This Row],[_ShownCalcStart]]))</f>
        <v/>
      </c>
      <c r="FL199" s="91" t="str">
        <f aca="false">IF(Tasks[[#This Row],[Task Name]]="","",IF(Tasks[[#This Row],[_IsSummary]],MAX(INDEX(Tasks[_ShownCalcFinish],Tasks[[#This Row],[_Row]]+1):INDEX(Tasks[_ShownCalcFinish],Tasks[[#This Row],[_Row]]+Tasks[[#This Row],[_Descendants]])),Tasks[[#This Row],[_ShownCalcFinish]]))</f>
        <v/>
      </c>
      <c r="FM19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9" s="43" t="n">
        <f aca="false">IF(AND(Tasks[[#This Row],[_IsLeaf]]=1,Tasks[[#This Row],[_LeafTotalWork]]&gt;0),NETWORKDAYS.INTL(ProjectStart,Tasks[[#This Row],[_ShownFcstStart]],WorkWeek,Holidays),0)</f>
        <v>0</v>
      </c>
      <c r="FZ199" s="43" t="n">
        <f aca="false">IF(AND(Tasks[[#This Row],[_IsLeaf]]=1,Tasks[[#This Row],[_LeafTotalWork]]&gt;0),MAX(Tasks[[#This Row],[_StartWorkday]],NETWORKDAYS.INTL(ProjectStart,Tasks[[#This Row],[_ShownFcstFinish]],WorkWeek,Holidays)),0)</f>
        <v>0</v>
      </c>
      <c r="GA199" s="43" t="n">
        <f aca="false">IF(AND(Tasks[[#This Row],[_IsLeaf]]=1,Tasks[[#This Row],[_LeafTotalWork]]&gt;0),Tasks[[#This Row],[_LeafWork]]/(Tasks[[#This Row],[_FinishWorkday]]-Tasks[[#This Row],[_StartWorkday]]+1),0)</f>
        <v>0</v>
      </c>
      <c r="GB199" s="43" t="n">
        <f aca="false">Tasks[[#This Row],[_WorkPerWorkday]]*(Tasks[[#This Row],[_StartWorkday]]-1)</f>
        <v>-0</v>
      </c>
      <c r="GC199" s="43" t="n">
        <f aca="false">IF(Tasks[[#This Row],[_IsLeaf]]=1,MAX(N(Tasks[[#This Row],[_Days]]),0.1),0)</f>
        <v>0</v>
      </c>
      <c r="GD199" s="43" t="n">
        <f aca="false">Tasks[[#This Row],[_WeightDur]]*Tasks[[#This Row],[_LeafProgress]]</f>
        <v>0</v>
      </c>
      <c r="GE199" s="43" t="n">
        <f aca="false">Tasks[[#This Row],[_WeightDur]]*Tasks[[#This Row],[_PlannedPct]]</f>
        <v>0</v>
      </c>
      <c r="GF19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9" s="43" t="str">
        <f aca="false">IF(AND(Tasks[[#This Row],[_IsLeaf]]=1,N(Tasks[[#This Row],[_Days]])=0,Tasks[[#This Row],[_LeafProgress]]&lt;1),Tasks[[#This Row],[_ShownFcstFinish]]+Tasks[[#This Row],[_Row]]/100000,"")</f>
        <v/>
      </c>
      <c r="GH19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9" s="43" t="str">
        <f aca="false">IF(Tasks[[#This Row],[Task Name]]="","",LEFT(Tasks[[#This Row],[WBS]],FIND(".",Tasks[[#This Row],[WBS]]&amp;".")-1))</f>
        <v/>
      </c>
      <c r="GJ199" s="43" t="str">
        <f aca="false">IF(AND(Tasks[[#This Row],[Task Name]]&lt;&gt;"",Tasks[[#This Row],[_Level]]=1),Tasks[[#This Row],[_Row]],"")</f>
        <v/>
      </c>
      <c r="GK199" s="43" t="str">
        <f aca="false">IF(AND(Tasks[[#This Row],[_IsLeaf]]=1,N(Tasks[[#This Row],[_Days]])=0),Tasks[[#This Row],[Planned Finish]]+Tasks[[#This Row],[_Row]]/100000,"")</f>
        <v/>
      </c>
      <c r="GL199" s="43" t="str">
        <f aca="false">IF(AND(Tasks[[#This Row],[_IsLeaf]]=1,Tasks[[#This Row],[_LeafProgress]]&lt;1,OR(N(Tasks[[#This Row],[Finish Var]])&gt;0,Tasks[[#This Row],[Status]]="Late Start")),MAX(0,Tasks[[#This Row],[Finish Var]])+1-Tasks[[#This Row],[_Row]]/1000000,"")</f>
        <v/>
      </c>
      <c r="GM199" s="43" t="str">
        <f aca="false">IF(AND(Tasks[[#This Row],[_IsLeaf]]=1,N(Tasks[[#This Row],[Actual Start]])=0,Tasks[[#This Row],[_ShownFcstStart]]&gt;=StatusDate,Tasks[[#This Row],[_ShownFcstStart]]&lt;=LookaheadEnd),Tasks[[#This Row],[_ShownFcstStart]]+Tasks[[#This Row],[_Row]]/100000,"")</f>
        <v/>
      </c>
      <c r="GN199" s="43" t="str">
        <f aca="false">IF(AND(Tasks[[#This Row],[_IsLeaf]]=1,Tasks[[#This Row],[_LeafProgress]]&lt;1,Tasks[[#This Row],[_ShownFcstFinish]]&gt;=StatusDate,Tasks[[#This Row],[_ShownFcstFinish]]&lt;=LookaheadEnd),Tasks[[#This Row],[_ShownFcstFinish]]+Tasks[[#This Row],[_Row]]/100000,"")</f>
        <v/>
      </c>
      <c r="GO199" s="43" t="str">
        <f aca="false">IF(Tasks[[#This Row],[_LeafCritical]],Tasks[[#This Row],[_ShownFcstStart]]+Tasks[[#This Row],[_Row]]/100000,"")</f>
        <v/>
      </c>
      <c r="GP199" s="43" t="n">
        <f aca="false">Tasks[[#This Row],[_LeafWork]]*Tasks[[#This Row],[_LeafProgress]]</f>
        <v>0</v>
      </c>
      <c r="GQ199" s="91" t="str">
        <f aca="false">IF(AND(Tasks[[#This Row],[_IsLeaf]]=1,Tasks[[#This Row],[_LeafProgress]]&gt;=1),IF(N(Tasks[[#This Row],[Actual Finish]])&gt;0,Tasks[[#This Row],[Actual Finish]],Tasks[[#This Row],[_ShownFcstFinish]]),"")</f>
        <v/>
      </c>
      <c r="GR199" s="43" t="n">
        <f aca="false">IF(Tasks[[#This Row],[_IsLeaf]]=1,N(Tasks[[#This Row],[Story Points]]),0)</f>
        <v>0</v>
      </c>
      <c r="GS199" s="43" t="str">
        <f aca="false">""</f>
        <v/>
      </c>
      <c r="GT199" s="90" t="b">
        <f aca="false">IF(Tasks[[#This Row],[Task Name]]="",FALSE(),AND(Tasks[[#This Row],[_IsLeaf]]=1,N(Tasks[[#This Row],[_Days]])=0))</f>
        <v>0</v>
      </c>
      <c r="GU199" s="91" t="n">
        <f aca="false">IF(Tasks[[#This Row],[Task Name]]="",0,IF(AND(Tasks[[#This Row],[_IsLeaf]]=1,NOT(Tasks[[#This Row],[_IsMilestone]]),N(Tasks[[#This Row],[Progress]])&gt;0),Tasks[[#This Row],[Start]],0))</f>
        <v>0</v>
      </c>
      <c r="GV199" s="91" t="n">
        <f aca="false">IF(Tasks[[#This Row],[_DoneFrom]]=0,0,IF(Tasks[[#This Row],[Progress]]&gt;=1,Tasks[[#This Row],[Finish]],MAX(Tasks[[#This Row],[_DoneFrom]],Tasks[[#This Row],[Start]]+ROUND((Tasks[[#This Row],[Finish]]-Tasks[[#This Row],[Start]]+1)*Tasks[[#This Row],[Progress]],0)-1)))</f>
        <v>0</v>
      </c>
      <c r="GW199" s="91" t="n">
        <f aca="false">IF(Tasks[[#This Row],[Task Name]]="",0,IF(OR(NOT(Tasks[[#This Row],[_IsLeaf]]=1),Tasks[[#This Row],[_IsMilestone]],N(Tasks[[#This Row],[Progress]])&gt;=1),0,IF(Tasks[[#This Row],[_DoneTo]]&gt;0,Tasks[[#This Row],[_DoneTo]]+1,Tasks[[#This Row],[Start]])))</f>
        <v>0</v>
      </c>
      <c r="GX199" s="91" t="n">
        <f aca="false">IF(Tasks[[#This Row],[_RemFrom]]=0,0,Tasks[[#This Row],[Finish]])</f>
        <v>0</v>
      </c>
      <c r="GY199" s="90" t="b">
        <f aca="false">IF(Tasks[[#This Row],[Task Name]]="",FALSE(),OR(NOT(BaselineSet),N(Tasks[[#This Row],[Baseline Start]])&gt;0))</f>
        <v>0</v>
      </c>
      <c r="GZ19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9" s="92" t="str">
        <f aca="false">IF(Tasks[[#This Row],[_IsLeaf]]=1,Tasks[[#This Row],[_Row]],"")</f>
        <v/>
      </c>
      <c r="HD199" s="92" t="str">
        <f aca="false">IFERROR(INDEX(Tasks[UID],SMALL(Tasks[_PickKey],Tasks[[#This Row],[_Row]]))&amp;" "&amp;INDEX(Tasks[Task Name],SMALL(Tasks[_PickKey],Tasks[[#This Row],[_Row]])),"")</f>
        <v/>
      </c>
      <c r="HE199" s="43" t="str">
        <f aca="false">IF(Tasks[[#This Row],[Task Name]]="","",IF(Tasks[[#This Row],[_IsSummary]],NETWORKDAYS.INTL(Tasks[[#This Row],[Start]],Tasks[[#This Row],[Finish]],WorkWeek,Holidays),N(Tasks[[#This Row],[_Days]])))</f>
        <v/>
      </c>
      <c r="HF199" s="43" t="n">
        <f aca="false">IF(Tasks[[#This Row],[Expected]]="",0,((Tasks[[#This Row],[Pessimistic]]-Tasks[[#This Row],[Optimistic]])/6)^2)</f>
        <v>0</v>
      </c>
      <c r="HG199" s="43" t="n">
        <f aca="false">IF(Tasks[[#This Row],[Expected]]="",0,Tasks[[#This Row],[Expected]]-N(Tasks[[#This Row],[_Days]]))</f>
        <v>0</v>
      </c>
    </row>
    <row r="200" customFormat="false" ht="15" hidden="false" customHeight="false" outlineLevel="0" collapsed="false">
      <c r="A200" s="21" t="str">
        <f aca="false">IF(Tasks[[#This Row],[Task Name]]="","",COUNTA(Tasks[[#Headers],[Task Name]]:Tasks[[#This Row],[Task Name]])-1)</f>
        <v/>
      </c>
      <c r="B200" s="22" t="n">
        <v>208</v>
      </c>
      <c r="C200" s="22"/>
      <c r="D200" s="23"/>
      <c r="E200" s="22"/>
      <c r="F200" s="23"/>
      <c r="G200" s="22"/>
      <c r="H200" s="22"/>
      <c r="I200" s="23"/>
      <c r="J200" s="22"/>
      <c r="K200" s="22"/>
      <c r="L200" s="23"/>
      <c r="M200" s="22"/>
      <c r="N200" s="22"/>
      <c r="O200" s="23"/>
      <c r="P200" s="22"/>
      <c r="Q200" s="22"/>
      <c r="R200" s="23"/>
      <c r="S200" s="23"/>
      <c r="T200" s="84"/>
      <c r="U200" s="23"/>
      <c r="V200" s="84"/>
      <c r="W200" s="23"/>
      <c r="X200" s="84"/>
      <c r="Y200" s="23"/>
      <c r="Z200" s="84"/>
      <c r="AA200" s="23"/>
      <c r="AB200" s="23"/>
      <c r="AC200" s="7"/>
      <c r="AD200" s="7"/>
      <c r="AE200" s="63" t="str">
        <f aca="false">IF(Tasks[[#This Row],[Task Name]]="","",IF(Tasks[[#This Row],[_IsSummary]],MIN(INDEX(Tasks[_ShownFcstStart],Tasks[[#This Row],[_Row]]+1):INDEX(Tasks[_ShownFcstStart],Tasks[[#This Row],[_Row]]+Tasks[[#This Row],[_Descendants]])),Tasks[[#This Row],[_ShownFcstStart]]))</f>
        <v/>
      </c>
      <c r="AF200" s="63" t="str">
        <f aca="false">IF(Tasks[[#This Row],[Task Name]]="","",IF(Tasks[[#This Row],[_IsSummary]],MAX(INDEX(Tasks[_ShownFcstFinish],Tasks[[#This Row],[_Row]]+1):INDEX(Tasks[_ShownFcstFinish],Tasks[[#This Row],[_Row]]+Tasks[[#This Row],[_Descendants]])),Tasks[[#This Row],[_ShownFcstFinish]]))</f>
        <v/>
      </c>
      <c r="AG200" s="21" t="str">
        <f aca="false">""</f>
        <v/>
      </c>
      <c r="AH200" s="23"/>
      <c r="AI2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0" s="7"/>
      <c r="AK200" s="22"/>
      <c r="AL200" s="23"/>
      <c r="AM200" s="7"/>
      <c r="AN200" s="47" t="str">
        <f aca="false">IF(Tasks[[#This Row],[Task Name]]="","",IF(Tasks[[#This Row],[Finish]]&gt;=Tasks[[#This Row],[Planned Finish]],NETWORKDAYS.INTL(Tasks[[#This Row],[Planned Finish]],Tasks[[#This Row],[Finish]],WorkWeek,Holidays)-1,1-NETWORKDAYS.INTL(Tasks[[#This Row],[Finish]],Tasks[[#This Row],[Planned Finish]],WorkWeek,Holidays)))</f>
        <v/>
      </c>
      <c r="AO200" s="21" t="str">
        <f aca="false">IF(Tasks[[#This Row],[Task Name]]="","",IF(Tasks[[#This Row],[Progress]]&gt;=1,"Complete",IF(OR(N(Tasks[[#This Row],[Actual Start]])&gt;0,Tasks[[#This Row],[Progress]]&gt;0),IF(Tasks[[#This Row],[Finish Var]]&gt;0,"Behind","In Progress"),IF(Tasks[[#This Row],[Planned Start]]&lt;StatusDate,"Late Start","Not Started"))))</f>
        <v/>
      </c>
      <c r="AP200" s="21" t="str">
        <f aca="false">IF(Tasks[[#This Row],[Task Name]]="","",IF(IF(Tasks[[#This Row],[_IsSummary]],COUNTIF(INDEX(Tasks[_LeafCritical],Tasks[[#This Row],[_Row]]+1):INDEX(Tasks[_LeafCritical],Tasks[[#This Row],[_Row]]+Tasks[[#This Row],[_Descendants]]),TRUE())&gt;0,Tasks[[#This Row],[_LeafCritical]]),"Yes",""))</f>
        <v/>
      </c>
      <c r="AQ200" s="63" t="str">
        <f aca="false">IF(Tasks[[#This Row],[Task Name]]="","",IF(N(Tasks[[#This Row],[Baseline Start]])&gt;0,Tasks[[#This Row],[Baseline Start]],Tasks[[#This Row],[_CalcStart]]))</f>
        <v/>
      </c>
      <c r="AR200" s="63" t="str">
        <f aca="false">IF(Tasks[[#This Row],[Task Name]]="","",IF(N(Tasks[[#This Row],[Baseline Finish]])&gt;0,Tasks[[#This Row],[Baseline Finish]],Tasks[[#This Row],[_CalcFinish]]))</f>
        <v/>
      </c>
      <c r="AS200" s="47" t="str">
        <f aca="false">IF(Tasks[[#This Row],[Task Name]]="","",IF(Tasks[[#This Row],[Start]]&gt;=Tasks[[#This Row],[Planned Start]],NETWORKDAYS.INTL(Tasks[[#This Row],[Planned Start]],Tasks[[#This Row],[Start]],WorkWeek,Holidays)-1,1-NETWORKDAYS.INTL(Tasks[[#This Row],[Start]],Tasks[[#This Row],[Planned Start]],WorkWeek,Holidays)))</f>
        <v/>
      </c>
      <c r="AT200" s="63" t="str">
        <f aca="false">IF(Tasks[[#This Row],[Task Name]]="","",IF(Tasks[[#This Row],[_IsSummary]],MIN(INDEX(Tasks[_LeafLateStart],Tasks[[#This Row],[_Row]]+1):INDEX(Tasks[_LeafLateStart],Tasks[[#This Row],[_Row]]+Tasks[[#This Row],[_Descendants]])),Tasks[[#This Row],[_LeafLateStart]]))</f>
        <v/>
      </c>
      <c r="AU200" s="63" t="str">
        <f aca="false">IF(Tasks[[#This Row],[Task Name]]="","",IF(Tasks[[#This Row],[_IsSummary]],MAX(INDEX(Tasks[_LeafLateFinish],Tasks[[#This Row],[_Row]]+1):INDEX(Tasks[_LeafLateFinish],Tasks[[#This Row],[_Row]]+Tasks[[#This Row],[_Descendants]])),Tasks[[#This Row],[_LeafLateFinish]]))</f>
        <v/>
      </c>
      <c r="AV200" s="47" t="str">
        <f aca="false">IF(Tasks[[#This Row],[Task Name]]="","",IF(Tasks[[#This Row],[_IsSummary]],MIN(INDEX(Tasks[_LeafTotalSlack],Tasks[[#This Row],[_Row]]+1):INDEX(Tasks[_LeafTotalSlack],Tasks[[#This Row],[_Row]]+Tasks[[#This Row],[_Descendants]])),Tasks[[#This Row],[_LeafTotalSlack]]))</f>
        <v/>
      </c>
      <c r="AW2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5"/>
      <c r="BA20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1" t="str">
        <f aca="false">IF(Tasks[[#This Row],[Task Name]]="","",IF(Tasks[[#This Row],[_Level]]&lt;=OutlineShowLevel,"Yes","No"))</f>
        <v/>
      </c>
      <c r="BE200" s="86" t="str">
        <f aca="false">IF(Tasks[[#This Row],[Task Name]]="","",IF(Tasks[[#This Row],[_IsSummary]],SUM(INDEX(Tasks[_LeafTotalWork],Tasks[[#This Row],[_Row]]+1):INDEX(Tasks[_LeafTotalWork],Tasks[[#This Row],[_Row]]+Tasks[[#This Row],[_Descendants]])),Tasks[[#This Row],[_LeafTotalWork]]))</f>
        <v/>
      </c>
      <c r="BF200" s="23"/>
      <c r="BG2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0" s="21" t="str">
        <f aca="false">""</f>
        <v/>
      </c>
      <c r="BI200" s="87"/>
      <c r="BJ200" s="22"/>
      <c r="BK200" s="47" t="str">
        <f aca="false">IF(OR(Tasks[[#This Row],[Task Name]]="",Tasks[[#This Row],[Baseline Duration]]=""),"",Tasks[[#This Row],[_SpanDays]]-N(Tasks[[#This Row],[Baseline Duration]]))</f>
        <v/>
      </c>
      <c r="BL200" s="86" t="str">
        <f aca="false">IF(OR(Tasks[[#This Row],[Task Name]]="",Tasks[[#This Row],[Baseline Work]]=""),"",Tasks[[#This Row],[Work]]-N(Tasks[[#This Row],[Baseline Work]]))</f>
        <v/>
      </c>
      <c r="BM200" s="63" t="str">
        <f aca="false">IF(Tasks[[#This Row],[Task Name]]="","",IF(OR(TakeBaseline="Yes",N(Tasks[[#This Row],[Baseline Start]])=0),Tasks[[#This Row],[Start]],Tasks[[#This Row],[Baseline Start]]))</f>
        <v/>
      </c>
      <c r="BN200" s="63" t="str">
        <f aca="false">IF(Tasks[[#This Row],[Task Name]]="","",IF(OR(TakeBaseline="Yes",N(Tasks[[#This Row],[Baseline Finish]])=0),Tasks[[#This Row],[Finish]],Tasks[[#This Row],[Baseline Finish]]))</f>
        <v/>
      </c>
      <c r="BO200" s="21" t="str">
        <f aca="false">IF(Tasks[[#This Row],[Task Name]]="","",IF(OR(TakeBaseline="Yes",N(Tasks[[#This Row],[Baseline Duration]])=0),Tasks[[#This Row],[_SpanDays]],Tasks[[#This Row],[Baseline Duration]]))</f>
        <v/>
      </c>
      <c r="BP200" s="86" t="str">
        <f aca="false">IF(Tasks[[#This Row],[Task Name]]="","",IF(OR(TakeBaseline="Yes",N(Tasks[[#This Row],[Baseline Work]])=0),Tasks[[#This Row],[Work]],Tasks[[#This Row],[Baseline Work]]))</f>
        <v/>
      </c>
      <c r="BQ200" s="7"/>
      <c r="BR200" s="7"/>
      <c r="BS200" s="22"/>
      <c r="BT200" s="88"/>
      <c r="BU200" s="23"/>
      <c r="BV200" s="23"/>
      <c r="BW200" s="23"/>
      <c r="BX200" s="89" t="str">
        <f aca="false">IF(AND(Tasks[[#This Row],[_IsLeaf]]=1,ISNUMBER(Tasks[[#This Row],[Optimistic]]),ISNUMBER(Tasks[[#This Row],[Pessimistic]])),ROUND((Tasks[[#This Row],[Optimistic]]+4*N(Tasks[[#This Row],[_Days]])+Tasks[[#This Row],[Pessimistic]])/6,1),"")</f>
        <v/>
      </c>
      <c r="BY200" s="87"/>
      <c r="BZ200" s="87"/>
      <c r="CA200" s="22"/>
      <c r="CB200" s="43" t="str">
        <f aca="false">IF(Tasks[[#This Row],[Task Name]]="","",MAX(1,N(Tasks[[#This Row],[Level]])))</f>
        <v/>
      </c>
      <c r="CC200" s="43" t="n">
        <f aca="false">ROW()-ROW(Tasks[[#Headers],[ID]])</f>
        <v>195</v>
      </c>
      <c r="CD200" s="43" t="n">
        <f aca="false">IF(OR(Tasks[[#This Row],[Task Name]]="",Tasks[[#This Row],[_Level]]&lt;=1),0,IFERROR(LOOKUP(2,1/(Tasks[[#Headers],[_Level]]:Tasks[[#This Row],[_Level]]=Tasks[[#This Row],[_Level]]-1),ROW(Tasks[[#Headers],[_Level]]:Tasks[[#This Row],[_Level]])),0))</f>
        <v>0</v>
      </c>
      <c r="CE200" s="43" t="n">
        <f aca="false">IFERROR(N(INDEX(Tasks[_Level],Tasks[[#This Row],[_Row]]+1)),0)</f>
        <v>0</v>
      </c>
      <c r="CF200" s="90" t="b">
        <f aca="false">AND(Tasks[[#This Row],[Task Name]]&lt;&gt;"",Tasks[[#This Row],[_NextLevel]]&gt;Tasks[[#This Row],[_Level]])</f>
        <v>0</v>
      </c>
      <c r="CG200" s="43" t="n">
        <f aca="false">IF(Tasks[[#This Row],[_IsSummary]],COUNTIF(Tasks[WBS],Tasks[[#This Row],[WBS]]&amp;".*"),0)</f>
        <v>0</v>
      </c>
      <c r="CH200" s="43" t="n">
        <f aca="false">IF(AND(Tasks[[#This Row],[Task Name]]&lt;&gt;"",NOT(Tasks[[#This Row],[_IsSummary]])),1,0)</f>
        <v>0</v>
      </c>
      <c r="CI200" s="43" t="n">
        <f aca="false">IF(N(Tasks[[#This Row],[_Pred1UID]])=0,0,IFERROR(MATCH(Tasks[[#This Row],[_Pred1UID]],Tasks[UID],0),-1))</f>
        <v>0</v>
      </c>
      <c r="CJ200" s="43" t="n">
        <f aca="false">IF(N(Tasks[[#This Row],[_Pred2UID]])=0,0,IFERROR(MATCH(Tasks[[#This Row],[_Pred2UID]],Tasks[UID],0),-1))</f>
        <v>0</v>
      </c>
      <c r="CK200" s="43" t="n">
        <f aca="false">IF(N(Tasks[[#This Row],[_Pred3UID]])=0,0,IFERROR(MATCH(Tasks[[#This Row],[_Pred3UID]],Tasks[UID],0),-1))</f>
        <v>0</v>
      </c>
      <c r="CL200" s="43" t="n">
        <f aca="false">IF(N(Tasks[[#This Row],[_Pred4UID]])=0,0,IFERROR(MATCH(Tasks[[#This Row],[_Pred4UID]],Tasks[UID],0),-1))</f>
        <v>0</v>
      </c>
      <c r="CM20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0" s="91" t="n">
        <f aca="false">IF(OR(Tasks[[#This Row],[_ConstraintCode]]=2,Tasks[[#This Row],[_ConstraintCode]]=3,Tasks[[#This Row],[_ConstraintCode]]=4,Tasks[[#This Row],[_ConstraintCode]]=6),Tasks[[#This Row],[_ConstraintStart]],0)</f>
        <v>0</v>
      </c>
      <c r="CP200" s="91" t="n">
        <f aca="false">IF(OR(Tasks[[#This Row],[_ConstraintCode]]=2,Tasks[[#This Row],[_ConstraintCode]]=3,Tasks[[#This Row],[_ConstraintCode]]=5,Tasks[[#This Row],[_ConstraintCode]]=7),Tasks[[#This Row],[_ConstraintStart]],2958465)</f>
        <v>2958465</v>
      </c>
      <c r="CQ20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0" s="91" t="str">
        <f aca="false">IF(NOT(Tasks[[#This Row],[_IsLeaf]]=1),"",IF(N(Tasks[[#This Row],[_Days]])&lt;=0,Tasks[[#This Row],[_LeafCalcStart]],WORKDAY.INTL(Tasks[[#This Row],[_LeafCalcStart]],Tasks[[#This Row],[_Days]]-1,WorkWeek,Holidays)))</f>
        <v/>
      </c>
      <c r="CS20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0" s="43" t="str">
        <f aca="false">IF(Tasks[[#This Row],[_Predecessors]]="","",TRIM(MID(SUBSTITUTE(SUBSTITUTE(SUBSTITUTE(UPPER(Tasks[[#This Row],[_Predecessors]]),";",",")," ",""),",",REPT(" ",99)),1,99)))</f>
        <v/>
      </c>
      <c r="CV200" s="43" t="str">
        <f aca="false">IF(Tasks[[#This Row],[_Pred1Text]]="","",IFERROR(VALUE(LEFT(Tasks[[#This Row],[_Pred1Text]],MIN(FIND("F",Tasks[[#This Row],[_Pred1Text]]&amp;"F"),FIND("S",Tasks[[#This Row],[_Pred1Text]]&amp;"S"),FIND("+",Tasks[[#This Row],[_Pred1Text]]&amp;"+"),FIND("-",Tasks[[#This Row],[_Pred1Text]]&amp;"-"))-1)),""))</f>
        <v/>
      </c>
      <c r="CW20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0" s="43" t="str">
        <f aca="false">IF(Tasks[[#This Row],[_Pred1Text]]="","",TRIM(MID(SUBSTITUTE(SUBSTITUTE(SUBSTITUTE(UPPER(Tasks[[#This Row],[_Predecessors]]),";",",")," ",""),",",REPT(" ",99)),100,99)))</f>
        <v/>
      </c>
      <c r="CZ200" s="43" t="str">
        <f aca="false">IF(Tasks[[#This Row],[_Pred2Text]]="","",IFERROR(VALUE(LEFT(Tasks[[#This Row],[_Pred2Text]],MIN(FIND("F",Tasks[[#This Row],[_Pred2Text]]&amp;"F"),FIND("S",Tasks[[#This Row],[_Pred2Text]]&amp;"S"),FIND("+",Tasks[[#This Row],[_Pred2Text]]&amp;"+"),FIND("-",Tasks[[#This Row],[_Pred2Text]]&amp;"-"))-1)),""))</f>
        <v/>
      </c>
      <c r="DA20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0" s="43" t="str">
        <f aca="false">IF(Tasks[[#This Row],[_Pred2Text]]="","",TRIM(MID(SUBSTITUTE(SUBSTITUTE(SUBSTITUTE(UPPER(Tasks[[#This Row],[_Predecessors]]),";",",")," ",""),",",REPT(" ",99)),199,99)))</f>
        <v/>
      </c>
      <c r="DD200" s="43" t="str">
        <f aca="false">IF(Tasks[[#This Row],[_Pred3Text]]="","",IFERROR(VALUE(LEFT(Tasks[[#This Row],[_Pred3Text]],MIN(FIND("F",Tasks[[#This Row],[_Pred3Text]]&amp;"F"),FIND("S",Tasks[[#This Row],[_Pred3Text]]&amp;"S"),FIND("+",Tasks[[#This Row],[_Pred3Text]]&amp;"+"),FIND("-",Tasks[[#This Row],[_Pred3Text]]&amp;"-"))-1)),""))</f>
        <v/>
      </c>
      <c r="DE20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0" s="43" t="str">
        <f aca="false">IF(Tasks[[#This Row],[_Pred3Text]]="","",TRIM(MID(SUBSTITUTE(SUBSTITUTE(SUBSTITUTE(UPPER(Tasks[[#This Row],[_Predecessors]]),";",",")," ",""),",",REPT(" ",99)),298,99)))</f>
        <v/>
      </c>
      <c r="DH200" s="43" t="str">
        <f aca="false">IF(Tasks[[#This Row],[_Pred4Text]]="","",IFERROR(VALUE(LEFT(Tasks[[#This Row],[_Pred4Text]],MIN(FIND("F",Tasks[[#This Row],[_Pred4Text]]&amp;"F"),FIND("S",Tasks[[#This Row],[_Pred4Text]]&amp;"S"),FIND("+",Tasks[[#This Row],[_Pred4Text]]&amp;"+"),FIND("-",Tasks[[#This Row],[_Pred4Text]]&amp;"-"))-1)),""))</f>
        <v/>
      </c>
      <c r="DI20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0" s="43" t="str">
        <f aca="false">IF(OR(Tasks[[#This Row],[Task Name]]="",Tasks[[#This Row],[_Resources]]=""),"",TRIM(MID(SUBSTITUTE(Tasks[[#This Row],[_Resources]],",",REPT(" ",99)),1,99)))</f>
        <v/>
      </c>
      <c r="DL200" s="43" t="str">
        <f aca="false">IF(Tasks[[#This Row],[_Res1Text]]="","",TRIM(MID(SUBSTITUTE(Tasks[[#This Row],[_Resources]],",",REPT(" ",99)),100,99)))</f>
        <v/>
      </c>
      <c r="DM200" s="43" t="str">
        <f aca="false">IF(Tasks[[#This Row],[_Res2Text]]="","",TRIM(MID(SUBSTITUTE(Tasks[[#This Row],[_Resources]],",",REPT(" ",99)),199,99)))</f>
        <v/>
      </c>
      <c r="DN200" s="43" t="str">
        <f aca="false">IF(Tasks[[#This Row],[_Res3Text]]="","",TRIM(MID(SUBSTITUTE(Tasks[[#This Row],[_Resources]],",",REPT(" ",99)),298,99)))</f>
        <v/>
      </c>
      <c r="DO200" s="43" t="n">
        <f aca="false">IF(Tasks[[#This Row],[_Res1Text]]="",0,IFERROR(MATCH(TRIM(LEFT(Tasks[[#This Row],[_Res1Text]],FIND("[",Tasks[[#This Row],[_Res1Text]]&amp;"[")-1)),res_Name,0),IFERROR(MATCH(TRIM(LEFT(Tasks[[#This Row],[_Res1Text]],FIND("[",Tasks[[#This Row],[_Res1Text]]&amp;"[")-1)),res_Initials,0),0)))</f>
        <v>0</v>
      </c>
      <c r="DP200" s="43" t="n">
        <f aca="false">IF(Tasks[[#This Row],[_Res2Text]]="",0,IFERROR(MATCH(TRIM(LEFT(Tasks[[#This Row],[_Res2Text]],FIND("[",Tasks[[#This Row],[_Res2Text]]&amp;"[")-1)),res_Name,0),IFERROR(MATCH(TRIM(LEFT(Tasks[[#This Row],[_Res2Text]],FIND("[",Tasks[[#This Row],[_Res2Text]]&amp;"[")-1)),res_Initials,0),0)))</f>
        <v>0</v>
      </c>
      <c r="DQ200" s="43" t="n">
        <f aca="false">IF(Tasks[[#This Row],[_Res3Text]]="",0,IFERROR(MATCH(TRIM(LEFT(Tasks[[#This Row],[_Res3Text]],FIND("[",Tasks[[#This Row],[_Res3Text]]&amp;"[")-1)),res_Name,0),IFERROR(MATCH(TRIM(LEFT(Tasks[[#This Row],[_Res3Text]],FIND("[",Tasks[[#This Row],[_Res3Text]]&amp;"[")-1)),res_Initials,0),0)))</f>
        <v>0</v>
      </c>
      <c r="DR200" s="43" t="n">
        <f aca="false">IF(Tasks[[#This Row],[_Res4Text]]="",0,IFERROR(MATCH(TRIM(LEFT(Tasks[[#This Row],[_Res4Text]],FIND("[",Tasks[[#This Row],[_Res4Text]]&amp;"[")-1)),res_Name,0),IFERROR(MATCH(TRIM(LEFT(Tasks[[#This Row],[_Res4Text]],FIND("[",Tasks[[#This Row],[_Res4Text]]&amp;"[")-1)),res_Initials,0),0)))</f>
        <v>0</v>
      </c>
      <c r="DS200" s="43" t="str">
        <f aca="false">IF(Tasks[[#This Row],[_Res1Text]]="","",IF(Tasks[[#This Row],[_Res1Row]]&gt;0,INDEX(res_Name,Tasks[[#This Row],[_Res1Row]]),TRIM(LEFT(Tasks[[#This Row],[_Res1Text]],FIND("[",Tasks[[#This Row],[_Res1Text]]&amp;"[")-1))))</f>
        <v/>
      </c>
      <c r="DT20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0" s="43" t="n">
        <f aca="false">IF(NOT(Tasks[[#This Row],[_IsLeaf]]=1),0,(Tasks[[#This Row],[_Resource1]]&lt;&gt;"")+(Tasks[[#This Row],[_Res2]]&lt;&gt;"")+(Tasks[[#This Row],[_Res3]]&lt;&gt;"")+(Tasks[[#This Row],[_Res4]]&lt;&gt;""))</f>
        <v>0</v>
      </c>
      <c r="DV200" s="43" t="str">
        <f aca="false">IF(Tasks[[#This Row],[_Res2Text]]="","",IF(Tasks[[#This Row],[_Res2Row]]&gt;0,INDEX(res_Name,Tasks[[#This Row],[_Res2Row]]),TRIM(LEFT(Tasks[[#This Row],[_Res2Text]],FIND("[",Tasks[[#This Row],[_Res2Text]]&amp;"[")-1))))</f>
        <v/>
      </c>
      <c r="DW20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0" s="43" t="n">
        <f aca="false">IF(OR(NOT(Tasks[[#This Row],[_IsLeaf]]=1),Tasks[[#This Row],[_Res2Row]]=0),0,N(Tasks[[#This Row],[_Days]])*HoursPerDay*IF(Tasks[[#This Row],[_Res2Units]]="",DefaultUnits,Tasks[[#This Row],[_Res2Units]]))</f>
        <v>0</v>
      </c>
      <c r="DY200" s="43" t="n">
        <f aca="false">IF(AND(AND(Tasks[[#This Row],[_IsLeaf]]=1,Tasks[[#This Row],[_LeafTotalWork]]&gt;0),Tasks[[#This Row],[_Res2Work]]&gt;0),Tasks[[#This Row],[_Res2Work]]/(Tasks[[#This Row],[_FinishWorkday]]-Tasks[[#This Row],[_StartWorkday]]+1),0)</f>
        <v>0</v>
      </c>
      <c r="DZ200" s="43" t="n">
        <f aca="false">Tasks[[#This Row],[_Res2WorkPerWD]]*MAX(0,Tasks[[#This Row],[_StartWorkday]]-1)</f>
        <v>0</v>
      </c>
      <c r="EA200" s="43" t="n">
        <f aca="false">Tasks[[#This Row],[_Res2Work]]*Tasks[[#This Row],[_LeafProgress]]</f>
        <v>0</v>
      </c>
      <c r="EB200" s="43" t="str">
        <f aca="false">IF(Tasks[[#This Row],[_Res3Text]]="","",IF(Tasks[[#This Row],[_Res3Row]]&gt;0,INDEX(res_Name,Tasks[[#This Row],[_Res3Row]]),TRIM(LEFT(Tasks[[#This Row],[_Res3Text]],FIND("[",Tasks[[#This Row],[_Res3Text]]&amp;"[")-1))))</f>
        <v/>
      </c>
      <c r="EC20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0" s="43" t="n">
        <f aca="false">IF(OR(NOT(Tasks[[#This Row],[_IsLeaf]]=1),Tasks[[#This Row],[_Res3Row]]=0),0,N(Tasks[[#This Row],[_Days]])*HoursPerDay*IF(Tasks[[#This Row],[_Res3Units]]="",DefaultUnits,Tasks[[#This Row],[_Res3Units]]))</f>
        <v>0</v>
      </c>
      <c r="EE200" s="43" t="n">
        <f aca="false">IF(AND(AND(Tasks[[#This Row],[_IsLeaf]]=1,Tasks[[#This Row],[_LeafTotalWork]]&gt;0),Tasks[[#This Row],[_Res3Work]]&gt;0),Tasks[[#This Row],[_Res3Work]]/(Tasks[[#This Row],[_FinishWorkday]]-Tasks[[#This Row],[_StartWorkday]]+1),0)</f>
        <v>0</v>
      </c>
      <c r="EF200" s="43" t="n">
        <f aca="false">Tasks[[#This Row],[_Res3WorkPerWD]]*MAX(0,Tasks[[#This Row],[_StartWorkday]]-1)</f>
        <v>0</v>
      </c>
      <c r="EG200" s="43" t="n">
        <f aca="false">Tasks[[#This Row],[_Res3Work]]*Tasks[[#This Row],[_LeafProgress]]</f>
        <v>0</v>
      </c>
      <c r="EH200" s="43" t="str">
        <f aca="false">IF(Tasks[[#This Row],[_Res4Text]]="","",IF(Tasks[[#This Row],[_Res4Row]]&gt;0,INDEX(res_Name,Tasks[[#This Row],[_Res4Row]]),TRIM(LEFT(Tasks[[#This Row],[_Res4Text]],FIND("[",Tasks[[#This Row],[_Res4Text]]&amp;"[")-1))))</f>
        <v/>
      </c>
      <c r="EI20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0" s="43" t="n">
        <f aca="false">IF(OR(NOT(Tasks[[#This Row],[_IsLeaf]]=1),Tasks[[#This Row],[_Res4Row]]=0),0,N(Tasks[[#This Row],[_Days]])*HoursPerDay*IF(Tasks[[#This Row],[_Res4Units]]="",DefaultUnits,Tasks[[#This Row],[_Res4Units]]))</f>
        <v>0</v>
      </c>
      <c r="EK200" s="43" t="n">
        <f aca="false">IF(AND(AND(Tasks[[#This Row],[_IsLeaf]]=1,Tasks[[#This Row],[_LeafTotalWork]]&gt;0),Tasks[[#This Row],[_Res4Work]]&gt;0),Tasks[[#This Row],[_Res4Work]]/(Tasks[[#This Row],[_FinishWorkday]]-Tasks[[#This Row],[_StartWorkday]]+1),0)</f>
        <v>0</v>
      </c>
      <c r="EL200" s="43" t="n">
        <f aca="false">Tasks[[#This Row],[_Res4WorkPerWD]]*MAX(0,Tasks[[#This Row],[_StartWorkday]]-1)</f>
        <v>0</v>
      </c>
      <c r="EM200" s="43" t="n">
        <f aca="false">Tasks[[#This Row],[_Res4Work]]*Tasks[[#This Row],[_LeafProgress]]</f>
        <v>0</v>
      </c>
      <c r="EN200" s="43" t="n">
        <f aca="false">IF(ISNUMBER(Tasks[[#This Row],[% Complete]]),Tasks[[#This Row],[% Complete]],IF(Tasks[[#This Row],[Stage]]="",0,IFERROR(INDEX(stg_Pct,MATCH(Tasks[[#This Row],[Stage]],stg_Name,0)),0)))</f>
        <v>0</v>
      </c>
      <c r="EO200" s="43" t="n">
        <f aca="false">IF(NOT(Tasks[[#This Row],[_IsLeaf]]=1),0,IF(N(Tasks[[#This Row],[Actual Finish]])&gt;0,1,MIN(1,Tasks[[#This Row],[_Pct]])))</f>
        <v>0</v>
      </c>
      <c r="EP200" s="43" t="n">
        <f aca="false">IF(OR(NOT(Tasks[[#This Row],[_IsLeaf]]=1),Tasks[[#This Row],[_Res1Row]]=0),0,N(Tasks[[#This Row],[_Days]])*HoursPerDay*IF(Tasks[[#This Row],[_Units1]]="",DefaultUnits,Tasks[[#This Row],[_Units1]]))</f>
        <v>0</v>
      </c>
      <c r="EQ200" s="43" t="n">
        <f aca="false">Tasks[[#This Row],[_LeafWork]]+Tasks[[#This Row],[_Res2Work]]+Tasks[[#This Row],[_Res3Work]]+Tasks[[#This Row],[_Res4Work]]</f>
        <v>0</v>
      </c>
      <c r="ER20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0" s="43" t="n">
        <f aca="false">IF(NOT(Tasks[[#This Row],[_IsLeaf]]=1),0,MAX(_xlfn.MAXIFS(Tasks[_Row],Tasks[_Pred1UID],Tasks[[#This Row],[UID]]),_xlfn.MAXIFS(Tasks[_Row],Tasks[_Pred2UID],Tasks[[#This Row],[UID]]),_xlfn.MAXIFS(Tasks[_Row],Tasks[_Pred3UID],Tasks[[#This Row],[UID]]),_xlfn.MAXIFS(Tasks[_Row],Tasks[_Pred4UID],Tasks[[#This Row],[UID]])))</f>
        <v>0</v>
      </c>
      <c r="FA20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0" s="91" t="str">
        <f aca="false">IF(NOT(Tasks[[#This Row],[_IsLeaf]]=1),"",IF(N(Tasks[[#This Row],[_Days]])&lt;=0,Tasks[[#This Row],[_LeafLateFinish]],WORKDAY.INTL(Tasks[[#This Row],[_LeafLateFinish]],-(Tasks[[#This Row],[_Days]]-1),WorkWeek,Holidays)))</f>
        <v/>
      </c>
      <c r="FD20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0" s="90" t="b">
        <f aca="false">AND(Tasks[[#This Row],[_IsLeaf]]=1,Tasks[[#This Row],[_LeafProgress]]&lt;1,N(Tasks[[#This Row],[_LeafTotalSlack]])&lt;=CriticalSlackDays)</f>
        <v>0</v>
      </c>
      <c r="FF200" s="43" t="n">
        <f aca="false">IF(AND(Tasks[[#This Row],[_IsLeaf]]=1,Tasks[[#This Row],[_ConstraintCode]]=1,Tasks[[#This Row],[Mode]]&lt;&gt;"Manual",N(Tasks[[#This Row],[Actual Start]])=0),MAX(0,N(Tasks[[#This Row],[Free Slack]])),0)</f>
        <v>0</v>
      </c>
      <c r="FG200" s="91" t="str">
        <f aca="false">IF(NOT(Tasks[[#This Row],[_IsLeaf]]=1),"",IF(Tasks[[#This Row],[_AlapShift]]=0,Tasks[[#This Row],[_LeafCalcStart]],WORKDAY.INTL(Tasks[[#This Row],[_LeafCalcStart]],Tasks[[#This Row],[_AlapShift]],WorkWeek,Holidays)))</f>
        <v/>
      </c>
      <c r="FH200" s="91" t="str">
        <f aca="false">IF(NOT(Tasks[[#This Row],[_IsLeaf]]=1),"",IF(Tasks[[#This Row],[_AlapShift]]=0,Tasks[[#This Row],[_LeafCalcFinish]],WORKDAY.INTL(Tasks[[#This Row],[_LeafCalcFinish]],Tasks[[#This Row],[_AlapShift]],WorkWeek,Holidays)))</f>
        <v/>
      </c>
      <c r="FI200" s="91" t="str">
        <f aca="false">IF(NOT(Tasks[[#This Row],[_IsLeaf]]=1),"",IF(Tasks[[#This Row],[_AlapShift]]=0,Tasks[[#This Row],[_LeafFcstStart]],WORKDAY.INTL(Tasks[[#This Row],[_LeafFcstStart]],Tasks[[#This Row],[_AlapShift]],WorkWeek,Holidays)))</f>
        <v/>
      </c>
      <c r="FJ200" s="91" t="str">
        <f aca="false">IF(NOT(Tasks[[#This Row],[_IsLeaf]]=1),"",IF(Tasks[[#This Row],[_AlapShift]]=0,Tasks[[#This Row],[_LeafFcstFinish]],WORKDAY.INTL(Tasks[[#This Row],[_LeafFcstFinish]],Tasks[[#This Row],[_AlapShift]],WorkWeek,Holidays)))</f>
        <v/>
      </c>
      <c r="FK200" s="91" t="str">
        <f aca="false">IF(Tasks[[#This Row],[Task Name]]="","",IF(Tasks[[#This Row],[_IsSummary]],MIN(INDEX(Tasks[_ShownCalcStart],Tasks[[#This Row],[_Row]]+1):INDEX(Tasks[_ShownCalcStart],Tasks[[#This Row],[_Row]]+Tasks[[#This Row],[_Descendants]])),Tasks[[#This Row],[_ShownCalcStart]]))</f>
        <v/>
      </c>
      <c r="FL200" s="91" t="str">
        <f aca="false">IF(Tasks[[#This Row],[Task Name]]="","",IF(Tasks[[#This Row],[_IsSummary]],MAX(INDEX(Tasks[_ShownCalcFinish],Tasks[[#This Row],[_Row]]+1):INDEX(Tasks[_ShownCalcFinish],Tasks[[#This Row],[_Row]]+Tasks[[#This Row],[_Descendants]])),Tasks[[#This Row],[_ShownCalcFinish]]))</f>
        <v/>
      </c>
      <c r="FM20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0" s="43" t="n">
        <f aca="false">IF(AND(Tasks[[#This Row],[_IsLeaf]]=1,Tasks[[#This Row],[_LeafTotalWork]]&gt;0),NETWORKDAYS.INTL(ProjectStart,Tasks[[#This Row],[_ShownFcstStart]],WorkWeek,Holidays),0)</f>
        <v>0</v>
      </c>
      <c r="FZ200" s="43" t="n">
        <f aca="false">IF(AND(Tasks[[#This Row],[_IsLeaf]]=1,Tasks[[#This Row],[_LeafTotalWork]]&gt;0),MAX(Tasks[[#This Row],[_StartWorkday]],NETWORKDAYS.INTL(ProjectStart,Tasks[[#This Row],[_ShownFcstFinish]],WorkWeek,Holidays)),0)</f>
        <v>0</v>
      </c>
      <c r="GA200" s="43" t="n">
        <f aca="false">IF(AND(Tasks[[#This Row],[_IsLeaf]]=1,Tasks[[#This Row],[_LeafTotalWork]]&gt;0),Tasks[[#This Row],[_LeafWork]]/(Tasks[[#This Row],[_FinishWorkday]]-Tasks[[#This Row],[_StartWorkday]]+1),0)</f>
        <v>0</v>
      </c>
      <c r="GB200" s="43" t="n">
        <f aca="false">Tasks[[#This Row],[_WorkPerWorkday]]*(Tasks[[#This Row],[_StartWorkday]]-1)</f>
        <v>-0</v>
      </c>
      <c r="GC200" s="43" t="n">
        <f aca="false">IF(Tasks[[#This Row],[_IsLeaf]]=1,MAX(N(Tasks[[#This Row],[_Days]]),0.1),0)</f>
        <v>0</v>
      </c>
      <c r="GD200" s="43" t="n">
        <f aca="false">Tasks[[#This Row],[_WeightDur]]*Tasks[[#This Row],[_LeafProgress]]</f>
        <v>0</v>
      </c>
      <c r="GE200" s="43" t="n">
        <f aca="false">Tasks[[#This Row],[_WeightDur]]*Tasks[[#This Row],[_PlannedPct]]</f>
        <v>0</v>
      </c>
      <c r="GF20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0" s="43" t="str">
        <f aca="false">IF(AND(Tasks[[#This Row],[_IsLeaf]]=1,N(Tasks[[#This Row],[_Days]])=0,Tasks[[#This Row],[_LeafProgress]]&lt;1),Tasks[[#This Row],[_ShownFcstFinish]]+Tasks[[#This Row],[_Row]]/100000,"")</f>
        <v/>
      </c>
      <c r="GH20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0" s="43" t="str">
        <f aca="false">IF(Tasks[[#This Row],[Task Name]]="","",LEFT(Tasks[[#This Row],[WBS]],FIND(".",Tasks[[#This Row],[WBS]]&amp;".")-1))</f>
        <v/>
      </c>
      <c r="GJ200" s="43" t="str">
        <f aca="false">IF(AND(Tasks[[#This Row],[Task Name]]&lt;&gt;"",Tasks[[#This Row],[_Level]]=1),Tasks[[#This Row],[_Row]],"")</f>
        <v/>
      </c>
      <c r="GK200" s="43" t="str">
        <f aca="false">IF(AND(Tasks[[#This Row],[_IsLeaf]]=1,N(Tasks[[#This Row],[_Days]])=0),Tasks[[#This Row],[Planned Finish]]+Tasks[[#This Row],[_Row]]/100000,"")</f>
        <v/>
      </c>
      <c r="GL200" s="43" t="str">
        <f aca="false">IF(AND(Tasks[[#This Row],[_IsLeaf]]=1,Tasks[[#This Row],[_LeafProgress]]&lt;1,OR(N(Tasks[[#This Row],[Finish Var]])&gt;0,Tasks[[#This Row],[Status]]="Late Start")),MAX(0,Tasks[[#This Row],[Finish Var]])+1-Tasks[[#This Row],[_Row]]/1000000,"")</f>
        <v/>
      </c>
      <c r="GM200" s="43" t="str">
        <f aca="false">IF(AND(Tasks[[#This Row],[_IsLeaf]]=1,N(Tasks[[#This Row],[Actual Start]])=0,Tasks[[#This Row],[_ShownFcstStart]]&gt;=StatusDate,Tasks[[#This Row],[_ShownFcstStart]]&lt;=LookaheadEnd),Tasks[[#This Row],[_ShownFcstStart]]+Tasks[[#This Row],[_Row]]/100000,"")</f>
        <v/>
      </c>
      <c r="GN200" s="43" t="str">
        <f aca="false">IF(AND(Tasks[[#This Row],[_IsLeaf]]=1,Tasks[[#This Row],[_LeafProgress]]&lt;1,Tasks[[#This Row],[_ShownFcstFinish]]&gt;=StatusDate,Tasks[[#This Row],[_ShownFcstFinish]]&lt;=LookaheadEnd),Tasks[[#This Row],[_ShownFcstFinish]]+Tasks[[#This Row],[_Row]]/100000,"")</f>
        <v/>
      </c>
      <c r="GO200" s="43" t="str">
        <f aca="false">IF(Tasks[[#This Row],[_LeafCritical]],Tasks[[#This Row],[_ShownFcstStart]]+Tasks[[#This Row],[_Row]]/100000,"")</f>
        <v/>
      </c>
      <c r="GP200" s="43" t="n">
        <f aca="false">Tasks[[#This Row],[_LeafWork]]*Tasks[[#This Row],[_LeafProgress]]</f>
        <v>0</v>
      </c>
      <c r="GQ200" s="91" t="str">
        <f aca="false">IF(AND(Tasks[[#This Row],[_IsLeaf]]=1,Tasks[[#This Row],[_LeafProgress]]&gt;=1),IF(N(Tasks[[#This Row],[Actual Finish]])&gt;0,Tasks[[#This Row],[Actual Finish]],Tasks[[#This Row],[_ShownFcstFinish]]),"")</f>
        <v/>
      </c>
      <c r="GR200" s="43" t="n">
        <f aca="false">IF(Tasks[[#This Row],[_IsLeaf]]=1,N(Tasks[[#This Row],[Story Points]]),0)</f>
        <v>0</v>
      </c>
      <c r="GS200" s="43" t="str">
        <f aca="false">""</f>
        <v/>
      </c>
      <c r="GT200" s="90" t="b">
        <f aca="false">IF(Tasks[[#This Row],[Task Name]]="",FALSE(),AND(Tasks[[#This Row],[_IsLeaf]]=1,N(Tasks[[#This Row],[_Days]])=0))</f>
        <v>0</v>
      </c>
      <c r="GU200" s="91" t="n">
        <f aca="false">IF(Tasks[[#This Row],[Task Name]]="",0,IF(AND(Tasks[[#This Row],[_IsLeaf]]=1,NOT(Tasks[[#This Row],[_IsMilestone]]),N(Tasks[[#This Row],[Progress]])&gt;0),Tasks[[#This Row],[Start]],0))</f>
        <v>0</v>
      </c>
      <c r="GV200" s="91" t="n">
        <f aca="false">IF(Tasks[[#This Row],[_DoneFrom]]=0,0,IF(Tasks[[#This Row],[Progress]]&gt;=1,Tasks[[#This Row],[Finish]],MAX(Tasks[[#This Row],[_DoneFrom]],Tasks[[#This Row],[Start]]+ROUND((Tasks[[#This Row],[Finish]]-Tasks[[#This Row],[Start]]+1)*Tasks[[#This Row],[Progress]],0)-1)))</f>
        <v>0</v>
      </c>
      <c r="GW200" s="91" t="n">
        <f aca="false">IF(Tasks[[#This Row],[Task Name]]="",0,IF(OR(NOT(Tasks[[#This Row],[_IsLeaf]]=1),Tasks[[#This Row],[_IsMilestone]],N(Tasks[[#This Row],[Progress]])&gt;=1),0,IF(Tasks[[#This Row],[_DoneTo]]&gt;0,Tasks[[#This Row],[_DoneTo]]+1,Tasks[[#This Row],[Start]])))</f>
        <v>0</v>
      </c>
      <c r="GX200" s="91" t="n">
        <f aca="false">IF(Tasks[[#This Row],[_RemFrom]]=0,0,Tasks[[#This Row],[Finish]])</f>
        <v>0</v>
      </c>
      <c r="GY200" s="90" t="b">
        <f aca="false">IF(Tasks[[#This Row],[Task Name]]="",FALSE(),OR(NOT(BaselineSet),N(Tasks[[#This Row],[Baseline Start]])&gt;0))</f>
        <v>0</v>
      </c>
      <c r="GZ20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0" s="92" t="str">
        <f aca="false">IF(Tasks[[#This Row],[_IsLeaf]]=1,Tasks[[#This Row],[_Row]],"")</f>
        <v/>
      </c>
      <c r="HD200" s="92" t="str">
        <f aca="false">IFERROR(INDEX(Tasks[UID],SMALL(Tasks[_PickKey],Tasks[[#This Row],[_Row]]))&amp;" "&amp;INDEX(Tasks[Task Name],SMALL(Tasks[_PickKey],Tasks[[#This Row],[_Row]])),"")</f>
        <v/>
      </c>
      <c r="HE200" s="43" t="str">
        <f aca="false">IF(Tasks[[#This Row],[Task Name]]="","",IF(Tasks[[#This Row],[_IsSummary]],NETWORKDAYS.INTL(Tasks[[#This Row],[Start]],Tasks[[#This Row],[Finish]],WorkWeek,Holidays),N(Tasks[[#This Row],[_Days]])))</f>
        <v/>
      </c>
      <c r="HF200" s="43" t="n">
        <f aca="false">IF(Tasks[[#This Row],[Expected]]="",0,((Tasks[[#This Row],[Pessimistic]]-Tasks[[#This Row],[Optimistic]])/6)^2)</f>
        <v>0</v>
      </c>
      <c r="HG200" s="43" t="n">
        <f aca="false">IF(Tasks[[#This Row],[Expected]]="",0,Tasks[[#This Row],[Expected]]-N(Tasks[[#This Row],[_Days]]))</f>
        <v>0</v>
      </c>
    </row>
    <row r="201" customFormat="false" ht="15" hidden="false" customHeight="false" outlineLevel="0" collapsed="false">
      <c r="A201" s="21" t="str">
        <f aca="false">IF(Tasks[[#This Row],[Task Name]]="","",COUNTA(Tasks[[#Headers],[Task Name]]:Tasks[[#This Row],[Task Name]])-1)</f>
        <v/>
      </c>
      <c r="B201" s="22" t="n">
        <v>209</v>
      </c>
      <c r="C201" s="22"/>
      <c r="D201" s="23"/>
      <c r="E201" s="22"/>
      <c r="F201" s="23"/>
      <c r="G201" s="22"/>
      <c r="H201" s="22"/>
      <c r="I201" s="23"/>
      <c r="J201" s="22"/>
      <c r="K201" s="22"/>
      <c r="L201" s="23"/>
      <c r="M201" s="22"/>
      <c r="N201" s="22"/>
      <c r="O201" s="23"/>
      <c r="P201" s="22"/>
      <c r="Q201" s="22"/>
      <c r="R201" s="23"/>
      <c r="S201" s="23"/>
      <c r="T201" s="84"/>
      <c r="U201" s="23"/>
      <c r="V201" s="84"/>
      <c r="W201" s="23"/>
      <c r="X201" s="84"/>
      <c r="Y201" s="23"/>
      <c r="Z201" s="84"/>
      <c r="AA201" s="23"/>
      <c r="AB201" s="23"/>
      <c r="AC201" s="7"/>
      <c r="AD201" s="7"/>
      <c r="AE201" s="63" t="str">
        <f aca="false">IF(Tasks[[#This Row],[Task Name]]="","",IF(Tasks[[#This Row],[_IsSummary]],MIN(INDEX(Tasks[_ShownFcstStart],Tasks[[#This Row],[_Row]]+1):INDEX(Tasks[_ShownFcstStart],Tasks[[#This Row],[_Row]]+Tasks[[#This Row],[_Descendants]])),Tasks[[#This Row],[_ShownFcstStart]]))</f>
        <v/>
      </c>
      <c r="AF201" s="63" t="str">
        <f aca="false">IF(Tasks[[#This Row],[Task Name]]="","",IF(Tasks[[#This Row],[_IsSummary]],MAX(INDEX(Tasks[_ShownFcstFinish],Tasks[[#This Row],[_Row]]+1):INDEX(Tasks[_ShownFcstFinish],Tasks[[#This Row],[_Row]]+Tasks[[#This Row],[_Descendants]])),Tasks[[#This Row],[_ShownFcstFinish]]))</f>
        <v/>
      </c>
      <c r="AG201" s="21" t="str">
        <f aca="false">""</f>
        <v/>
      </c>
      <c r="AH201" s="23"/>
      <c r="AI2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1" s="7"/>
      <c r="AK201" s="22"/>
      <c r="AL201" s="23"/>
      <c r="AM201" s="7"/>
      <c r="AN201" s="47" t="str">
        <f aca="false">IF(Tasks[[#This Row],[Task Name]]="","",IF(Tasks[[#This Row],[Finish]]&gt;=Tasks[[#This Row],[Planned Finish]],NETWORKDAYS.INTL(Tasks[[#This Row],[Planned Finish]],Tasks[[#This Row],[Finish]],WorkWeek,Holidays)-1,1-NETWORKDAYS.INTL(Tasks[[#This Row],[Finish]],Tasks[[#This Row],[Planned Finish]],WorkWeek,Holidays)))</f>
        <v/>
      </c>
      <c r="AO201" s="21" t="str">
        <f aca="false">IF(Tasks[[#This Row],[Task Name]]="","",IF(Tasks[[#This Row],[Progress]]&gt;=1,"Complete",IF(OR(N(Tasks[[#This Row],[Actual Start]])&gt;0,Tasks[[#This Row],[Progress]]&gt;0),IF(Tasks[[#This Row],[Finish Var]]&gt;0,"Behind","In Progress"),IF(Tasks[[#This Row],[Planned Start]]&lt;StatusDate,"Late Start","Not Started"))))</f>
        <v/>
      </c>
      <c r="AP201" s="21" t="str">
        <f aca="false">IF(Tasks[[#This Row],[Task Name]]="","",IF(IF(Tasks[[#This Row],[_IsSummary]],COUNTIF(INDEX(Tasks[_LeafCritical],Tasks[[#This Row],[_Row]]+1):INDEX(Tasks[_LeafCritical],Tasks[[#This Row],[_Row]]+Tasks[[#This Row],[_Descendants]]),TRUE())&gt;0,Tasks[[#This Row],[_LeafCritical]]),"Yes",""))</f>
        <v/>
      </c>
      <c r="AQ201" s="63" t="str">
        <f aca="false">IF(Tasks[[#This Row],[Task Name]]="","",IF(N(Tasks[[#This Row],[Baseline Start]])&gt;0,Tasks[[#This Row],[Baseline Start]],Tasks[[#This Row],[_CalcStart]]))</f>
        <v/>
      </c>
      <c r="AR201" s="63" t="str">
        <f aca="false">IF(Tasks[[#This Row],[Task Name]]="","",IF(N(Tasks[[#This Row],[Baseline Finish]])&gt;0,Tasks[[#This Row],[Baseline Finish]],Tasks[[#This Row],[_CalcFinish]]))</f>
        <v/>
      </c>
      <c r="AS201" s="47" t="str">
        <f aca="false">IF(Tasks[[#This Row],[Task Name]]="","",IF(Tasks[[#This Row],[Start]]&gt;=Tasks[[#This Row],[Planned Start]],NETWORKDAYS.INTL(Tasks[[#This Row],[Planned Start]],Tasks[[#This Row],[Start]],WorkWeek,Holidays)-1,1-NETWORKDAYS.INTL(Tasks[[#This Row],[Start]],Tasks[[#This Row],[Planned Start]],WorkWeek,Holidays)))</f>
        <v/>
      </c>
      <c r="AT201" s="63" t="str">
        <f aca="false">IF(Tasks[[#This Row],[Task Name]]="","",IF(Tasks[[#This Row],[_IsSummary]],MIN(INDEX(Tasks[_LeafLateStart],Tasks[[#This Row],[_Row]]+1):INDEX(Tasks[_LeafLateStart],Tasks[[#This Row],[_Row]]+Tasks[[#This Row],[_Descendants]])),Tasks[[#This Row],[_LeafLateStart]]))</f>
        <v/>
      </c>
      <c r="AU201" s="63" t="str">
        <f aca="false">IF(Tasks[[#This Row],[Task Name]]="","",IF(Tasks[[#This Row],[_IsSummary]],MAX(INDEX(Tasks[_LeafLateFinish],Tasks[[#This Row],[_Row]]+1):INDEX(Tasks[_LeafLateFinish],Tasks[[#This Row],[_Row]]+Tasks[[#This Row],[_Descendants]])),Tasks[[#This Row],[_LeafLateFinish]]))</f>
        <v/>
      </c>
      <c r="AV201" s="47" t="str">
        <f aca="false">IF(Tasks[[#This Row],[Task Name]]="","",IF(Tasks[[#This Row],[_IsSummary]],MIN(INDEX(Tasks[_LeafTotalSlack],Tasks[[#This Row],[_Row]]+1):INDEX(Tasks[_LeafTotalSlack],Tasks[[#This Row],[_Row]]+Tasks[[#This Row],[_Descendants]])),Tasks[[#This Row],[_LeafTotalSlack]]))</f>
        <v/>
      </c>
      <c r="AW2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5"/>
      <c r="BA20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1" t="str">
        <f aca="false">IF(Tasks[[#This Row],[Task Name]]="","",IF(Tasks[[#This Row],[_Level]]&lt;=OutlineShowLevel,"Yes","No"))</f>
        <v/>
      </c>
      <c r="BE201" s="86" t="str">
        <f aca="false">IF(Tasks[[#This Row],[Task Name]]="","",IF(Tasks[[#This Row],[_IsSummary]],SUM(INDEX(Tasks[_LeafTotalWork],Tasks[[#This Row],[_Row]]+1):INDEX(Tasks[_LeafTotalWork],Tasks[[#This Row],[_Row]]+Tasks[[#This Row],[_Descendants]])),Tasks[[#This Row],[_LeafTotalWork]]))</f>
        <v/>
      </c>
      <c r="BF201" s="23"/>
      <c r="BG2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1" s="21" t="str">
        <f aca="false">""</f>
        <v/>
      </c>
      <c r="BI201" s="87"/>
      <c r="BJ201" s="22"/>
      <c r="BK201" s="47" t="str">
        <f aca="false">IF(OR(Tasks[[#This Row],[Task Name]]="",Tasks[[#This Row],[Baseline Duration]]=""),"",Tasks[[#This Row],[_SpanDays]]-N(Tasks[[#This Row],[Baseline Duration]]))</f>
        <v/>
      </c>
      <c r="BL201" s="86" t="str">
        <f aca="false">IF(OR(Tasks[[#This Row],[Task Name]]="",Tasks[[#This Row],[Baseline Work]]=""),"",Tasks[[#This Row],[Work]]-N(Tasks[[#This Row],[Baseline Work]]))</f>
        <v/>
      </c>
      <c r="BM201" s="63" t="str">
        <f aca="false">IF(Tasks[[#This Row],[Task Name]]="","",IF(OR(TakeBaseline="Yes",N(Tasks[[#This Row],[Baseline Start]])=0),Tasks[[#This Row],[Start]],Tasks[[#This Row],[Baseline Start]]))</f>
        <v/>
      </c>
      <c r="BN201" s="63" t="str">
        <f aca="false">IF(Tasks[[#This Row],[Task Name]]="","",IF(OR(TakeBaseline="Yes",N(Tasks[[#This Row],[Baseline Finish]])=0),Tasks[[#This Row],[Finish]],Tasks[[#This Row],[Baseline Finish]]))</f>
        <v/>
      </c>
      <c r="BO201" s="21" t="str">
        <f aca="false">IF(Tasks[[#This Row],[Task Name]]="","",IF(OR(TakeBaseline="Yes",N(Tasks[[#This Row],[Baseline Duration]])=0),Tasks[[#This Row],[_SpanDays]],Tasks[[#This Row],[Baseline Duration]]))</f>
        <v/>
      </c>
      <c r="BP201" s="86" t="str">
        <f aca="false">IF(Tasks[[#This Row],[Task Name]]="","",IF(OR(TakeBaseline="Yes",N(Tasks[[#This Row],[Baseline Work]])=0),Tasks[[#This Row],[Work]],Tasks[[#This Row],[Baseline Work]]))</f>
        <v/>
      </c>
      <c r="BQ201" s="7"/>
      <c r="BR201" s="7"/>
      <c r="BS201" s="22"/>
      <c r="BT201" s="88"/>
      <c r="BU201" s="23"/>
      <c r="BV201" s="23"/>
      <c r="BW201" s="23"/>
      <c r="BX201" s="89" t="str">
        <f aca="false">IF(AND(Tasks[[#This Row],[_IsLeaf]]=1,ISNUMBER(Tasks[[#This Row],[Optimistic]]),ISNUMBER(Tasks[[#This Row],[Pessimistic]])),ROUND((Tasks[[#This Row],[Optimistic]]+4*N(Tasks[[#This Row],[_Days]])+Tasks[[#This Row],[Pessimistic]])/6,1),"")</f>
        <v/>
      </c>
      <c r="BY201" s="87"/>
      <c r="BZ201" s="87"/>
      <c r="CA201" s="22"/>
      <c r="CB201" s="43" t="str">
        <f aca="false">IF(Tasks[[#This Row],[Task Name]]="","",MAX(1,N(Tasks[[#This Row],[Level]])))</f>
        <v/>
      </c>
      <c r="CC201" s="43" t="n">
        <f aca="false">ROW()-ROW(Tasks[[#Headers],[ID]])</f>
        <v>196</v>
      </c>
      <c r="CD201" s="43" t="n">
        <f aca="false">IF(OR(Tasks[[#This Row],[Task Name]]="",Tasks[[#This Row],[_Level]]&lt;=1),0,IFERROR(LOOKUP(2,1/(Tasks[[#Headers],[_Level]]:Tasks[[#This Row],[_Level]]=Tasks[[#This Row],[_Level]]-1),ROW(Tasks[[#Headers],[_Level]]:Tasks[[#This Row],[_Level]])),0))</f>
        <v>0</v>
      </c>
      <c r="CE201" s="43" t="n">
        <f aca="false">IFERROR(N(INDEX(Tasks[_Level],Tasks[[#This Row],[_Row]]+1)),0)</f>
        <v>0</v>
      </c>
      <c r="CF201" s="90" t="b">
        <f aca="false">AND(Tasks[[#This Row],[Task Name]]&lt;&gt;"",Tasks[[#This Row],[_NextLevel]]&gt;Tasks[[#This Row],[_Level]])</f>
        <v>0</v>
      </c>
      <c r="CG201" s="43" t="n">
        <f aca="false">IF(Tasks[[#This Row],[_IsSummary]],COUNTIF(Tasks[WBS],Tasks[[#This Row],[WBS]]&amp;".*"),0)</f>
        <v>0</v>
      </c>
      <c r="CH201" s="43" t="n">
        <f aca="false">IF(AND(Tasks[[#This Row],[Task Name]]&lt;&gt;"",NOT(Tasks[[#This Row],[_IsSummary]])),1,0)</f>
        <v>0</v>
      </c>
      <c r="CI201" s="43" t="n">
        <f aca="false">IF(N(Tasks[[#This Row],[_Pred1UID]])=0,0,IFERROR(MATCH(Tasks[[#This Row],[_Pred1UID]],Tasks[UID],0),-1))</f>
        <v>0</v>
      </c>
      <c r="CJ201" s="43" t="n">
        <f aca="false">IF(N(Tasks[[#This Row],[_Pred2UID]])=0,0,IFERROR(MATCH(Tasks[[#This Row],[_Pred2UID]],Tasks[UID],0),-1))</f>
        <v>0</v>
      </c>
      <c r="CK201" s="43" t="n">
        <f aca="false">IF(N(Tasks[[#This Row],[_Pred3UID]])=0,0,IFERROR(MATCH(Tasks[[#This Row],[_Pred3UID]],Tasks[UID],0),-1))</f>
        <v>0</v>
      </c>
      <c r="CL201" s="43" t="n">
        <f aca="false">IF(N(Tasks[[#This Row],[_Pred4UID]])=0,0,IFERROR(MATCH(Tasks[[#This Row],[_Pred4UID]],Tasks[UID],0),-1))</f>
        <v>0</v>
      </c>
      <c r="CM20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1" s="91" t="n">
        <f aca="false">IF(OR(Tasks[[#This Row],[_ConstraintCode]]=2,Tasks[[#This Row],[_ConstraintCode]]=3,Tasks[[#This Row],[_ConstraintCode]]=4,Tasks[[#This Row],[_ConstraintCode]]=6),Tasks[[#This Row],[_ConstraintStart]],0)</f>
        <v>0</v>
      </c>
      <c r="CP201" s="91" t="n">
        <f aca="false">IF(OR(Tasks[[#This Row],[_ConstraintCode]]=2,Tasks[[#This Row],[_ConstraintCode]]=3,Tasks[[#This Row],[_ConstraintCode]]=5,Tasks[[#This Row],[_ConstraintCode]]=7),Tasks[[#This Row],[_ConstraintStart]],2958465)</f>
        <v>2958465</v>
      </c>
      <c r="CQ20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1" s="91" t="str">
        <f aca="false">IF(NOT(Tasks[[#This Row],[_IsLeaf]]=1),"",IF(N(Tasks[[#This Row],[_Days]])&lt;=0,Tasks[[#This Row],[_LeafCalcStart]],WORKDAY.INTL(Tasks[[#This Row],[_LeafCalcStart]],Tasks[[#This Row],[_Days]]-1,WorkWeek,Holidays)))</f>
        <v/>
      </c>
      <c r="CS20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1" s="43" t="str">
        <f aca="false">IF(Tasks[[#This Row],[_Predecessors]]="","",TRIM(MID(SUBSTITUTE(SUBSTITUTE(SUBSTITUTE(UPPER(Tasks[[#This Row],[_Predecessors]]),";",",")," ",""),",",REPT(" ",99)),1,99)))</f>
        <v/>
      </c>
      <c r="CV201" s="43" t="str">
        <f aca="false">IF(Tasks[[#This Row],[_Pred1Text]]="","",IFERROR(VALUE(LEFT(Tasks[[#This Row],[_Pred1Text]],MIN(FIND("F",Tasks[[#This Row],[_Pred1Text]]&amp;"F"),FIND("S",Tasks[[#This Row],[_Pred1Text]]&amp;"S"),FIND("+",Tasks[[#This Row],[_Pred1Text]]&amp;"+"),FIND("-",Tasks[[#This Row],[_Pred1Text]]&amp;"-"))-1)),""))</f>
        <v/>
      </c>
      <c r="CW20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1" s="43" t="str">
        <f aca="false">IF(Tasks[[#This Row],[_Pred1Text]]="","",TRIM(MID(SUBSTITUTE(SUBSTITUTE(SUBSTITUTE(UPPER(Tasks[[#This Row],[_Predecessors]]),";",",")," ",""),",",REPT(" ",99)),100,99)))</f>
        <v/>
      </c>
      <c r="CZ201" s="43" t="str">
        <f aca="false">IF(Tasks[[#This Row],[_Pred2Text]]="","",IFERROR(VALUE(LEFT(Tasks[[#This Row],[_Pred2Text]],MIN(FIND("F",Tasks[[#This Row],[_Pred2Text]]&amp;"F"),FIND("S",Tasks[[#This Row],[_Pred2Text]]&amp;"S"),FIND("+",Tasks[[#This Row],[_Pred2Text]]&amp;"+"),FIND("-",Tasks[[#This Row],[_Pred2Text]]&amp;"-"))-1)),""))</f>
        <v/>
      </c>
      <c r="DA20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1" s="43" t="str">
        <f aca="false">IF(Tasks[[#This Row],[_Pred2Text]]="","",TRIM(MID(SUBSTITUTE(SUBSTITUTE(SUBSTITUTE(UPPER(Tasks[[#This Row],[_Predecessors]]),";",",")," ",""),",",REPT(" ",99)),199,99)))</f>
        <v/>
      </c>
      <c r="DD201" s="43" t="str">
        <f aca="false">IF(Tasks[[#This Row],[_Pred3Text]]="","",IFERROR(VALUE(LEFT(Tasks[[#This Row],[_Pred3Text]],MIN(FIND("F",Tasks[[#This Row],[_Pred3Text]]&amp;"F"),FIND("S",Tasks[[#This Row],[_Pred3Text]]&amp;"S"),FIND("+",Tasks[[#This Row],[_Pred3Text]]&amp;"+"),FIND("-",Tasks[[#This Row],[_Pred3Text]]&amp;"-"))-1)),""))</f>
        <v/>
      </c>
      <c r="DE20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1" s="43" t="str">
        <f aca="false">IF(Tasks[[#This Row],[_Pred3Text]]="","",TRIM(MID(SUBSTITUTE(SUBSTITUTE(SUBSTITUTE(UPPER(Tasks[[#This Row],[_Predecessors]]),";",",")," ",""),",",REPT(" ",99)),298,99)))</f>
        <v/>
      </c>
      <c r="DH201" s="43" t="str">
        <f aca="false">IF(Tasks[[#This Row],[_Pred4Text]]="","",IFERROR(VALUE(LEFT(Tasks[[#This Row],[_Pred4Text]],MIN(FIND("F",Tasks[[#This Row],[_Pred4Text]]&amp;"F"),FIND("S",Tasks[[#This Row],[_Pred4Text]]&amp;"S"),FIND("+",Tasks[[#This Row],[_Pred4Text]]&amp;"+"),FIND("-",Tasks[[#This Row],[_Pred4Text]]&amp;"-"))-1)),""))</f>
        <v/>
      </c>
      <c r="DI20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1" s="43" t="str">
        <f aca="false">IF(OR(Tasks[[#This Row],[Task Name]]="",Tasks[[#This Row],[_Resources]]=""),"",TRIM(MID(SUBSTITUTE(Tasks[[#This Row],[_Resources]],",",REPT(" ",99)),1,99)))</f>
        <v/>
      </c>
      <c r="DL201" s="43" t="str">
        <f aca="false">IF(Tasks[[#This Row],[_Res1Text]]="","",TRIM(MID(SUBSTITUTE(Tasks[[#This Row],[_Resources]],",",REPT(" ",99)),100,99)))</f>
        <v/>
      </c>
      <c r="DM201" s="43" t="str">
        <f aca="false">IF(Tasks[[#This Row],[_Res2Text]]="","",TRIM(MID(SUBSTITUTE(Tasks[[#This Row],[_Resources]],",",REPT(" ",99)),199,99)))</f>
        <v/>
      </c>
      <c r="DN201" s="43" t="str">
        <f aca="false">IF(Tasks[[#This Row],[_Res3Text]]="","",TRIM(MID(SUBSTITUTE(Tasks[[#This Row],[_Resources]],",",REPT(" ",99)),298,99)))</f>
        <v/>
      </c>
      <c r="DO201" s="43" t="n">
        <f aca="false">IF(Tasks[[#This Row],[_Res1Text]]="",0,IFERROR(MATCH(TRIM(LEFT(Tasks[[#This Row],[_Res1Text]],FIND("[",Tasks[[#This Row],[_Res1Text]]&amp;"[")-1)),res_Name,0),IFERROR(MATCH(TRIM(LEFT(Tasks[[#This Row],[_Res1Text]],FIND("[",Tasks[[#This Row],[_Res1Text]]&amp;"[")-1)),res_Initials,0),0)))</f>
        <v>0</v>
      </c>
      <c r="DP201" s="43" t="n">
        <f aca="false">IF(Tasks[[#This Row],[_Res2Text]]="",0,IFERROR(MATCH(TRIM(LEFT(Tasks[[#This Row],[_Res2Text]],FIND("[",Tasks[[#This Row],[_Res2Text]]&amp;"[")-1)),res_Name,0),IFERROR(MATCH(TRIM(LEFT(Tasks[[#This Row],[_Res2Text]],FIND("[",Tasks[[#This Row],[_Res2Text]]&amp;"[")-1)),res_Initials,0),0)))</f>
        <v>0</v>
      </c>
      <c r="DQ201" s="43" t="n">
        <f aca="false">IF(Tasks[[#This Row],[_Res3Text]]="",0,IFERROR(MATCH(TRIM(LEFT(Tasks[[#This Row],[_Res3Text]],FIND("[",Tasks[[#This Row],[_Res3Text]]&amp;"[")-1)),res_Name,0),IFERROR(MATCH(TRIM(LEFT(Tasks[[#This Row],[_Res3Text]],FIND("[",Tasks[[#This Row],[_Res3Text]]&amp;"[")-1)),res_Initials,0),0)))</f>
        <v>0</v>
      </c>
      <c r="DR201" s="43" t="n">
        <f aca="false">IF(Tasks[[#This Row],[_Res4Text]]="",0,IFERROR(MATCH(TRIM(LEFT(Tasks[[#This Row],[_Res4Text]],FIND("[",Tasks[[#This Row],[_Res4Text]]&amp;"[")-1)),res_Name,0),IFERROR(MATCH(TRIM(LEFT(Tasks[[#This Row],[_Res4Text]],FIND("[",Tasks[[#This Row],[_Res4Text]]&amp;"[")-1)),res_Initials,0),0)))</f>
        <v>0</v>
      </c>
      <c r="DS201" s="43" t="str">
        <f aca="false">IF(Tasks[[#This Row],[_Res1Text]]="","",IF(Tasks[[#This Row],[_Res1Row]]&gt;0,INDEX(res_Name,Tasks[[#This Row],[_Res1Row]]),TRIM(LEFT(Tasks[[#This Row],[_Res1Text]],FIND("[",Tasks[[#This Row],[_Res1Text]]&amp;"[")-1))))</f>
        <v/>
      </c>
      <c r="DT20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1" s="43" t="n">
        <f aca="false">IF(NOT(Tasks[[#This Row],[_IsLeaf]]=1),0,(Tasks[[#This Row],[_Resource1]]&lt;&gt;"")+(Tasks[[#This Row],[_Res2]]&lt;&gt;"")+(Tasks[[#This Row],[_Res3]]&lt;&gt;"")+(Tasks[[#This Row],[_Res4]]&lt;&gt;""))</f>
        <v>0</v>
      </c>
      <c r="DV201" s="43" t="str">
        <f aca="false">IF(Tasks[[#This Row],[_Res2Text]]="","",IF(Tasks[[#This Row],[_Res2Row]]&gt;0,INDEX(res_Name,Tasks[[#This Row],[_Res2Row]]),TRIM(LEFT(Tasks[[#This Row],[_Res2Text]],FIND("[",Tasks[[#This Row],[_Res2Text]]&amp;"[")-1))))</f>
        <v/>
      </c>
      <c r="DW20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1" s="43" t="n">
        <f aca="false">IF(OR(NOT(Tasks[[#This Row],[_IsLeaf]]=1),Tasks[[#This Row],[_Res2Row]]=0),0,N(Tasks[[#This Row],[_Days]])*HoursPerDay*IF(Tasks[[#This Row],[_Res2Units]]="",DefaultUnits,Tasks[[#This Row],[_Res2Units]]))</f>
        <v>0</v>
      </c>
      <c r="DY201" s="43" t="n">
        <f aca="false">IF(AND(AND(Tasks[[#This Row],[_IsLeaf]]=1,Tasks[[#This Row],[_LeafTotalWork]]&gt;0),Tasks[[#This Row],[_Res2Work]]&gt;0),Tasks[[#This Row],[_Res2Work]]/(Tasks[[#This Row],[_FinishWorkday]]-Tasks[[#This Row],[_StartWorkday]]+1),0)</f>
        <v>0</v>
      </c>
      <c r="DZ201" s="43" t="n">
        <f aca="false">Tasks[[#This Row],[_Res2WorkPerWD]]*MAX(0,Tasks[[#This Row],[_StartWorkday]]-1)</f>
        <v>0</v>
      </c>
      <c r="EA201" s="43" t="n">
        <f aca="false">Tasks[[#This Row],[_Res2Work]]*Tasks[[#This Row],[_LeafProgress]]</f>
        <v>0</v>
      </c>
      <c r="EB201" s="43" t="str">
        <f aca="false">IF(Tasks[[#This Row],[_Res3Text]]="","",IF(Tasks[[#This Row],[_Res3Row]]&gt;0,INDEX(res_Name,Tasks[[#This Row],[_Res3Row]]),TRIM(LEFT(Tasks[[#This Row],[_Res3Text]],FIND("[",Tasks[[#This Row],[_Res3Text]]&amp;"[")-1))))</f>
        <v/>
      </c>
      <c r="EC20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1" s="43" t="n">
        <f aca="false">IF(OR(NOT(Tasks[[#This Row],[_IsLeaf]]=1),Tasks[[#This Row],[_Res3Row]]=0),0,N(Tasks[[#This Row],[_Days]])*HoursPerDay*IF(Tasks[[#This Row],[_Res3Units]]="",DefaultUnits,Tasks[[#This Row],[_Res3Units]]))</f>
        <v>0</v>
      </c>
      <c r="EE201" s="43" t="n">
        <f aca="false">IF(AND(AND(Tasks[[#This Row],[_IsLeaf]]=1,Tasks[[#This Row],[_LeafTotalWork]]&gt;0),Tasks[[#This Row],[_Res3Work]]&gt;0),Tasks[[#This Row],[_Res3Work]]/(Tasks[[#This Row],[_FinishWorkday]]-Tasks[[#This Row],[_StartWorkday]]+1),0)</f>
        <v>0</v>
      </c>
      <c r="EF201" s="43" t="n">
        <f aca="false">Tasks[[#This Row],[_Res3WorkPerWD]]*MAX(0,Tasks[[#This Row],[_StartWorkday]]-1)</f>
        <v>0</v>
      </c>
      <c r="EG201" s="43" t="n">
        <f aca="false">Tasks[[#This Row],[_Res3Work]]*Tasks[[#This Row],[_LeafProgress]]</f>
        <v>0</v>
      </c>
      <c r="EH201" s="43" t="str">
        <f aca="false">IF(Tasks[[#This Row],[_Res4Text]]="","",IF(Tasks[[#This Row],[_Res4Row]]&gt;0,INDEX(res_Name,Tasks[[#This Row],[_Res4Row]]),TRIM(LEFT(Tasks[[#This Row],[_Res4Text]],FIND("[",Tasks[[#This Row],[_Res4Text]]&amp;"[")-1))))</f>
        <v/>
      </c>
      <c r="EI20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1" s="43" t="n">
        <f aca="false">IF(OR(NOT(Tasks[[#This Row],[_IsLeaf]]=1),Tasks[[#This Row],[_Res4Row]]=0),0,N(Tasks[[#This Row],[_Days]])*HoursPerDay*IF(Tasks[[#This Row],[_Res4Units]]="",DefaultUnits,Tasks[[#This Row],[_Res4Units]]))</f>
        <v>0</v>
      </c>
      <c r="EK201" s="43" t="n">
        <f aca="false">IF(AND(AND(Tasks[[#This Row],[_IsLeaf]]=1,Tasks[[#This Row],[_LeafTotalWork]]&gt;0),Tasks[[#This Row],[_Res4Work]]&gt;0),Tasks[[#This Row],[_Res4Work]]/(Tasks[[#This Row],[_FinishWorkday]]-Tasks[[#This Row],[_StartWorkday]]+1),0)</f>
        <v>0</v>
      </c>
      <c r="EL201" s="43" t="n">
        <f aca="false">Tasks[[#This Row],[_Res4WorkPerWD]]*MAX(0,Tasks[[#This Row],[_StartWorkday]]-1)</f>
        <v>0</v>
      </c>
      <c r="EM201" s="43" t="n">
        <f aca="false">Tasks[[#This Row],[_Res4Work]]*Tasks[[#This Row],[_LeafProgress]]</f>
        <v>0</v>
      </c>
      <c r="EN201" s="43" t="n">
        <f aca="false">IF(ISNUMBER(Tasks[[#This Row],[% Complete]]),Tasks[[#This Row],[% Complete]],IF(Tasks[[#This Row],[Stage]]="",0,IFERROR(INDEX(stg_Pct,MATCH(Tasks[[#This Row],[Stage]],stg_Name,0)),0)))</f>
        <v>0</v>
      </c>
      <c r="EO201" s="43" t="n">
        <f aca="false">IF(NOT(Tasks[[#This Row],[_IsLeaf]]=1),0,IF(N(Tasks[[#This Row],[Actual Finish]])&gt;0,1,MIN(1,Tasks[[#This Row],[_Pct]])))</f>
        <v>0</v>
      </c>
      <c r="EP201" s="43" t="n">
        <f aca="false">IF(OR(NOT(Tasks[[#This Row],[_IsLeaf]]=1),Tasks[[#This Row],[_Res1Row]]=0),0,N(Tasks[[#This Row],[_Days]])*HoursPerDay*IF(Tasks[[#This Row],[_Units1]]="",DefaultUnits,Tasks[[#This Row],[_Units1]]))</f>
        <v>0</v>
      </c>
      <c r="EQ201" s="43" t="n">
        <f aca="false">Tasks[[#This Row],[_LeafWork]]+Tasks[[#This Row],[_Res2Work]]+Tasks[[#This Row],[_Res3Work]]+Tasks[[#This Row],[_Res4Work]]</f>
        <v>0</v>
      </c>
      <c r="ER20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1" s="43" t="n">
        <f aca="false">IF(NOT(Tasks[[#This Row],[_IsLeaf]]=1),0,MAX(_xlfn.MAXIFS(Tasks[_Row],Tasks[_Pred1UID],Tasks[[#This Row],[UID]]),_xlfn.MAXIFS(Tasks[_Row],Tasks[_Pred2UID],Tasks[[#This Row],[UID]]),_xlfn.MAXIFS(Tasks[_Row],Tasks[_Pred3UID],Tasks[[#This Row],[UID]]),_xlfn.MAXIFS(Tasks[_Row],Tasks[_Pred4UID],Tasks[[#This Row],[UID]])))</f>
        <v>0</v>
      </c>
      <c r="FA20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1" s="91" t="str">
        <f aca="false">IF(NOT(Tasks[[#This Row],[_IsLeaf]]=1),"",IF(N(Tasks[[#This Row],[_Days]])&lt;=0,Tasks[[#This Row],[_LeafLateFinish]],WORKDAY.INTL(Tasks[[#This Row],[_LeafLateFinish]],-(Tasks[[#This Row],[_Days]]-1),WorkWeek,Holidays)))</f>
        <v/>
      </c>
      <c r="FD20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1" s="90" t="b">
        <f aca="false">AND(Tasks[[#This Row],[_IsLeaf]]=1,Tasks[[#This Row],[_LeafProgress]]&lt;1,N(Tasks[[#This Row],[_LeafTotalSlack]])&lt;=CriticalSlackDays)</f>
        <v>0</v>
      </c>
      <c r="FF201" s="43" t="n">
        <f aca="false">IF(AND(Tasks[[#This Row],[_IsLeaf]]=1,Tasks[[#This Row],[_ConstraintCode]]=1,Tasks[[#This Row],[Mode]]&lt;&gt;"Manual",N(Tasks[[#This Row],[Actual Start]])=0),MAX(0,N(Tasks[[#This Row],[Free Slack]])),0)</f>
        <v>0</v>
      </c>
      <c r="FG201" s="91" t="str">
        <f aca="false">IF(NOT(Tasks[[#This Row],[_IsLeaf]]=1),"",IF(Tasks[[#This Row],[_AlapShift]]=0,Tasks[[#This Row],[_LeafCalcStart]],WORKDAY.INTL(Tasks[[#This Row],[_LeafCalcStart]],Tasks[[#This Row],[_AlapShift]],WorkWeek,Holidays)))</f>
        <v/>
      </c>
      <c r="FH201" s="91" t="str">
        <f aca="false">IF(NOT(Tasks[[#This Row],[_IsLeaf]]=1),"",IF(Tasks[[#This Row],[_AlapShift]]=0,Tasks[[#This Row],[_LeafCalcFinish]],WORKDAY.INTL(Tasks[[#This Row],[_LeafCalcFinish]],Tasks[[#This Row],[_AlapShift]],WorkWeek,Holidays)))</f>
        <v/>
      </c>
      <c r="FI201" s="91" t="str">
        <f aca="false">IF(NOT(Tasks[[#This Row],[_IsLeaf]]=1),"",IF(Tasks[[#This Row],[_AlapShift]]=0,Tasks[[#This Row],[_LeafFcstStart]],WORKDAY.INTL(Tasks[[#This Row],[_LeafFcstStart]],Tasks[[#This Row],[_AlapShift]],WorkWeek,Holidays)))</f>
        <v/>
      </c>
      <c r="FJ201" s="91" t="str">
        <f aca="false">IF(NOT(Tasks[[#This Row],[_IsLeaf]]=1),"",IF(Tasks[[#This Row],[_AlapShift]]=0,Tasks[[#This Row],[_LeafFcstFinish]],WORKDAY.INTL(Tasks[[#This Row],[_LeafFcstFinish]],Tasks[[#This Row],[_AlapShift]],WorkWeek,Holidays)))</f>
        <v/>
      </c>
      <c r="FK201" s="91" t="str">
        <f aca="false">IF(Tasks[[#This Row],[Task Name]]="","",IF(Tasks[[#This Row],[_IsSummary]],MIN(INDEX(Tasks[_ShownCalcStart],Tasks[[#This Row],[_Row]]+1):INDEX(Tasks[_ShownCalcStart],Tasks[[#This Row],[_Row]]+Tasks[[#This Row],[_Descendants]])),Tasks[[#This Row],[_ShownCalcStart]]))</f>
        <v/>
      </c>
      <c r="FL201" s="91" t="str">
        <f aca="false">IF(Tasks[[#This Row],[Task Name]]="","",IF(Tasks[[#This Row],[_IsSummary]],MAX(INDEX(Tasks[_ShownCalcFinish],Tasks[[#This Row],[_Row]]+1):INDEX(Tasks[_ShownCalcFinish],Tasks[[#This Row],[_Row]]+Tasks[[#This Row],[_Descendants]])),Tasks[[#This Row],[_ShownCalcFinish]]))</f>
        <v/>
      </c>
      <c r="FM20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1" s="43" t="n">
        <f aca="false">IF(AND(Tasks[[#This Row],[_IsLeaf]]=1,Tasks[[#This Row],[_LeafTotalWork]]&gt;0),NETWORKDAYS.INTL(ProjectStart,Tasks[[#This Row],[_ShownFcstStart]],WorkWeek,Holidays),0)</f>
        <v>0</v>
      </c>
      <c r="FZ201" s="43" t="n">
        <f aca="false">IF(AND(Tasks[[#This Row],[_IsLeaf]]=1,Tasks[[#This Row],[_LeafTotalWork]]&gt;0),MAX(Tasks[[#This Row],[_StartWorkday]],NETWORKDAYS.INTL(ProjectStart,Tasks[[#This Row],[_ShownFcstFinish]],WorkWeek,Holidays)),0)</f>
        <v>0</v>
      </c>
      <c r="GA201" s="43" t="n">
        <f aca="false">IF(AND(Tasks[[#This Row],[_IsLeaf]]=1,Tasks[[#This Row],[_LeafTotalWork]]&gt;0),Tasks[[#This Row],[_LeafWork]]/(Tasks[[#This Row],[_FinishWorkday]]-Tasks[[#This Row],[_StartWorkday]]+1),0)</f>
        <v>0</v>
      </c>
      <c r="GB201" s="43" t="n">
        <f aca="false">Tasks[[#This Row],[_WorkPerWorkday]]*(Tasks[[#This Row],[_StartWorkday]]-1)</f>
        <v>-0</v>
      </c>
      <c r="GC201" s="43" t="n">
        <f aca="false">IF(Tasks[[#This Row],[_IsLeaf]]=1,MAX(N(Tasks[[#This Row],[_Days]]),0.1),0)</f>
        <v>0</v>
      </c>
      <c r="GD201" s="43" t="n">
        <f aca="false">Tasks[[#This Row],[_WeightDur]]*Tasks[[#This Row],[_LeafProgress]]</f>
        <v>0</v>
      </c>
      <c r="GE201" s="43" t="n">
        <f aca="false">Tasks[[#This Row],[_WeightDur]]*Tasks[[#This Row],[_PlannedPct]]</f>
        <v>0</v>
      </c>
      <c r="GF20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1" s="43" t="str">
        <f aca="false">IF(AND(Tasks[[#This Row],[_IsLeaf]]=1,N(Tasks[[#This Row],[_Days]])=0,Tasks[[#This Row],[_LeafProgress]]&lt;1),Tasks[[#This Row],[_ShownFcstFinish]]+Tasks[[#This Row],[_Row]]/100000,"")</f>
        <v/>
      </c>
      <c r="GH20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1" s="43" t="str">
        <f aca="false">IF(Tasks[[#This Row],[Task Name]]="","",LEFT(Tasks[[#This Row],[WBS]],FIND(".",Tasks[[#This Row],[WBS]]&amp;".")-1))</f>
        <v/>
      </c>
      <c r="GJ201" s="43" t="str">
        <f aca="false">IF(AND(Tasks[[#This Row],[Task Name]]&lt;&gt;"",Tasks[[#This Row],[_Level]]=1),Tasks[[#This Row],[_Row]],"")</f>
        <v/>
      </c>
      <c r="GK201" s="43" t="str">
        <f aca="false">IF(AND(Tasks[[#This Row],[_IsLeaf]]=1,N(Tasks[[#This Row],[_Days]])=0),Tasks[[#This Row],[Planned Finish]]+Tasks[[#This Row],[_Row]]/100000,"")</f>
        <v/>
      </c>
      <c r="GL201" s="43" t="str">
        <f aca="false">IF(AND(Tasks[[#This Row],[_IsLeaf]]=1,Tasks[[#This Row],[_LeafProgress]]&lt;1,OR(N(Tasks[[#This Row],[Finish Var]])&gt;0,Tasks[[#This Row],[Status]]="Late Start")),MAX(0,Tasks[[#This Row],[Finish Var]])+1-Tasks[[#This Row],[_Row]]/1000000,"")</f>
        <v/>
      </c>
      <c r="GM201" s="43" t="str">
        <f aca="false">IF(AND(Tasks[[#This Row],[_IsLeaf]]=1,N(Tasks[[#This Row],[Actual Start]])=0,Tasks[[#This Row],[_ShownFcstStart]]&gt;=StatusDate,Tasks[[#This Row],[_ShownFcstStart]]&lt;=LookaheadEnd),Tasks[[#This Row],[_ShownFcstStart]]+Tasks[[#This Row],[_Row]]/100000,"")</f>
        <v/>
      </c>
      <c r="GN201" s="43" t="str">
        <f aca="false">IF(AND(Tasks[[#This Row],[_IsLeaf]]=1,Tasks[[#This Row],[_LeafProgress]]&lt;1,Tasks[[#This Row],[_ShownFcstFinish]]&gt;=StatusDate,Tasks[[#This Row],[_ShownFcstFinish]]&lt;=LookaheadEnd),Tasks[[#This Row],[_ShownFcstFinish]]+Tasks[[#This Row],[_Row]]/100000,"")</f>
        <v/>
      </c>
      <c r="GO201" s="43" t="str">
        <f aca="false">IF(Tasks[[#This Row],[_LeafCritical]],Tasks[[#This Row],[_ShownFcstStart]]+Tasks[[#This Row],[_Row]]/100000,"")</f>
        <v/>
      </c>
      <c r="GP201" s="43" t="n">
        <f aca="false">Tasks[[#This Row],[_LeafWork]]*Tasks[[#This Row],[_LeafProgress]]</f>
        <v>0</v>
      </c>
      <c r="GQ201" s="91" t="str">
        <f aca="false">IF(AND(Tasks[[#This Row],[_IsLeaf]]=1,Tasks[[#This Row],[_LeafProgress]]&gt;=1),IF(N(Tasks[[#This Row],[Actual Finish]])&gt;0,Tasks[[#This Row],[Actual Finish]],Tasks[[#This Row],[_ShownFcstFinish]]),"")</f>
        <v/>
      </c>
      <c r="GR201" s="43" t="n">
        <f aca="false">IF(Tasks[[#This Row],[_IsLeaf]]=1,N(Tasks[[#This Row],[Story Points]]),0)</f>
        <v>0</v>
      </c>
      <c r="GS201" s="43" t="str">
        <f aca="false">""</f>
        <v/>
      </c>
      <c r="GT201" s="90" t="b">
        <f aca="false">IF(Tasks[[#This Row],[Task Name]]="",FALSE(),AND(Tasks[[#This Row],[_IsLeaf]]=1,N(Tasks[[#This Row],[_Days]])=0))</f>
        <v>0</v>
      </c>
      <c r="GU201" s="91" t="n">
        <f aca="false">IF(Tasks[[#This Row],[Task Name]]="",0,IF(AND(Tasks[[#This Row],[_IsLeaf]]=1,NOT(Tasks[[#This Row],[_IsMilestone]]),N(Tasks[[#This Row],[Progress]])&gt;0),Tasks[[#This Row],[Start]],0))</f>
        <v>0</v>
      </c>
      <c r="GV201" s="91" t="n">
        <f aca="false">IF(Tasks[[#This Row],[_DoneFrom]]=0,0,IF(Tasks[[#This Row],[Progress]]&gt;=1,Tasks[[#This Row],[Finish]],MAX(Tasks[[#This Row],[_DoneFrom]],Tasks[[#This Row],[Start]]+ROUND((Tasks[[#This Row],[Finish]]-Tasks[[#This Row],[Start]]+1)*Tasks[[#This Row],[Progress]],0)-1)))</f>
        <v>0</v>
      </c>
      <c r="GW201" s="91" t="n">
        <f aca="false">IF(Tasks[[#This Row],[Task Name]]="",0,IF(OR(NOT(Tasks[[#This Row],[_IsLeaf]]=1),Tasks[[#This Row],[_IsMilestone]],N(Tasks[[#This Row],[Progress]])&gt;=1),0,IF(Tasks[[#This Row],[_DoneTo]]&gt;0,Tasks[[#This Row],[_DoneTo]]+1,Tasks[[#This Row],[Start]])))</f>
        <v>0</v>
      </c>
      <c r="GX201" s="91" t="n">
        <f aca="false">IF(Tasks[[#This Row],[_RemFrom]]=0,0,Tasks[[#This Row],[Finish]])</f>
        <v>0</v>
      </c>
      <c r="GY201" s="90" t="b">
        <f aca="false">IF(Tasks[[#This Row],[Task Name]]="",FALSE(),OR(NOT(BaselineSet),N(Tasks[[#This Row],[Baseline Start]])&gt;0))</f>
        <v>0</v>
      </c>
      <c r="GZ20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1" s="92" t="str">
        <f aca="false">IF(Tasks[[#This Row],[_IsLeaf]]=1,Tasks[[#This Row],[_Row]],"")</f>
        <v/>
      </c>
      <c r="HD201" s="92" t="str">
        <f aca="false">IFERROR(INDEX(Tasks[UID],SMALL(Tasks[_PickKey],Tasks[[#This Row],[_Row]]))&amp;" "&amp;INDEX(Tasks[Task Name],SMALL(Tasks[_PickKey],Tasks[[#This Row],[_Row]])),"")</f>
        <v/>
      </c>
      <c r="HE201" s="43" t="str">
        <f aca="false">IF(Tasks[[#This Row],[Task Name]]="","",IF(Tasks[[#This Row],[_IsSummary]],NETWORKDAYS.INTL(Tasks[[#This Row],[Start]],Tasks[[#This Row],[Finish]],WorkWeek,Holidays),N(Tasks[[#This Row],[_Days]])))</f>
        <v/>
      </c>
      <c r="HF201" s="43" t="n">
        <f aca="false">IF(Tasks[[#This Row],[Expected]]="",0,((Tasks[[#This Row],[Pessimistic]]-Tasks[[#This Row],[Optimistic]])/6)^2)</f>
        <v>0</v>
      </c>
      <c r="HG201" s="43" t="n">
        <f aca="false">IF(Tasks[[#This Row],[Expected]]="",0,Tasks[[#This Row],[Expected]]-N(Tasks[[#This Row],[_Days]]))</f>
        <v>0</v>
      </c>
    </row>
    <row r="202" customFormat="false" ht="15" hidden="false" customHeight="false" outlineLevel="0" collapsed="false">
      <c r="A202" s="21" t="str">
        <f aca="false">IF(Tasks[[#This Row],[Task Name]]="","",COUNTA(Tasks[[#Headers],[Task Name]]:Tasks[[#This Row],[Task Name]])-1)</f>
        <v/>
      </c>
      <c r="B202" s="22" t="n">
        <v>210</v>
      </c>
      <c r="C202" s="22"/>
      <c r="D202" s="23"/>
      <c r="E202" s="22"/>
      <c r="F202" s="23"/>
      <c r="G202" s="22"/>
      <c r="H202" s="22"/>
      <c r="I202" s="23"/>
      <c r="J202" s="22"/>
      <c r="K202" s="22"/>
      <c r="L202" s="23"/>
      <c r="M202" s="22"/>
      <c r="N202" s="22"/>
      <c r="O202" s="23"/>
      <c r="P202" s="22"/>
      <c r="Q202" s="22"/>
      <c r="R202" s="23"/>
      <c r="S202" s="23"/>
      <c r="T202" s="84"/>
      <c r="U202" s="23"/>
      <c r="V202" s="84"/>
      <c r="W202" s="23"/>
      <c r="X202" s="84"/>
      <c r="Y202" s="23"/>
      <c r="Z202" s="84"/>
      <c r="AA202" s="23"/>
      <c r="AB202" s="23"/>
      <c r="AC202" s="7"/>
      <c r="AD202" s="7"/>
      <c r="AE202" s="63" t="str">
        <f aca="false">IF(Tasks[[#This Row],[Task Name]]="","",IF(Tasks[[#This Row],[_IsSummary]],MIN(INDEX(Tasks[_ShownFcstStart],Tasks[[#This Row],[_Row]]+1):INDEX(Tasks[_ShownFcstStart],Tasks[[#This Row],[_Row]]+Tasks[[#This Row],[_Descendants]])),Tasks[[#This Row],[_ShownFcstStart]]))</f>
        <v/>
      </c>
      <c r="AF202" s="63" t="str">
        <f aca="false">IF(Tasks[[#This Row],[Task Name]]="","",IF(Tasks[[#This Row],[_IsSummary]],MAX(INDEX(Tasks[_ShownFcstFinish],Tasks[[#This Row],[_Row]]+1):INDEX(Tasks[_ShownFcstFinish],Tasks[[#This Row],[_Row]]+Tasks[[#This Row],[_Descendants]])),Tasks[[#This Row],[_ShownFcstFinish]]))</f>
        <v/>
      </c>
      <c r="AG202" s="21" t="str">
        <f aca="false">""</f>
        <v/>
      </c>
      <c r="AH202" s="23"/>
      <c r="AI2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2" s="7"/>
      <c r="AK202" s="22"/>
      <c r="AL202" s="23"/>
      <c r="AM202" s="7"/>
      <c r="AN202" s="47" t="str">
        <f aca="false">IF(Tasks[[#This Row],[Task Name]]="","",IF(Tasks[[#This Row],[Finish]]&gt;=Tasks[[#This Row],[Planned Finish]],NETWORKDAYS.INTL(Tasks[[#This Row],[Planned Finish]],Tasks[[#This Row],[Finish]],WorkWeek,Holidays)-1,1-NETWORKDAYS.INTL(Tasks[[#This Row],[Finish]],Tasks[[#This Row],[Planned Finish]],WorkWeek,Holidays)))</f>
        <v/>
      </c>
      <c r="AO202" s="21" t="str">
        <f aca="false">IF(Tasks[[#This Row],[Task Name]]="","",IF(Tasks[[#This Row],[Progress]]&gt;=1,"Complete",IF(OR(N(Tasks[[#This Row],[Actual Start]])&gt;0,Tasks[[#This Row],[Progress]]&gt;0),IF(Tasks[[#This Row],[Finish Var]]&gt;0,"Behind","In Progress"),IF(Tasks[[#This Row],[Planned Start]]&lt;StatusDate,"Late Start","Not Started"))))</f>
        <v/>
      </c>
      <c r="AP202" s="21" t="str">
        <f aca="false">IF(Tasks[[#This Row],[Task Name]]="","",IF(IF(Tasks[[#This Row],[_IsSummary]],COUNTIF(INDEX(Tasks[_LeafCritical],Tasks[[#This Row],[_Row]]+1):INDEX(Tasks[_LeafCritical],Tasks[[#This Row],[_Row]]+Tasks[[#This Row],[_Descendants]]),TRUE())&gt;0,Tasks[[#This Row],[_LeafCritical]]),"Yes",""))</f>
        <v/>
      </c>
      <c r="AQ202" s="63" t="str">
        <f aca="false">IF(Tasks[[#This Row],[Task Name]]="","",IF(N(Tasks[[#This Row],[Baseline Start]])&gt;0,Tasks[[#This Row],[Baseline Start]],Tasks[[#This Row],[_CalcStart]]))</f>
        <v/>
      </c>
      <c r="AR202" s="63" t="str">
        <f aca="false">IF(Tasks[[#This Row],[Task Name]]="","",IF(N(Tasks[[#This Row],[Baseline Finish]])&gt;0,Tasks[[#This Row],[Baseline Finish]],Tasks[[#This Row],[_CalcFinish]]))</f>
        <v/>
      </c>
      <c r="AS202" s="47" t="str">
        <f aca="false">IF(Tasks[[#This Row],[Task Name]]="","",IF(Tasks[[#This Row],[Start]]&gt;=Tasks[[#This Row],[Planned Start]],NETWORKDAYS.INTL(Tasks[[#This Row],[Planned Start]],Tasks[[#This Row],[Start]],WorkWeek,Holidays)-1,1-NETWORKDAYS.INTL(Tasks[[#This Row],[Start]],Tasks[[#This Row],[Planned Start]],WorkWeek,Holidays)))</f>
        <v/>
      </c>
      <c r="AT202" s="63" t="str">
        <f aca="false">IF(Tasks[[#This Row],[Task Name]]="","",IF(Tasks[[#This Row],[_IsSummary]],MIN(INDEX(Tasks[_LeafLateStart],Tasks[[#This Row],[_Row]]+1):INDEX(Tasks[_LeafLateStart],Tasks[[#This Row],[_Row]]+Tasks[[#This Row],[_Descendants]])),Tasks[[#This Row],[_LeafLateStart]]))</f>
        <v/>
      </c>
      <c r="AU202" s="63" t="str">
        <f aca="false">IF(Tasks[[#This Row],[Task Name]]="","",IF(Tasks[[#This Row],[_IsSummary]],MAX(INDEX(Tasks[_LeafLateFinish],Tasks[[#This Row],[_Row]]+1):INDEX(Tasks[_LeafLateFinish],Tasks[[#This Row],[_Row]]+Tasks[[#This Row],[_Descendants]])),Tasks[[#This Row],[_LeafLateFinish]]))</f>
        <v/>
      </c>
      <c r="AV202" s="47" t="str">
        <f aca="false">IF(Tasks[[#This Row],[Task Name]]="","",IF(Tasks[[#This Row],[_IsSummary]],MIN(INDEX(Tasks[_LeafTotalSlack],Tasks[[#This Row],[_Row]]+1):INDEX(Tasks[_LeafTotalSlack],Tasks[[#This Row],[_Row]]+Tasks[[#This Row],[_Descendants]])),Tasks[[#This Row],[_LeafTotalSlack]]))</f>
        <v/>
      </c>
      <c r="AW2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5"/>
      <c r="BA20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1" t="str">
        <f aca="false">IF(Tasks[[#This Row],[Task Name]]="","",IF(Tasks[[#This Row],[_Level]]&lt;=OutlineShowLevel,"Yes","No"))</f>
        <v/>
      </c>
      <c r="BE202" s="86" t="str">
        <f aca="false">IF(Tasks[[#This Row],[Task Name]]="","",IF(Tasks[[#This Row],[_IsSummary]],SUM(INDEX(Tasks[_LeafTotalWork],Tasks[[#This Row],[_Row]]+1):INDEX(Tasks[_LeafTotalWork],Tasks[[#This Row],[_Row]]+Tasks[[#This Row],[_Descendants]])),Tasks[[#This Row],[_LeafTotalWork]]))</f>
        <v/>
      </c>
      <c r="BF202" s="23"/>
      <c r="BG2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2" s="21" t="str">
        <f aca="false">""</f>
        <v/>
      </c>
      <c r="BI202" s="87"/>
      <c r="BJ202" s="22"/>
      <c r="BK202" s="47" t="str">
        <f aca="false">IF(OR(Tasks[[#This Row],[Task Name]]="",Tasks[[#This Row],[Baseline Duration]]=""),"",Tasks[[#This Row],[_SpanDays]]-N(Tasks[[#This Row],[Baseline Duration]]))</f>
        <v/>
      </c>
      <c r="BL202" s="86" t="str">
        <f aca="false">IF(OR(Tasks[[#This Row],[Task Name]]="",Tasks[[#This Row],[Baseline Work]]=""),"",Tasks[[#This Row],[Work]]-N(Tasks[[#This Row],[Baseline Work]]))</f>
        <v/>
      </c>
      <c r="BM202" s="63" t="str">
        <f aca="false">IF(Tasks[[#This Row],[Task Name]]="","",IF(OR(TakeBaseline="Yes",N(Tasks[[#This Row],[Baseline Start]])=0),Tasks[[#This Row],[Start]],Tasks[[#This Row],[Baseline Start]]))</f>
        <v/>
      </c>
      <c r="BN202" s="63" t="str">
        <f aca="false">IF(Tasks[[#This Row],[Task Name]]="","",IF(OR(TakeBaseline="Yes",N(Tasks[[#This Row],[Baseline Finish]])=0),Tasks[[#This Row],[Finish]],Tasks[[#This Row],[Baseline Finish]]))</f>
        <v/>
      </c>
      <c r="BO202" s="21" t="str">
        <f aca="false">IF(Tasks[[#This Row],[Task Name]]="","",IF(OR(TakeBaseline="Yes",N(Tasks[[#This Row],[Baseline Duration]])=0),Tasks[[#This Row],[_SpanDays]],Tasks[[#This Row],[Baseline Duration]]))</f>
        <v/>
      </c>
      <c r="BP202" s="86" t="str">
        <f aca="false">IF(Tasks[[#This Row],[Task Name]]="","",IF(OR(TakeBaseline="Yes",N(Tasks[[#This Row],[Baseline Work]])=0),Tasks[[#This Row],[Work]],Tasks[[#This Row],[Baseline Work]]))</f>
        <v/>
      </c>
      <c r="BQ202" s="7"/>
      <c r="BR202" s="7"/>
      <c r="BS202" s="22"/>
      <c r="BT202" s="88"/>
      <c r="BU202" s="23"/>
      <c r="BV202" s="23"/>
      <c r="BW202" s="23"/>
      <c r="BX202" s="89" t="str">
        <f aca="false">IF(AND(Tasks[[#This Row],[_IsLeaf]]=1,ISNUMBER(Tasks[[#This Row],[Optimistic]]),ISNUMBER(Tasks[[#This Row],[Pessimistic]])),ROUND((Tasks[[#This Row],[Optimistic]]+4*N(Tasks[[#This Row],[_Days]])+Tasks[[#This Row],[Pessimistic]])/6,1),"")</f>
        <v/>
      </c>
      <c r="BY202" s="87"/>
      <c r="BZ202" s="87"/>
      <c r="CA202" s="22"/>
      <c r="CB202" s="43" t="str">
        <f aca="false">IF(Tasks[[#This Row],[Task Name]]="","",MAX(1,N(Tasks[[#This Row],[Level]])))</f>
        <v/>
      </c>
      <c r="CC202" s="43" t="n">
        <f aca="false">ROW()-ROW(Tasks[[#Headers],[ID]])</f>
        <v>197</v>
      </c>
      <c r="CD202" s="43" t="n">
        <f aca="false">IF(OR(Tasks[[#This Row],[Task Name]]="",Tasks[[#This Row],[_Level]]&lt;=1),0,IFERROR(LOOKUP(2,1/(Tasks[[#Headers],[_Level]]:Tasks[[#This Row],[_Level]]=Tasks[[#This Row],[_Level]]-1),ROW(Tasks[[#Headers],[_Level]]:Tasks[[#This Row],[_Level]])),0))</f>
        <v>0</v>
      </c>
      <c r="CE202" s="43" t="n">
        <f aca="false">IFERROR(N(INDEX(Tasks[_Level],Tasks[[#This Row],[_Row]]+1)),0)</f>
        <v>0</v>
      </c>
      <c r="CF202" s="90" t="b">
        <f aca="false">AND(Tasks[[#This Row],[Task Name]]&lt;&gt;"",Tasks[[#This Row],[_NextLevel]]&gt;Tasks[[#This Row],[_Level]])</f>
        <v>0</v>
      </c>
      <c r="CG202" s="43" t="n">
        <f aca="false">IF(Tasks[[#This Row],[_IsSummary]],COUNTIF(Tasks[WBS],Tasks[[#This Row],[WBS]]&amp;".*"),0)</f>
        <v>0</v>
      </c>
      <c r="CH202" s="43" t="n">
        <f aca="false">IF(AND(Tasks[[#This Row],[Task Name]]&lt;&gt;"",NOT(Tasks[[#This Row],[_IsSummary]])),1,0)</f>
        <v>0</v>
      </c>
      <c r="CI202" s="43" t="n">
        <f aca="false">IF(N(Tasks[[#This Row],[_Pred1UID]])=0,0,IFERROR(MATCH(Tasks[[#This Row],[_Pred1UID]],Tasks[UID],0),-1))</f>
        <v>0</v>
      </c>
      <c r="CJ202" s="43" t="n">
        <f aca="false">IF(N(Tasks[[#This Row],[_Pred2UID]])=0,0,IFERROR(MATCH(Tasks[[#This Row],[_Pred2UID]],Tasks[UID],0),-1))</f>
        <v>0</v>
      </c>
      <c r="CK202" s="43" t="n">
        <f aca="false">IF(N(Tasks[[#This Row],[_Pred3UID]])=0,0,IFERROR(MATCH(Tasks[[#This Row],[_Pred3UID]],Tasks[UID],0),-1))</f>
        <v>0</v>
      </c>
      <c r="CL202" s="43" t="n">
        <f aca="false">IF(N(Tasks[[#This Row],[_Pred4UID]])=0,0,IFERROR(MATCH(Tasks[[#This Row],[_Pred4UID]],Tasks[UID],0),-1))</f>
        <v>0</v>
      </c>
      <c r="CM20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2" s="91" t="n">
        <f aca="false">IF(OR(Tasks[[#This Row],[_ConstraintCode]]=2,Tasks[[#This Row],[_ConstraintCode]]=3,Tasks[[#This Row],[_ConstraintCode]]=4,Tasks[[#This Row],[_ConstraintCode]]=6),Tasks[[#This Row],[_ConstraintStart]],0)</f>
        <v>0</v>
      </c>
      <c r="CP202" s="91" t="n">
        <f aca="false">IF(OR(Tasks[[#This Row],[_ConstraintCode]]=2,Tasks[[#This Row],[_ConstraintCode]]=3,Tasks[[#This Row],[_ConstraintCode]]=5,Tasks[[#This Row],[_ConstraintCode]]=7),Tasks[[#This Row],[_ConstraintStart]],2958465)</f>
        <v>2958465</v>
      </c>
      <c r="CQ20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2" s="91" t="str">
        <f aca="false">IF(NOT(Tasks[[#This Row],[_IsLeaf]]=1),"",IF(N(Tasks[[#This Row],[_Days]])&lt;=0,Tasks[[#This Row],[_LeafCalcStart]],WORKDAY.INTL(Tasks[[#This Row],[_LeafCalcStart]],Tasks[[#This Row],[_Days]]-1,WorkWeek,Holidays)))</f>
        <v/>
      </c>
      <c r="CS20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2" s="43" t="str">
        <f aca="false">IF(Tasks[[#This Row],[_Predecessors]]="","",TRIM(MID(SUBSTITUTE(SUBSTITUTE(SUBSTITUTE(UPPER(Tasks[[#This Row],[_Predecessors]]),";",",")," ",""),",",REPT(" ",99)),1,99)))</f>
        <v/>
      </c>
      <c r="CV202" s="43" t="str">
        <f aca="false">IF(Tasks[[#This Row],[_Pred1Text]]="","",IFERROR(VALUE(LEFT(Tasks[[#This Row],[_Pred1Text]],MIN(FIND("F",Tasks[[#This Row],[_Pred1Text]]&amp;"F"),FIND("S",Tasks[[#This Row],[_Pred1Text]]&amp;"S"),FIND("+",Tasks[[#This Row],[_Pred1Text]]&amp;"+"),FIND("-",Tasks[[#This Row],[_Pred1Text]]&amp;"-"))-1)),""))</f>
        <v/>
      </c>
      <c r="CW20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2" s="43" t="str">
        <f aca="false">IF(Tasks[[#This Row],[_Pred1Text]]="","",TRIM(MID(SUBSTITUTE(SUBSTITUTE(SUBSTITUTE(UPPER(Tasks[[#This Row],[_Predecessors]]),";",",")," ",""),",",REPT(" ",99)),100,99)))</f>
        <v/>
      </c>
      <c r="CZ202" s="43" t="str">
        <f aca="false">IF(Tasks[[#This Row],[_Pred2Text]]="","",IFERROR(VALUE(LEFT(Tasks[[#This Row],[_Pred2Text]],MIN(FIND("F",Tasks[[#This Row],[_Pred2Text]]&amp;"F"),FIND("S",Tasks[[#This Row],[_Pred2Text]]&amp;"S"),FIND("+",Tasks[[#This Row],[_Pred2Text]]&amp;"+"),FIND("-",Tasks[[#This Row],[_Pred2Text]]&amp;"-"))-1)),""))</f>
        <v/>
      </c>
      <c r="DA20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2" s="43" t="str">
        <f aca="false">IF(Tasks[[#This Row],[_Pred2Text]]="","",TRIM(MID(SUBSTITUTE(SUBSTITUTE(SUBSTITUTE(UPPER(Tasks[[#This Row],[_Predecessors]]),";",",")," ",""),",",REPT(" ",99)),199,99)))</f>
        <v/>
      </c>
      <c r="DD202" s="43" t="str">
        <f aca="false">IF(Tasks[[#This Row],[_Pred3Text]]="","",IFERROR(VALUE(LEFT(Tasks[[#This Row],[_Pred3Text]],MIN(FIND("F",Tasks[[#This Row],[_Pred3Text]]&amp;"F"),FIND("S",Tasks[[#This Row],[_Pred3Text]]&amp;"S"),FIND("+",Tasks[[#This Row],[_Pred3Text]]&amp;"+"),FIND("-",Tasks[[#This Row],[_Pred3Text]]&amp;"-"))-1)),""))</f>
        <v/>
      </c>
      <c r="DE20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2" s="43" t="str">
        <f aca="false">IF(Tasks[[#This Row],[_Pred3Text]]="","",TRIM(MID(SUBSTITUTE(SUBSTITUTE(SUBSTITUTE(UPPER(Tasks[[#This Row],[_Predecessors]]),";",",")," ",""),",",REPT(" ",99)),298,99)))</f>
        <v/>
      </c>
      <c r="DH202" s="43" t="str">
        <f aca="false">IF(Tasks[[#This Row],[_Pred4Text]]="","",IFERROR(VALUE(LEFT(Tasks[[#This Row],[_Pred4Text]],MIN(FIND("F",Tasks[[#This Row],[_Pred4Text]]&amp;"F"),FIND("S",Tasks[[#This Row],[_Pred4Text]]&amp;"S"),FIND("+",Tasks[[#This Row],[_Pred4Text]]&amp;"+"),FIND("-",Tasks[[#This Row],[_Pred4Text]]&amp;"-"))-1)),""))</f>
        <v/>
      </c>
      <c r="DI20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2" s="43" t="str">
        <f aca="false">IF(OR(Tasks[[#This Row],[Task Name]]="",Tasks[[#This Row],[_Resources]]=""),"",TRIM(MID(SUBSTITUTE(Tasks[[#This Row],[_Resources]],",",REPT(" ",99)),1,99)))</f>
        <v/>
      </c>
      <c r="DL202" s="43" t="str">
        <f aca="false">IF(Tasks[[#This Row],[_Res1Text]]="","",TRIM(MID(SUBSTITUTE(Tasks[[#This Row],[_Resources]],",",REPT(" ",99)),100,99)))</f>
        <v/>
      </c>
      <c r="DM202" s="43" t="str">
        <f aca="false">IF(Tasks[[#This Row],[_Res2Text]]="","",TRIM(MID(SUBSTITUTE(Tasks[[#This Row],[_Resources]],",",REPT(" ",99)),199,99)))</f>
        <v/>
      </c>
      <c r="DN202" s="43" t="str">
        <f aca="false">IF(Tasks[[#This Row],[_Res3Text]]="","",TRIM(MID(SUBSTITUTE(Tasks[[#This Row],[_Resources]],",",REPT(" ",99)),298,99)))</f>
        <v/>
      </c>
      <c r="DO202" s="43" t="n">
        <f aca="false">IF(Tasks[[#This Row],[_Res1Text]]="",0,IFERROR(MATCH(TRIM(LEFT(Tasks[[#This Row],[_Res1Text]],FIND("[",Tasks[[#This Row],[_Res1Text]]&amp;"[")-1)),res_Name,0),IFERROR(MATCH(TRIM(LEFT(Tasks[[#This Row],[_Res1Text]],FIND("[",Tasks[[#This Row],[_Res1Text]]&amp;"[")-1)),res_Initials,0),0)))</f>
        <v>0</v>
      </c>
      <c r="DP202" s="43" t="n">
        <f aca="false">IF(Tasks[[#This Row],[_Res2Text]]="",0,IFERROR(MATCH(TRIM(LEFT(Tasks[[#This Row],[_Res2Text]],FIND("[",Tasks[[#This Row],[_Res2Text]]&amp;"[")-1)),res_Name,0),IFERROR(MATCH(TRIM(LEFT(Tasks[[#This Row],[_Res2Text]],FIND("[",Tasks[[#This Row],[_Res2Text]]&amp;"[")-1)),res_Initials,0),0)))</f>
        <v>0</v>
      </c>
      <c r="DQ202" s="43" t="n">
        <f aca="false">IF(Tasks[[#This Row],[_Res3Text]]="",0,IFERROR(MATCH(TRIM(LEFT(Tasks[[#This Row],[_Res3Text]],FIND("[",Tasks[[#This Row],[_Res3Text]]&amp;"[")-1)),res_Name,0),IFERROR(MATCH(TRIM(LEFT(Tasks[[#This Row],[_Res3Text]],FIND("[",Tasks[[#This Row],[_Res3Text]]&amp;"[")-1)),res_Initials,0),0)))</f>
        <v>0</v>
      </c>
      <c r="DR202" s="43" t="n">
        <f aca="false">IF(Tasks[[#This Row],[_Res4Text]]="",0,IFERROR(MATCH(TRIM(LEFT(Tasks[[#This Row],[_Res4Text]],FIND("[",Tasks[[#This Row],[_Res4Text]]&amp;"[")-1)),res_Name,0),IFERROR(MATCH(TRIM(LEFT(Tasks[[#This Row],[_Res4Text]],FIND("[",Tasks[[#This Row],[_Res4Text]]&amp;"[")-1)),res_Initials,0),0)))</f>
        <v>0</v>
      </c>
      <c r="DS202" s="43" t="str">
        <f aca="false">IF(Tasks[[#This Row],[_Res1Text]]="","",IF(Tasks[[#This Row],[_Res1Row]]&gt;0,INDEX(res_Name,Tasks[[#This Row],[_Res1Row]]),TRIM(LEFT(Tasks[[#This Row],[_Res1Text]],FIND("[",Tasks[[#This Row],[_Res1Text]]&amp;"[")-1))))</f>
        <v/>
      </c>
      <c r="DT20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2" s="43" t="n">
        <f aca="false">IF(NOT(Tasks[[#This Row],[_IsLeaf]]=1),0,(Tasks[[#This Row],[_Resource1]]&lt;&gt;"")+(Tasks[[#This Row],[_Res2]]&lt;&gt;"")+(Tasks[[#This Row],[_Res3]]&lt;&gt;"")+(Tasks[[#This Row],[_Res4]]&lt;&gt;""))</f>
        <v>0</v>
      </c>
      <c r="DV202" s="43" t="str">
        <f aca="false">IF(Tasks[[#This Row],[_Res2Text]]="","",IF(Tasks[[#This Row],[_Res2Row]]&gt;0,INDEX(res_Name,Tasks[[#This Row],[_Res2Row]]),TRIM(LEFT(Tasks[[#This Row],[_Res2Text]],FIND("[",Tasks[[#This Row],[_Res2Text]]&amp;"[")-1))))</f>
        <v/>
      </c>
      <c r="DW20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2" s="43" t="n">
        <f aca="false">IF(OR(NOT(Tasks[[#This Row],[_IsLeaf]]=1),Tasks[[#This Row],[_Res2Row]]=0),0,N(Tasks[[#This Row],[_Days]])*HoursPerDay*IF(Tasks[[#This Row],[_Res2Units]]="",DefaultUnits,Tasks[[#This Row],[_Res2Units]]))</f>
        <v>0</v>
      </c>
      <c r="DY202" s="43" t="n">
        <f aca="false">IF(AND(AND(Tasks[[#This Row],[_IsLeaf]]=1,Tasks[[#This Row],[_LeafTotalWork]]&gt;0),Tasks[[#This Row],[_Res2Work]]&gt;0),Tasks[[#This Row],[_Res2Work]]/(Tasks[[#This Row],[_FinishWorkday]]-Tasks[[#This Row],[_StartWorkday]]+1),0)</f>
        <v>0</v>
      </c>
      <c r="DZ202" s="43" t="n">
        <f aca="false">Tasks[[#This Row],[_Res2WorkPerWD]]*MAX(0,Tasks[[#This Row],[_StartWorkday]]-1)</f>
        <v>0</v>
      </c>
      <c r="EA202" s="43" t="n">
        <f aca="false">Tasks[[#This Row],[_Res2Work]]*Tasks[[#This Row],[_LeafProgress]]</f>
        <v>0</v>
      </c>
      <c r="EB202" s="43" t="str">
        <f aca="false">IF(Tasks[[#This Row],[_Res3Text]]="","",IF(Tasks[[#This Row],[_Res3Row]]&gt;0,INDEX(res_Name,Tasks[[#This Row],[_Res3Row]]),TRIM(LEFT(Tasks[[#This Row],[_Res3Text]],FIND("[",Tasks[[#This Row],[_Res3Text]]&amp;"[")-1))))</f>
        <v/>
      </c>
      <c r="EC20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2" s="43" t="n">
        <f aca="false">IF(OR(NOT(Tasks[[#This Row],[_IsLeaf]]=1),Tasks[[#This Row],[_Res3Row]]=0),0,N(Tasks[[#This Row],[_Days]])*HoursPerDay*IF(Tasks[[#This Row],[_Res3Units]]="",DefaultUnits,Tasks[[#This Row],[_Res3Units]]))</f>
        <v>0</v>
      </c>
      <c r="EE202" s="43" t="n">
        <f aca="false">IF(AND(AND(Tasks[[#This Row],[_IsLeaf]]=1,Tasks[[#This Row],[_LeafTotalWork]]&gt;0),Tasks[[#This Row],[_Res3Work]]&gt;0),Tasks[[#This Row],[_Res3Work]]/(Tasks[[#This Row],[_FinishWorkday]]-Tasks[[#This Row],[_StartWorkday]]+1),0)</f>
        <v>0</v>
      </c>
      <c r="EF202" s="43" t="n">
        <f aca="false">Tasks[[#This Row],[_Res3WorkPerWD]]*MAX(0,Tasks[[#This Row],[_StartWorkday]]-1)</f>
        <v>0</v>
      </c>
      <c r="EG202" s="43" t="n">
        <f aca="false">Tasks[[#This Row],[_Res3Work]]*Tasks[[#This Row],[_LeafProgress]]</f>
        <v>0</v>
      </c>
      <c r="EH202" s="43" t="str">
        <f aca="false">IF(Tasks[[#This Row],[_Res4Text]]="","",IF(Tasks[[#This Row],[_Res4Row]]&gt;0,INDEX(res_Name,Tasks[[#This Row],[_Res4Row]]),TRIM(LEFT(Tasks[[#This Row],[_Res4Text]],FIND("[",Tasks[[#This Row],[_Res4Text]]&amp;"[")-1))))</f>
        <v/>
      </c>
      <c r="EI20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2" s="43" t="n">
        <f aca="false">IF(OR(NOT(Tasks[[#This Row],[_IsLeaf]]=1),Tasks[[#This Row],[_Res4Row]]=0),0,N(Tasks[[#This Row],[_Days]])*HoursPerDay*IF(Tasks[[#This Row],[_Res4Units]]="",DefaultUnits,Tasks[[#This Row],[_Res4Units]]))</f>
        <v>0</v>
      </c>
      <c r="EK202" s="43" t="n">
        <f aca="false">IF(AND(AND(Tasks[[#This Row],[_IsLeaf]]=1,Tasks[[#This Row],[_LeafTotalWork]]&gt;0),Tasks[[#This Row],[_Res4Work]]&gt;0),Tasks[[#This Row],[_Res4Work]]/(Tasks[[#This Row],[_FinishWorkday]]-Tasks[[#This Row],[_StartWorkday]]+1),0)</f>
        <v>0</v>
      </c>
      <c r="EL202" s="43" t="n">
        <f aca="false">Tasks[[#This Row],[_Res4WorkPerWD]]*MAX(0,Tasks[[#This Row],[_StartWorkday]]-1)</f>
        <v>0</v>
      </c>
      <c r="EM202" s="43" t="n">
        <f aca="false">Tasks[[#This Row],[_Res4Work]]*Tasks[[#This Row],[_LeafProgress]]</f>
        <v>0</v>
      </c>
      <c r="EN202" s="43" t="n">
        <f aca="false">IF(ISNUMBER(Tasks[[#This Row],[% Complete]]),Tasks[[#This Row],[% Complete]],IF(Tasks[[#This Row],[Stage]]="",0,IFERROR(INDEX(stg_Pct,MATCH(Tasks[[#This Row],[Stage]],stg_Name,0)),0)))</f>
        <v>0</v>
      </c>
      <c r="EO202" s="43" t="n">
        <f aca="false">IF(NOT(Tasks[[#This Row],[_IsLeaf]]=1),0,IF(N(Tasks[[#This Row],[Actual Finish]])&gt;0,1,MIN(1,Tasks[[#This Row],[_Pct]])))</f>
        <v>0</v>
      </c>
      <c r="EP202" s="43" t="n">
        <f aca="false">IF(OR(NOT(Tasks[[#This Row],[_IsLeaf]]=1),Tasks[[#This Row],[_Res1Row]]=0),0,N(Tasks[[#This Row],[_Days]])*HoursPerDay*IF(Tasks[[#This Row],[_Units1]]="",DefaultUnits,Tasks[[#This Row],[_Units1]]))</f>
        <v>0</v>
      </c>
      <c r="EQ202" s="43" t="n">
        <f aca="false">Tasks[[#This Row],[_LeafWork]]+Tasks[[#This Row],[_Res2Work]]+Tasks[[#This Row],[_Res3Work]]+Tasks[[#This Row],[_Res4Work]]</f>
        <v>0</v>
      </c>
      <c r="ER20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2" s="43" t="n">
        <f aca="false">IF(NOT(Tasks[[#This Row],[_IsLeaf]]=1),0,MAX(_xlfn.MAXIFS(Tasks[_Row],Tasks[_Pred1UID],Tasks[[#This Row],[UID]]),_xlfn.MAXIFS(Tasks[_Row],Tasks[_Pred2UID],Tasks[[#This Row],[UID]]),_xlfn.MAXIFS(Tasks[_Row],Tasks[_Pred3UID],Tasks[[#This Row],[UID]]),_xlfn.MAXIFS(Tasks[_Row],Tasks[_Pred4UID],Tasks[[#This Row],[UID]])))</f>
        <v>0</v>
      </c>
      <c r="FA20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2" s="91" t="str">
        <f aca="false">IF(NOT(Tasks[[#This Row],[_IsLeaf]]=1),"",IF(N(Tasks[[#This Row],[_Days]])&lt;=0,Tasks[[#This Row],[_LeafLateFinish]],WORKDAY.INTL(Tasks[[#This Row],[_LeafLateFinish]],-(Tasks[[#This Row],[_Days]]-1),WorkWeek,Holidays)))</f>
        <v/>
      </c>
      <c r="FD20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2" s="90" t="b">
        <f aca="false">AND(Tasks[[#This Row],[_IsLeaf]]=1,Tasks[[#This Row],[_LeafProgress]]&lt;1,N(Tasks[[#This Row],[_LeafTotalSlack]])&lt;=CriticalSlackDays)</f>
        <v>0</v>
      </c>
      <c r="FF202" s="43" t="n">
        <f aca="false">IF(AND(Tasks[[#This Row],[_IsLeaf]]=1,Tasks[[#This Row],[_ConstraintCode]]=1,Tasks[[#This Row],[Mode]]&lt;&gt;"Manual",N(Tasks[[#This Row],[Actual Start]])=0),MAX(0,N(Tasks[[#This Row],[Free Slack]])),0)</f>
        <v>0</v>
      </c>
      <c r="FG202" s="91" t="str">
        <f aca="false">IF(NOT(Tasks[[#This Row],[_IsLeaf]]=1),"",IF(Tasks[[#This Row],[_AlapShift]]=0,Tasks[[#This Row],[_LeafCalcStart]],WORKDAY.INTL(Tasks[[#This Row],[_LeafCalcStart]],Tasks[[#This Row],[_AlapShift]],WorkWeek,Holidays)))</f>
        <v/>
      </c>
      <c r="FH202" s="91" t="str">
        <f aca="false">IF(NOT(Tasks[[#This Row],[_IsLeaf]]=1),"",IF(Tasks[[#This Row],[_AlapShift]]=0,Tasks[[#This Row],[_LeafCalcFinish]],WORKDAY.INTL(Tasks[[#This Row],[_LeafCalcFinish]],Tasks[[#This Row],[_AlapShift]],WorkWeek,Holidays)))</f>
        <v/>
      </c>
      <c r="FI202" s="91" t="str">
        <f aca="false">IF(NOT(Tasks[[#This Row],[_IsLeaf]]=1),"",IF(Tasks[[#This Row],[_AlapShift]]=0,Tasks[[#This Row],[_LeafFcstStart]],WORKDAY.INTL(Tasks[[#This Row],[_LeafFcstStart]],Tasks[[#This Row],[_AlapShift]],WorkWeek,Holidays)))</f>
        <v/>
      </c>
      <c r="FJ202" s="91" t="str">
        <f aca="false">IF(NOT(Tasks[[#This Row],[_IsLeaf]]=1),"",IF(Tasks[[#This Row],[_AlapShift]]=0,Tasks[[#This Row],[_LeafFcstFinish]],WORKDAY.INTL(Tasks[[#This Row],[_LeafFcstFinish]],Tasks[[#This Row],[_AlapShift]],WorkWeek,Holidays)))</f>
        <v/>
      </c>
      <c r="FK202" s="91" t="str">
        <f aca="false">IF(Tasks[[#This Row],[Task Name]]="","",IF(Tasks[[#This Row],[_IsSummary]],MIN(INDEX(Tasks[_ShownCalcStart],Tasks[[#This Row],[_Row]]+1):INDEX(Tasks[_ShownCalcStart],Tasks[[#This Row],[_Row]]+Tasks[[#This Row],[_Descendants]])),Tasks[[#This Row],[_ShownCalcStart]]))</f>
        <v/>
      </c>
      <c r="FL202" s="91" t="str">
        <f aca="false">IF(Tasks[[#This Row],[Task Name]]="","",IF(Tasks[[#This Row],[_IsSummary]],MAX(INDEX(Tasks[_ShownCalcFinish],Tasks[[#This Row],[_Row]]+1):INDEX(Tasks[_ShownCalcFinish],Tasks[[#This Row],[_Row]]+Tasks[[#This Row],[_Descendants]])),Tasks[[#This Row],[_ShownCalcFinish]]))</f>
        <v/>
      </c>
      <c r="FM20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2" s="43" t="n">
        <f aca="false">IF(AND(Tasks[[#This Row],[_IsLeaf]]=1,Tasks[[#This Row],[_LeafTotalWork]]&gt;0),NETWORKDAYS.INTL(ProjectStart,Tasks[[#This Row],[_ShownFcstStart]],WorkWeek,Holidays),0)</f>
        <v>0</v>
      </c>
      <c r="FZ202" s="43" t="n">
        <f aca="false">IF(AND(Tasks[[#This Row],[_IsLeaf]]=1,Tasks[[#This Row],[_LeafTotalWork]]&gt;0),MAX(Tasks[[#This Row],[_StartWorkday]],NETWORKDAYS.INTL(ProjectStart,Tasks[[#This Row],[_ShownFcstFinish]],WorkWeek,Holidays)),0)</f>
        <v>0</v>
      </c>
      <c r="GA202" s="43" t="n">
        <f aca="false">IF(AND(Tasks[[#This Row],[_IsLeaf]]=1,Tasks[[#This Row],[_LeafTotalWork]]&gt;0),Tasks[[#This Row],[_LeafWork]]/(Tasks[[#This Row],[_FinishWorkday]]-Tasks[[#This Row],[_StartWorkday]]+1),0)</f>
        <v>0</v>
      </c>
      <c r="GB202" s="43" t="n">
        <f aca="false">Tasks[[#This Row],[_WorkPerWorkday]]*(Tasks[[#This Row],[_StartWorkday]]-1)</f>
        <v>-0</v>
      </c>
      <c r="GC202" s="43" t="n">
        <f aca="false">IF(Tasks[[#This Row],[_IsLeaf]]=1,MAX(N(Tasks[[#This Row],[_Days]]),0.1),0)</f>
        <v>0</v>
      </c>
      <c r="GD202" s="43" t="n">
        <f aca="false">Tasks[[#This Row],[_WeightDur]]*Tasks[[#This Row],[_LeafProgress]]</f>
        <v>0</v>
      </c>
      <c r="GE202" s="43" t="n">
        <f aca="false">Tasks[[#This Row],[_WeightDur]]*Tasks[[#This Row],[_PlannedPct]]</f>
        <v>0</v>
      </c>
      <c r="GF20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2" s="43" t="str">
        <f aca="false">IF(AND(Tasks[[#This Row],[_IsLeaf]]=1,N(Tasks[[#This Row],[_Days]])=0,Tasks[[#This Row],[_LeafProgress]]&lt;1),Tasks[[#This Row],[_ShownFcstFinish]]+Tasks[[#This Row],[_Row]]/100000,"")</f>
        <v/>
      </c>
      <c r="GH20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2" s="43" t="str">
        <f aca="false">IF(Tasks[[#This Row],[Task Name]]="","",LEFT(Tasks[[#This Row],[WBS]],FIND(".",Tasks[[#This Row],[WBS]]&amp;".")-1))</f>
        <v/>
      </c>
      <c r="GJ202" s="43" t="str">
        <f aca="false">IF(AND(Tasks[[#This Row],[Task Name]]&lt;&gt;"",Tasks[[#This Row],[_Level]]=1),Tasks[[#This Row],[_Row]],"")</f>
        <v/>
      </c>
      <c r="GK202" s="43" t="str">
        <f aca="false">IF(AND(Tasks[[#This Row],[_IsLeaf]]=1,N(Tasks[[#This Row],[_Days]])=0),Tasks[[#This Row],[Planned Finish]]+Tasks[[#This Row],[_Row]]/100000,"")</f>
        <v/>
      </c>
      <c r="GL202" s="43" t="str">
        <f aca="false">IF(AND(Tasks[[#This Row],[_IsLeaf]]=1,Tasks[[#This Row],[_LeafProgress]]&lt;1,OR(N(Tasks[[#This Row],[Finish Var]])&gt;0,Tasks[[#This Row],[Status]]="Late Start")),MAX(0,Tasks[[#This Row],[Finish Var]])+1-Tasks[[#This Row],[_Row]]/1000000,"")</f>
        <v/>
      </c>
      <c r="GM202" s="43" t="str">
        <f aca="false">IF(AND(Tasks[[#This Row],[_IsLeaf]]=1,N(Tasks[[#This Row],[Actual Start]])=0,Tasks[[#This Row],[_ShownFcstStart]]&gt;=StatusDate,Tasks[[#This Row],[_ShownFcstStart]]&lt;=LookaheadEnd),Tasks[[#This Row],[_ShownFcstStart]]+Tasks[[#This Row],[_Row]]/100000,"")</f>
        <v/>
      </c>
      <c r="GN202" s="43" t="str">
        <f aca="false">IF(AND(Tasks[[#This Row],[_IsLeaf]]=1,Tasks[[#This Row],[_LeafProgress]]&lt;1,Tasks[[#This Row],[_ShownFcstFinish]]&gt;=StatusDate,Tasks[[#This Row],[_ShownFcstFinish]]&lt;=LookaheadEnd),Tasks[[#This Row],[_ShownFcstFinish]]+Tasks[[#This Row],[_Row]]/100000,"")</f>
        <v/>
      </c>
      <c r="GO202" s="43" t="str">
        <f aca="false">IF(Tasks[[#This Row],[_LeafCritical]],Tasks[[#This Row],[_ShownFcstStart]]+Tasks[[#This Row],[_Row]]/100000,"")</f>
        <v/>
      </c>
      <c r="GP202" s="43" t="n">
        <f aca="false">Tasks[[#This Row],[_LeafWork]]*Tasks[[#This Row],[_LeafProgress]]</f>
        <v>0</v>
      </c>
      <c r="GQ202" s="91" t="str">
        <f aca="false">IF(AND(Tasks[[#This Row],[_IsLeaf]]=1,Tasks[[#This Row],[_LeafProgress]]&gt;=1),IF(N(Tasks[[#This Row],[Actual Finish]])&gt;0,Tasks[[#This Row],[Actual Finish]],Tasks[[#This Row],[_ShownFcstFinish]]),"")</f>
        <v/>
      </c>
      <c r="GR202" s="43" t="n">
        <f aca="false">IF(Tasks[[#This Row],[_IsLeaf]]=1,N(Tasks[[#This Row],[Story Points]]),0)</f>
        <v>0</v>
      </c>
      <c r="GS202" s="43" t="str">
        <f aca="false">""</f>
        <v/>
      </c>
      <c r="GT202" s="90" t="b">
        <f aca="false">IF(Tasks[[#This Row],[Task Name]]="",FALSE(),AND(Tasks[[#This Row],[_IsLeaf]]=1,N(Tasks[[#This Row],[_Days]])=0))</f>
        <v>0</v>
      </c>
      <c r="GU202" s="91" t="n">
        <f aca="false">IF(Tasks[[#This Row],[Task Name]]="",0,IF(AND(Tasks[[#This Row],[_IsLeaf]]=1,NOT(Tasks[[#This Row],[_IsMilestone]]),N(Tasks[[#This Row],[Progress]])&gt;0),Tasks[[#This Row],[Start]],0))</f>
        <v>0</v>
      </c>
      <c r="GV202" s="91" t="n">
        <f aca="false">IF(Tasks[[#This Row],[_DoneFrom]]=0,0,IF(Tasks[[#This Row],[Progress]]&gt;=1,Tasks[[#This Row],[Finish]],MAX(Tasks[[#This Row],[_DoneFrom]],Tasks[[#This Row],[Start]]+ROUND((Tasks[[#This Row],[Finish]]-Tasks[[#This Row],[Start]]+1)*Tasks[[#This Row],[Progress]],0)-1)))</f>
        <v>0</v>
      </c>
      <c r="GW202" s="91" t="n">
        <f aca="false">IF(Tasks[[#This Row],[Task Name]]="",0,IF(OR(NOT(Tasks[[#This Row],[_IsLeaf]]=1),Tasks[[#This Row],[_IsMilestone]],N(Tasks[[#This Row],[Progress]])&gt;=1),0,IF(Tasks[[#This Row],[_DoneTo]]&gt;0,Tasks[[#This Row],[_DoneTo]]+1,Tasks[[#This Row],[Start]])))</f>
        <v>0</v>
      </c>
      <c r="GX202" s="91" t="n">
        <f aca="false">IF(Tasks[[#This Row],[_RemFrom]]=0,0,Tasks[[#This Row],[Finish]])</f>
        <v>0</v>
      </c>
      <c r="GY202" s="90" t="b">
        <f aca="false">IF(Tasks[[#This Row],[Task Name]]="",FALSE(),OR(NOT(BaselineSet),N(Tasks[[#This Row],[Baseline Start]])&gt;0))</f>
        <v>0</v>
      </c>
      <c r="GZ20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2" s="92" t="str">
        <f aca="false">IF(Tasks[[#This Row],[_IsLeaf]]=1,Tasks[[#This Row],[_Row]],"")</f>
        <v/>
      </c>
      <c r="HD202" s="92" t="str">
        <f aca="false">IFERROR(INDEX(Tasks[UID],SMALL(Tasks[_PickKey],Tasks[[#This Row],[_Row]]))&amp;" "&amp;INDEX(Tasks[Task Name],SMALL(Tasks[_PickKey],Tasks[[#This Row],[_Row]])),"")</f>
        <v/>
      </c>
      <c r="HE202" s="43" t="str">
        <f aca="false">IF(Tasks[[#This Row],[Task Name]]="","",IF(Tasks[[#This Row],[_IsSummary]],NETWORKDAYS.INTL(Tasks[[#This Row],[Start]],Tasks[[#This Row],[Finish]],WorkWeek,Holidays),N(Tasks[[#This Row],[_Days]])))</f>
        <v/>
      </c>
      <c r="HF202" s="43" t="n">
        <f aca="false">IF(Tasks[[#This Row],[Expected]]="",0,((Tasks[[#This Row],[Pessimistic]]-Tasks[[#This Row],[Optimistic]])/6)^2)</f>
        <v>0</v>
      </c>
      <c r="HG202" s="43" t="n">
        <f aca="false">IF(Tasks[[#This Row],[Expected]]="",0,Tasks[[#This Row],[Expected]]-N(Tasks[[#This Row],[_Days]]))</f>
        <v>0</v>
      </c>
    </row>
    <row r="203" customFormat="false" ht="15" hidden="false" customHeight="false" outlineLevel="0" collapsed="false">
      <c r="A203" s="21" t="str">
        <f aca="false">IF(Tasks[[#This Row],[Task Name]]="","",COUNTA(Tasks[[#Headers],[Task Name]]:Tasks[[#This Row],[Task Name]])-1)</f>
        <v/>
      </c>
      <c r="B203" s="22" t="n">
        <v>211</v>
      </c>
      <c r="C203" s="22"/>
      <c r="D203" s="23"/>
      <c r="E203" s="22"/>
      <c r="F203" s="23"/>
      <c r="G203" s="22"/>
      <c r="H203" s="22"/>
      <c r="I203" s="23"/>
      <c r="J203" s="22"/>
      <c r="K203" s="22"/>
      <c r="L203" s="23"/>
      <c r="M203" s="22"/>
      <c r="N203" s="22"/>
      <c r="O203" s="23"/>
      <c r="P203" s="22"/>
      <c r="Q203" s="22"/>
      <c r="R203" s="23"/>
      <c r="S203" s="23"/>
      <c r="T203" s="84"/>
      <c r="U203" s="23"/>
      <c r="V203" s="84"/>
      <c r="W203" s="23"/>
      <c r="X203" s="84"/>
      <c r="Y203" s="23"/>
      <c r="Z203" s="84"/>
      <c r="AA203" s="23"/>
      <c r="AB203" s="23"/>
      <c r="AC203" s="7"/>
      <c r="AD203" s="7"/>
      <c r="AE203" s="63" t="str">
        <f aca="false">IF(Tasks[[#This Row],[Task Name]]="","",IF(Tasks[[#This Row],[_IsSummary]],MIN(INDEX(Tasks[_ShownFcstStart],Tasks[[#This Row],[_Row]]+1):INDEX(Tasks[_ShownFcstStart],Tasks[[#This Row],[_Row]]+Tasks[[#This Row],[_Descendants]])),Tasks[[#This Row],[_ShownFcstStart]]))</f>
        <v/>
      </c>
      <c r="AF203" s="63" t="str">
        <f aca="false">IF(Tasks[[#This Row],[Task Name]]="","",IF(Tasks[[#This Row],[_IsSummary]],MAX(INDEX(Tasks[_ShownFcstFinish],Tasks[[#This Row],[_Row]]+1):INDEX(Tasks[_ShownFcstFinish],Tasks[[#This Row],[_Row]]+Tasks[[#This Row],[_Descendants]])),Tasks[[#This Row],[_ShownFcstFinish]]))</f>
        <v/>
      </c>
      <c r="AG203" s="21" t="str">
        <f aca="false">""</f>
        <v/>
      </c>
      <c r="AH203" s="23"/>
      <c r="AI2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3" s="7"/>
      <c r="AK203" s="22"/>
      <c r="AL203" s="23"/>
      <c r="AM203" s="7"/>
      <c r="AN203" s="47" t="str">
        <f aca="false">IF(Tasks[[#This Row],[Task Name]]="","",IF(Tasks[[#This Row],[Finish]]&gt;=Tasks[[#This Row],[Planned Finish]],NETWORKDAYS.INTL(Tasks[[#This Row],[Planned Finish]],Tasks[[#This Row],[Finish]],WorkWeek,Holidays)-1,1-NETWORKDAYS.INTL(Tasks[[#This Row],[Finish]],Tasks[[#This Row],[Planned Finish]],WorkWeek,Holidays)))</f>
        <v/>
      </c>
      <c r="AO203" s="21" t="str">
        <f aca="false">IF(Tasks[[#This Row],[Task Name]]="","",IF(Tasks[[#This Row],[Progress]]&gt;=1,"Complete",IF(OR(N(Tasks[[#This Row],[Actual Start]])&gt;0,Tasks[[#This Row],[Progress]]&gt;0),IF(Tasks[[#This Row],[Finish Var]]&gt;0,"Behind","In Progress"),IF(Tasks[[#This Row],[Planned Start]]&lt;StatusDate,"Late Start","Not Started"))))</f>
        <v/>
      </c>
      <c r="AP203" s="21" t="str">
        <f aca="false">IF(Tasks[[#This Row],[Task Name]]="","",IF(IF(Tasks[[#This Row],[_IsSummary]],COUNTIF(INDEX(Tasks[_LeafCritical],Tasks[[#This Row],[_Row]]+1):INDEX(Tasks[_LeafCritical],Tasks[[#This Row],[_Row]]+Tasks[[#This Row],[_Descendants]]),TRUE())&gt;0,Tasks[[#This Row],[_LeafCritical]]),"Yes",""))</f>
        <v/>
      </c>
      <c r="AQ203" s="63" t="str">
        <f aca="false">IF(Tasks[[#This Row],[Task Name]]="","",IF(N(Tasks[[#This Row],[Baseline Start]])&gt;0,Tasks[[#This Row],[Baseline Start]],Tasks[[#This Row],[_CalcStart]]))</f>
        <v/>
      </c>
      <c r="AR203" s="63" t="str">
        <f aca="false">IF(Tasks[[#This Row],[Task Name]]="","",IF(N(Tasks[[#This Row],[Baseline Finish]])&gt;0,Tasks[[#This Row],[Baseline Finish]],Tasks[[#This Row],[_CalcFinish]]))</f>
        <v/>
      </c>
      <c r="AS203" s="47" t="str">
        <f aca="false">IF(Tasks[[#This Row],[Task Name]]="","",IF(Tasks[[#This Row],[Start]]&gt;=Tasks[[#This Row],[Planned Start]],NETWORKDAYS.INTL(Tasks[[#This Row],[Planned Start]],Tasks[[#This Row],[Start]],WorkWeek,Holidays)-1,1-NETWORKDAYS.INTL(Tasks[[#This Row],[Start]],Tasks[[#This Row],[Planned Start]],WorkWeek,Holidays)))</f>
        <v/>
      </c>
      <c r="AT203" s="63" t="str">
        <f aca="false">IF(Tasks[[#This Row],[Task Name]]="","",IF(Tasks[[#This Row],[_IsSummary]],MIN(INDEX(Tasks[_LeafLateStart],Tasks[[#This Row],[_Row]]+1):INDEX(Tasks[_LeafLateStart],Tasks[[#This Row],[_Row]]+Tasks[[#This Row],[_Descendants]])),Tasks[[#This Row],[_LeafLateStart]]))</f>
        <v/>
      </c>
      <c r="AU203" s="63" t="str">
        <f aca="false">IF(Tasks[[#This Row],[Task Name]]="","",IF(Tasks[[#This Row],[_IsSummary]],MAX(INDEX(Tasks[_LeafLateFinish],Tasks[[#This Row],[_Row]]+1):INDEX(Tasks[_LeafLateFinish],Tasks[[#This Row],[_Row]]+Tasks[[#This Row],[_Descendants]])),Tasks[[#This Row],[_LeafLateFinish]]))</f>
        <v/>
      </c>
      <c r="AV203" s="47" t="str">
        <f aca="false">IF(Tasks[[#This Row],[Task Name]]="","",IF(Tasks[[#This Row],[_IsSummary]],MIN(INDEX(Tasks[_LeafTotalSlack],Tasks[[#This Row],[_Row]]+1):INDEX(Tasks[_LeafTotalSlack],Tasks[[#This Row],[_Row]]+Tasks[[#This Row],[_Descendants]])),Tasks[[#This Row],[_LeafTotalSlack]]))</f>
        <v/>
      </c>
      <c r="AW2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5"/>
      <c r="BA20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1" t="str">
        <f aca="false">IF(Tasks[[#This Row],[Task Name]]="","",IF(Tasks[[#This Row],[_Level]]&lt;=OutlineShowLevel,"Yes","No"))</f>
        <v/>
      </c>
      <c r="BE203" s="86" t="str">
        <f aca="false">IF(Tasks[[#This Row],[Task Name]]="","",IF(Tasks[[#This Row],[_IsSummary]],SUM(INDEX(Tasks[_LeafTotalWork],Tasks[[#This Row],[_Row]]+1):INDEX(Tasks[_LeafTotalWork],Tasks[[#This Row],[_Row]]+Tasks[[#This Row],[_Descendants]])),Tasks[[#This Row],[_LeafTotalWork]]))</f>
        <v/>
      </c>
      <c r="BF203" s="23"/>
      <c r="BG2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3" s="21" t="str">
        <f aca="false">""</f>
        <v/>
      </c>
      <c r="BI203" s="87"/>
      <c r="BJ203" s="22"/>
      <c r="BK203" s="47" t="str">
        <f aca="false">IF(OR(Tasks[[#This Row],[Task Name]]="",Tasks[[#This Row],[Baseline Duration]]=""),"",Tasks[[#This Row],[_SpanDays]]-N(Tasks[[#This Row],[Baseline Duration]]))</f>
        <v/>
      </c>
      <c r="BL203" s="86" t="str">
        <f aca="false">IF(OR(Tasks[[#This Row],[Task Name]]="",Tasks[[#This Row],[Baseline Work]]=""),"",Tasks[[#This Row],[Work]]-N(Tasks[[#This Row],[Baseline Work]]))</f>
        <v/>
      </c>
      <c r="BM203" s="63" t="str">
        <f aca="false">IF(Tasks[[#This Row],[Task Name]]="","",IF(OR(TakeBaseline="Yes",N(Tasks[[#This Row],[Baseline Start]])=0),Tasks[[#This Row],[Start]],Tasks[[#This Row],[Baseline Start]]))</f>
        <v/>
      </c>
      <c r="BN203" s="63" t="str">
        <f aca="false">IF(Tasks[[#This Row],[Task Name]]="","",IF(OR(TakeBaseline="Yes",N(Tasks[[#This Row],[Baseline Finish]])=0),Tasks[[#This Row],[Finish]],Tasks[[#This Row],[Baseline Finish]]))</f>
        <v/>
      </c>
      <c r="BO203" s="21" t="str">
        <f aca="false">IF(Tasks[[#This Row],[Task Name]]="","",IF(OR(TakeBaseline="Yes",N(Tasks[[#This Row],[Baseline Duration]])=0),Tasks[[#This Row],[_SpanDays]],Tasks[[#This Row],[Baseline Duration]]))</f>
        <v/>
      </c>
      <c r="BP203" s="86" t="str">
        <f aca="false">IF(Tasks[[#This Row],[Task Name]]="","",IF(OR(TakeBaseline="Yes",N(Tasks[[#This Row],[Baseline Work]])=0),Tasks[[#This Row],[Work]],Tasks[[#This Row],[Baseline Work]]))</f>
        <v/>
      </c>
      <c r="BQ203" s="7"/>
      <c r="BR203" s="7"/>
      <c r="BS203" s="22"/>
      <c r="BT203" s="88"/>
      <c r="BU203" s="23"/>
      <c r="BV203" s="23"/>
      <c r="BW203" s="23"/>
      <c r="BX203" s="89" t="str">
        <f aca="false">IF(AND(Tasks[[#This Row],[_IsLeaf]]=1,ISNUMBER(Tasks[[#This Row],[Optimistic]]),ISNUMBER(Tasks[[#This Row],[Pessimistic]])),ROUND((Tasks[[#This Row],[Optimistic]]+4*N(Tasks[[#This Row],[_Days]])+Tasks[[#This Row],[Pessimistic]])/6,1),"")</f>
        <v/>
      </c>
      <c r="BY203" s="87"/>
      <c r="BZ203" s="87"/>
      <c r="CA203" s="22"/>
      <c r="CB203" s="43" t="str">
        <f aca="false">IF(Tasks[[#This Row],[Task Name]]="","",MAX(1,N(Tasks[[#This Row],[Level]])))</f>
        <v/>
      </c>
      <c r="CC203" s="43" t="n">
        <f aca="false">ROW()-ROW(Tasks[[#Headers],[ID]])</f>
        <v>198</v>
      </c>
      <c r="CD203" s="43" t="n">
        <f aca="false">IF(OR(Tasks[[#This Row],[Task Name]]="",Tasks[[#This Row],[_Level]]&lt;=1),0,IFERROR(LOOKUP(2,1/(Tasks[[#Headers],[_Level]]:Tasks[[#This Row],[_Level]]=Tasks[[#This Row],[_Level]]-1),ROW(Tasks[[#Headers],[_Level]]:Tasks[[#This Row],[_Level]])),0))</f>
        <v>0</v>
      </c>
      <c r="CE203" s="43" t="n">
        <f aca="false">IFERROR(N(INDEX(Tasks[_Level],Tasks[[#This Row],[_Row]]+1)),0)</f>
        <v>0</v>
      </c>
      <c r="CF203" s="90" t="b">
        <f aca="false">AND(Tasks[[#This Row],[Task Name]]&lt;&gt;"",Tasks[[#This Row],[_NextLevel]]&gt;Tasks[[#This Row],[_Level]])</f>
        <v>0</v>
      </c>
      <c r="CG203" s="43" t="n">
        <f aca="false">IF(Tasks[[#This Row],[_IsSummary]],COUNTIF(Tasks[WBS],Tasks[[#This Row],[WBS]]&amp;".*"),0)</f>
        <v>0</v>
      </c>
      <c r="CH203" s="43" t="n">
        <f aca="false">IF(AND(Tasks[[#This Row],[Task Name]]&lt;&gt;"",NOT(Tasks[[#This Row],[_IsSummary]])),1,0)</f>
        <v>0</v>
      </c>
      <c r="CI203" s="43" t="n">
        <f aca="false">IF(N(Tasks[[#This Row],[_Pred1UID]])=0,0,IFERROR(MATCH(Tasks[[#This Row],[_Pred1UID]],Tasks[UID],0),-1))</f>
        <v>0</v>
      </c>
      <c r="CJ203" s="43" t="n">
        <f aca="false">IF(N(Tasks[[#This Row],[_Pred2UID]])=0,0,IFERROR(MATCH(Tasks[[#This Row],[_Pred2UID]],Tasks[UID],0),-1))</f>
        <v>0</v>
      </c>
      <c r="CK203" s="43" t="n">
        <f aca="false">IF(N(Tasks[[#This Row],[_Pred3UID]])=0,0,IFERROR(MATCH(Tasks[[#This Row],[_Pred3UID]],Tasks[UID],0),-1))</f>
        <v>0</v>
      </c>
      <c r="CL203" s="43" t="n">
        <f aca="false">IF(N(Tasks[[#This Row],[_Pred4UID]])=0,0,IFERROR(MATCH(Tasks[[#This Row],[_Pred4UID]],Tasks[UID],0),-1))</f>
        <v>0</v>
      </c>
      <c r="CM20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3" s="91" t="n">
        <f aca="false">IF(OR(Tasks[[#This Row],[_ConstraintCode]]=2,Tasks[[#This Row],[_ConstraintCode]]=3,Tasks[[#This Row],[_ConstraintCode]]=4,Tasks[[#This Row],[_ConstraintCode]]=6),Tasks[[#This Row],[_ConstraintStart]],0)</f>
        <v>0</v>
      </c>
      <c r="CP203" s="91" t="n">
        <f aca="false">IF(OR(Tasks[[#This Row],[_ConstraintCode]]=2,Tasks[[#This Row],[_ConstraintCode]]=3,Tasks[[#This Row],[_ConstraintCode]]=5,Tasks[[#This Row],[_ConstraintCode]]=7),Tasks[[#This Row],[_ConstraintStart]],2958465)</f>
        <v>2958465</v>
      </c>
      <c r="CQ20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3" s="91" t="str">
        <f aca="false">IF(NOT(Tasks[[#This Row],[_IsLeaf]]=1),"",IF(N(Tasks[[#This Row],[_Days]])&lt;=0,Tasks[[#This Row],[_LeafCalcStart]],WORKDAY.INTL(Tasks[[#This Row],[_LeafCalcStart]],Tasks[[#This Row],[_Days]]-1,WorkWeek,Holidays)))</f>
        <v/>
      </c>
      <c r="CS20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3" s="43" t="str">
        <f aca="false">IF(Tasks[[#This Row],[_Predecessors]]="","",TRIM(MID(SUBSTITUTE(SUBSTITUTE(SUBSTITUTE(UPPER(Tasks[[#This Row],[_Predecessors]]),";",",")," ",""),",",REPT(" ",99)),1,99)))</f>
        <v/>
      </c>
      <c r="CV203" s="43" t="str">
        <f aca="false">IF(Tasks[[#This Row],[_Pred1Text]]="","",IFERROR(VALUE(LEFT(Tasks[[#This Row],[_Pred1Text]],MIN(FIND("F",Tasks[[#This Row],[_Pred1Text]]&amp;"F"),FIND("S",Tasks[[#This Row],[_Pred1Text]]&amp;"S"),FIND("+",Tasks[[#This Row],[_Pred1Text]]&amp;"+"),FIND("-",Tasks[[#This Row],[_Pred1Text]]&amp;"-"))-1)),""))</f>
        <v/>
      </c>
      <c r="CW20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3" s="43" t="str">
        <f aca="false">IF(Tasks[[#This Row],[_Pred1Text]]="","",TRIM(MID(SUBSTITUTE(SUBSTITUTE(SUBSTITUTE(UPPER(Tasks[[#This Row],[_Predecessors]]),";",",")," ",""),",",REPT(" ",99)),100,99)))</f>
        <v/>
      </c>
      <c r="CZ203" s="43" t="str">
        <f aca="false">IF(Tasks[[#This Row],[_Pred2Text]]="","",IFERROR(VALUE(LEFT(Tasks[[#This Row],[_Pred2Text]],MIN(FIND("F",Tasks[[#This Row],[_Pred2Text]]&amp;"F"),FIND("S",Tasks[[#This Row],[_Pred2Text]]&amp;"S"),FIND("+",Tasks[[#This Row],[_Pred2Text]]&amp;"+"),FIND("-",Tasks[[#This Row],[_Pred2Text]]&amp;"-"))-1)),""))</f>
        <v/>
      </c>
      <c r="DA20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3" s="43" t="str">
        <f aca="false">IF(Tasks[[#This Row],[_Pred2Text]]="","",TRIM(MID(SUBSTITUTE(SUBSTITUTE(SUBSTITUTE(UPPER(Tasks[[#This Row],[_Predecessors]]),";",",")," ",""),",",REPT(" ",99)),199,99)))</f>
        <v/>
      </c>
      <c r="DD203" s="43" t="str">
        <f aca="false">IF(Tasks[[#This Row],[_Pred3Text]]="","",IFERROR(VALUE(LEFT(Tasks[[#This Row],[_Pred3Text]],MIN(FIND("F",Tasks[[#This Row],[_Pred3Text]]&amp;"F"),FIND("S",Tasks[[#This Row],[_Pred3Text]]&amp;"S"),FIND("+",Tasks[[#This Row],[_Pred3Text]]&amp;"+"),FIND("-",Tasks[[#This Row],[_Pred3Text]]&amp;"-"))-1)),""))</f>
        <v/>
      </c>
      <c r="DE20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3" s="43" t="str">
        <f aca="false">IF(Tasks[[#This Row],[_Pred3Text]]="","",TRIM(MID(SUBSTITUTE(SUBSTITUTE(SUBSTITUTE(UPPER(Tasks[[#This Row],[_Predecessors]]),";",",")," ",""),",",REPT(" ",99)),298,99)))</f>
        <v/>
      </c>
      <c r="DH203" s="43" t="str">
        <f aca="false">IF(Tasks[[#This Row],[_Pred4Text]]="","",IFERROR(VALUE(LEFT(Tasks[[#This Row],[_Pred4Text]],MIN(FIND("F",Tasks[[#This Row],[_Pred4Text]]&amp;"F"),FIND("S",Tasks[[#This Row],[_Pred4Text]]&amp;"S"),FIND("+",Tasks[[#This Row],[_Pred4Text]]&amp;"+"),FIND("-",Tasks[[#This Row],[_Pred4Text]]&amp;"-"))-1)),""))</f>
        <v/>
      </c>
      <c r="DI20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3" s="43" t="str">
        <f aca="false">IF(OR(Tasks[[#This Row],[Task Name]]="",Tasks[[#This Row],[_Resources]]=""),"",TRIM(MID(SUBSTITUTE(Tasks[[#This Row],[_Resources]],",",REPT(" ",99)),1,99)))</f>
        <v/>
      </c>
      <c r="DL203" s="43" t="str">
        <f aca="false">IF(Tasks[[#This Row],[_Res1Text]]="","",TRIM(MID(SUBSTITUTE(Tasks[[#This Row],[_Resources]],",",REPT(" ",99)),100,99)))</f>
        <v/>
      </c>
      <c r="DM203" s="43" t="str">
        <f aca="false">IF(Tasks[[#This Row],[_Res2Text]]="","",TRIM(MID(SUBSTITUTE(Tasks[[#This Row],[_Resources]],",",REPT(" ",99)),199,99)))</f>
        <v/>
      </c>
      <c r="DN203" s="43" t="str">
        <f aca="false">IF(Tasks[[#This Row],[_Res3Text]]="","",TRIM(MID(SUBSTITUTE(Tasks[[#This Row],[_Resources]],",",REPT(" ",99)),298,99)))</f>
        <v/>
      </c>
      <c r="DO203" s="43" t="n">
        <f aca="false">IF(Tasks[[#This Row],[_Res1Text]]="",0,IFERROR(MATCH(TRIM(LEFT(Tasks[[#This Row],[_Res1Text]],FIND("[",Tasks[[#This Row],[_Res1Text]]&amp;"[")-1)),res_Name,0),IFERROR(MATCH(TRIM(LEFT(Tasks[[#This Row],[_Res1Text]],FIND("[",Tasks[[#This Row],[_Res1Text]]&amp;"[")-1)),res_Initials,0),0)))</f>
        <v>0</v>
      </c>
      <c r="DP203" s="43" t="n">
        <f aca="false">IF(Tasks[[#This Row],[_Res2Text]]="",0,IFERROR(MATCH(TRIM(LEFT(Tasks[[#This Row],[_Res2Text]],FIND("[",Tasks[[#This Row],[_Res2Text]]&amp;"[")-1)),res_Name,0),IFERROR(MATCH(TRIM(LEFT(Tasks[[#This Row],[_Res2Text]],FIND("[",Tasks[[#This Row],[_Res2Text]]&amp;"[")-1)),res_Initials,0),0)))</f>
        <v>0</v>
      </c>
      <c r="DQ203" s="43" t="n">
        <f aca="false">IF(Tasks[[#This Row],[_Res3Text]]="",0,IFERROR(MATCH(TRIM(LEFT(Tasks[[#This Row],[_Res3Text]],FIND("[",Tasks[[#This Row],[_Res3Text]]&amp;"[")-1)),res_Name,0),IFERROR(MATCH(TRIM(LEFT(Tasks[[#This Row],[_Res3Text]],FIND("[",Tasks[[#This Row],[_Res3Text]]&amp;"[")-1)),res_Initials,0),0)))</f>
        <v>0</v>
      </c>
      <c r="DR203" s="43" t="n">
        <f aca="false">IF(Tasks[[#This Row],[_Res4Text]]="",0,IFERROR(MATCH(TRIM(LEFT(Tasks[[#This Row],[_Res4Text]],FIND("[",Tasks[[#This Row],[_Res4Text]]&amp;"[")-1)),res_Name,0),IFERROR(MATCH(TRIM(LEFT(Tasks[[#This Row],[_Res4Text]],FIND("[",Tasks[[#This Row],[_Res4Text]]&amp;"[")-1)),res_Initials,0),0)))</f>
        <v>0</v>
      </c>
      <c r="DS203" s="43" t="str">
        <f aca="false">IF(Tasks[[#This Row],[_Res1Text]]="","",IF(Tasks[[#This Row],[_Res1Row]]&gt;0,INDEX(res_Name,Tasks[[#This Row],[_Res1Row]]),TRIM(LEFT(Tasks[[#This Row],[_Res1Text]],FIND("[",Tasks[[#This Row],[_Res1Text]]&amp;"[")-1))))</f>
        <v/>
      </c>
      <c r="DT20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3" s="43" t="n">
        <f aca="false">IF(NOT(Tasks[[#This Row],[_IsLeaf]]=1),0,(Tasks[[#This Row],[_Resource1]]&lt;&gt;"")+(Tasks[[#This Row],[_Res2]]&lt;&gt;"")+(Tasks[[#This Row],[_Res3]]&lt;&gt;"")+(Tasks[[#This Row],[_Res4]]&lt;&gt;""))</f>
        <v>0</v>
      </c>
      <c r="DV203" s="43" t="str">
        <f aca="false">IF(Tasks[[#This Row],[_Res2Text]]="","",IF(Tasks[[#This Row],[_Res2Row]]&gt;0,INDEX(res_Name,Tasks[[#This Row],[_Res2Row]]),TRIM(LEFT(Tasks[[#This Row],[_Res2Text]],FIND("[",Tasks[[#This Row],[_Res2Text]]&amp;"[")-1))))</f>
        <v/>
      </c>
      <c r="DW20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3" s="43" t="n">
        <f aca="false">IF(OR(NOT(Tasks[[#This Row],[_IsLeaf]]=1),Tasks[[#This Row],[_Res2Row]]=0),0,N(Tasks[[#This Row],[_Days]])*HoursPerDay*IF(Tasks[[#This Row],[_Res2Units]]="",DefaultUnits,Tasks[[#This Row],[_Res2Units]]))</f>
        <v>0</v>
      </c>
      <c r="DY203" s="43" t="n">
        <f aca="false">IF(AND(AND(Tasks[[#This Row],[_IsLeaf]]=1,Tasks[[#This Row],[_LeafTotalWork]]&gt;0),Tasks[[#This Row],[_Res2Work]]&gt;0),Tasks[[#This Row],[_Res2Work]]/(Tasks[[#This Row],[_FinishWorkday]]-Tasks[[#This Row],[_StartWorkday]]+1),0)</f>
        <v>0</v>
      </c>
      <c r="DZ203" s="43" t="n">
        <f aca="false">Tasks[[#This Row],[_Res2WorkPerWD]]*MAX(0,Tasks[[#This Row],[_StartWorkday]]-1)</f>
        <v>0</v>
      </c>
      <c r="EA203" s="43" t="n">
        <f aca="false">Tasks[[#This Row],[_Res2Work]]*Tasks[[#This Row],[_LeafProgress]]</f>
        <v>0</v>
      </c>
      <c r="EB203" s="43" t="str">
        <f aca="false">IF(Tasks[[#This Row],[_Res3Text]]="","",IF(Tasks[[#This Row],[_Res3Row]]&gt;0,INDEX(res_Name,Tasks[[#This Row],[_Res3Row]]),TRIM(LEFT(Tasks[[#This Row],[_Res3Text]],FIND("[",Tasks[[#This Row],[_Res3Text]]&amp;"[")-1))))</f>
        <v/>
      </c>
      <c r="EC20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3" s="43" t="n">
        <f aca="false">IF(OR(NOT(Tasks[[#This Row],[_IsLeaf]]=1),Tasks[[#This Row],[_Res3Row]]=0),0,N(Tasks[[#This Row],[_Days]])*HoursPerDay*IF(Tasks[[#This Row],[_Res3Units]]="",DefaultUnits,Tasks[[#This Row],[_Res3Units]]))</f>
        <v>0</v>
      </c>
      <c r="EE203" s="43" t="n">
        <f aca="false">IF(AND(AND(Tasks[[#This Row],[_IsLeaf]]=1,Tasks[[#This Row],[_LeafTotalWork]]&gt;0),Tasks[[#This Row],[_Res3Work]]&gt;0),Tasks[[#This Row],[_Res3Work]]/(Tasks[[#This Row],[_FinishWorkday]]-Tasks[[#This Row],[_StartWorkday]]+1),0)</f>
        <v>0</v>
      </c>
      <c r="EF203" s="43" t="n">
        <f aca="false">Tasks[[#This Row],[_Res3WorkPerWD]]*MAX(0,Tasks[[#This Row],[_StartWorkday]]-1)</f>
        <v>0</v>
      </c>
      <c r="EG203" s="43" t="n">
        <f aca="false">Tasks[[#This Row],[_Res3Work]]*Tasks[[#This Row],[_LeafProgress]]</f>
        <v>0</v>
      </c>
      <c r="EH203" s="43" t="str">
        <f aca="false">IF(Tasks[[#This Row],[_Res4Text]]="","",IF(Tasks[[#This Row],[_Res4Row]]&gt;0,INDEX(res_Name,Tasks[[#This Row],[_Res4Row]]),TRIM(LEFT(Tasks[[#This Row],[_Res4Text]],FIND("[",Tasks[[#This Row],[_Res4Text]]&amp;"[")-1))))</f>
        <v/>
      </c>
      <c r="EI20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3" s="43" t="n">
        <f aca="false">IF(OR(NOT(Tasks[[#This Row],[_IsLeaf]]=1),Tasks[[#This Row],[_Res4Row]]=0),0,N(Tasks[[#This Row],[_Days]])*HoursPerDay*IF(Tasks[[#This Row],[_Res4Units]]="",DefaultUnits,Tasks[[#This Row],[_Res4Units]]))</f>
        <v>0</v>
      </c>
      <c r="EK203" s="43" t="n">
        <f aca="false">IF(AND(AND(Tasks[[#This Row],[_IsLeaf]]=1,Tasks[[#This Row],[_LeafTotalWork]]&gt;0),Tasks[[#This Row],[_Res4Work]]&gt;0),Tasks[[#This Row],[_Res4Work]]/(Tasks[[#This Row],[_FinishWorkday]]-Tasks[[#This Row],[_StartWorkday]]+1),0)</f>
        <v>0</v>
      </c>
      <c r="EL203" s="43" t="n">
        <f aca="false">Tasks[[#This Row],[_Res4WorkPerWD]]*MAX(0,Tasks[[#This Row],[_StartWorkday]]-1)</f>
        <v>0</v>
      </c>
      <c r="EM203" s="43" t="n">
        <f aca="false">Tasks[[#This Row],[_Res4Work]]*Tasks[[#This Row],[_LeafProgress]]</f>
        <v>0</v>
      </c>
      <c r="EN203" s="43" t="n">
        <f aca="false">IF(ISNUMBER(Tasks[[#This Row],[% Complete]]),Tasks[[#This Row],[% Complete]],IF(Tasks[[#This Row],[Stage]]="",0,IFERROR(INDEX(stg_Pct,MATCH(Tasks[[#This Row],[Stage]],stg_Name,0)),0)))</f>
        <v>0</v>
      </c>
      <c r="EO203" s="43" t="n">
        <f aca="false">IF(NOT(Tasks[[#This Row],[_IsLeaf]]=1),0,IF(N(Tasks[[#This Row],[Actual Finish]])&gt;0,1,MIN(1,Tasks[[#This Row],[_Pct]])))</f>
        <v>0</v>
      </c>
      <c r="EP203" s="43" t="n">
        <f aca="false">IF(OR(NOT(Tasks[[#This Row],[_IsLeaf]]=1),Tasks[[#This Row],[_Res1Row]]=0),0,N(Tasks[[#This Row],[_Days]])*HoursPerDay*IF(Tasks[[#This Row],[_Units1]]="",DefaultUnits,Tasks[[#This Row],[_Units1]]))</f>
        <v>0</v>
      </c>
      <c r="EQ203" s="43" t="n">
        <f aca="false">Tasks[[#This Row],[_LeafWork]]+Tasks[[#This Row],[_Res2Work]]+Tasks[[#This Row],[_Res3Work]]+Tasks[[#This Row],[_Res4Work]]</f>
        <v>0</v>
      </c>
      <c r="ER20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3" s="43" t="n">
        <f aca="false">IF(NOT(Tasks[[#This Row],[_IsLeaf]]=1),0,MAX(_xlfn.MAXIFS(Tasks[_Row],Tasks[_Pred1UID],Tasks[[#This Row],[UID]]),_xlfn.MAXIFS(Tasks[_Row],Tasks[_Pred2UID],Tasks[[#This Row],[UID]]),_xlfn.MAXIFS(Tasks[_Row],Tasks[_Pred3UID],Tasks[[#This Row],[UID]]),_xlfn.MAXIFS(Tasks[_Row],Tasks[_Pred4UID],Tasks[[#This Row],[UID]])))</f>
        <v>0</v>
      </c>
      <c r="FA20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3" s="91" t="str">
        <f aca="false">IF(NOT(Tasks[[#This Row],[_IsLeaf]]=1),"",IF(N(Tasks[[#This Row],[_Days]])&lt;=0,Tasks[[#This Row],[_LeafLateFinish]],WORKDAY.INTL(Tasks[[#This Row],[_LeafLateFinish]],-(Tasks[[#This Row],[_Days]]-1),WorkWeek,Holidays)))</f>
        <v/>
      </c>
      <c r="FD20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3" s="90" t="b">
        <f aca="false">AND(Tasks[[#This Row],[_IsLeaf]]=1,Tasks[[#This Row],[_LeafProgress]]&lt;1,N(Tasks[[#This Row],[_LeafTotalSlack]])&lt;=CriticalSlackDays)</f>
        <v>0</v>
      </c>
      <c r="FF203" s="43" t="n">
        <f aca="false">IF(AND(Tasks[[#This Row],[_IsLeaf]]=1,Tasks[[#This Row],[_ConstraintCode]]=1,Tasks[[#This Row],[Mode]]&lt;&gt;"Manual",N(Tasks[[#This Row],[Actual Start]])=0),MAX(0,N(Tasks[[#This Row],[Free Slack]])),0)</f>
        <v>0</v>
      </c>
      <c r="FG203" s="91" t="str">
        <f aca="false">IF(NOT(Tasks[[#This Row],[_IsLeaf]]=1),"",IF(Tasks[[#This Row],[_AlapShift]]=0,Tasks[[#This Row],[_LeafCalcStart]],WORKDAY.INTL(Tasks[[#This Row],[_LeafCalcStart]],Tasks[[#This Row],[_AlapShift]],WorkWeek,Holidays)))</f>
        <v/>
      </c>
      <c r="FH203" s="91" t="str">
        <f aca="false">IF(NOT(Tasks[[#This Row],[_IsLeaf]]=1),"",IF(Tasks[[#This Row],[_AlapShift]]=0,Tasks[[#This Row],[_LeafCalcFinish]],WORKDAY.INTL(Tasks[[#This Row],[_LeafCalcFinish]],Tasks[[#This Row],[_AlapShift]],WorkWeek,Holidays)))</f>
        <v/>
      </c>
      <c r="FI203" s="91" t="str">
        <f aca="false">IF(NOT(Tasks[[#This Row],[_IsLeaf]]=1),"",IF(Tasks[[#This Row],[_AlapShift]]=0,Tasks[[#This Row],[_LeafFcstStart]],WORKDAY.INTL(Tasks[[#This Row],[_LeafFcstStart]],Tasks[[#This Row],[_AlapShift]],WorkWeek,Holidays)))</f>
        <v/>
      </c>
      <c r="FJ203" s="91" t="str">
        <f aca="false">IF(NOT(Tasks[[#This Row],[_IsLeaf]]=1),"",IF(Tasks[[#This Row],[_AlapShift]]=0,Tasks[[#This Row],[_LeafFcstFinish]],WORKDAY.INTL(Tasks[[#This Row],[_LeafFcstFinish]],Tasks[[#This Row],[_AlapShift]],WorkWeek,Holidays)))</f>
        <v/>
      </c>
      <c r="FK203" s="91" t="str">
        <f aca="false">IF(Tasks[[#This Row],[Task Name]]="","",IF(Tasks[[#This Row],[_IsSummary]],MIN(INDEX(Tasks[_ShownCalcStart],Tasks[[#This Row],[_Row]]+1):INDEX(Tasks[_ShownCalcStart],Tasks[[#This Row],[_Row]]+Tasks[[#This Row],[_Descendants]])),Tasks[[#This Row],[_ShownCalcStart]]))</f>
        <v/>
      </c>
      <c r="FL203" s="91" t="str">
        <f aca="false">IF(Tasks[[#This Row],[Task Name]]="","",IF(Tasks[[#This Row],[_IsSummary]],MAX(INDEX(Tasks[_ShownCalcFinish],Tasks[[#This Row],[_Row]]+1):INDEX(Tasks[_ShownCalcFinish],Tasks[[#This Row],[_Row]]+Tasks[[#This Row],[_Descendants]])),Tasks[[#This Row],[_ShownCalcFinish]]))</f>
        <v/>
      </c>
      <c r="FM20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3" s="43" t="n">
        <f aca="false">IF(AND(Tasks[[#This Row],[_IsLeaf]]=1,Tasks[[#This Row],[_LeafTotalWork]]&gt;0),NETWORKDAYS.INTL(ProjectStart,Tasks[[#This Row],[_ShownFcstStart]],WorkWeek,Holidays),0)</f>
        <v>0</v>
      </c>
      <c r="FZ203" s="43" t="n">
        <f aca="false">IF(AND(Tasks[[#This Row],[_IsLeaf]]=1,Tasks[[#This Row],[_LeafTotalWork]]&gt;0),MAX(Tasks[[#This Row],[_StartWorkday]],NETWORKDAYS.INTL(ProjectStart,Tasks[[#This Row],[_ShownFcstFinish]],WorkWeek,Holidays)),0)</f>
        <v>0</v>
      </c>
      <c r="GA203" s="43" t="n">
        <f aca="false">IF(AND(Tasks[[#This Row],[_IsLeaf]]=1,Tasks[[#This Row],[_LeafTotalWork]]&gt;0),Tasks[[#This Row],[_LeafWork]]/(Tasks[[#This Row],[_FinishWorkday]]-Tasks[[#This Row],[_StartWorkday]]+1),0)</f>
        <v>0</v>
      </c>
      <c r="GB203" s="43" t="n">
        <f aca="false">Tasks[[#This Row],[_WorkPerWorkday]]*(Tasks[[#This Row],[_StartWorkday]]-1)</f>
        <v>-0</v>
      </c>
      <c r="GC203" s="43" t="n">
        <f aca="false">IF(Tasks[[#This Row],[_IsLeaf]]=1,MAX(N(Tasks[[#This Row],[_Days]]),0.1),0)</f>
        <v>0</v>
      </c>
      <c r="GD203" s="43" t="n">
        <f aca="false">Tasks[[#This Row],[_WeightDur]]*Tasks[[#This Row],[_LeafProgress]]</f>
        <v>0</v>
      </c>
      <c r="GE203" s="43" t="n">
        <f aca="false">Tasks[[#This Row],[_WeightDur]]*Tasks[[#This Row],[_PlannedPct]]</f>
        <v>0</v>
      </c>
      <c r="GF20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3" s="43" t="str">
        <f aca="false">IF(AND(Tasks[[#This Row],[_IsLeaf]]=1,N(Tasks[[#This Row],[_Days]])=0,Tasks[[#This Row],[_LeafProgress]]&lt;1),Tasks[[#This Row],[_ShownFcstFinish]]+Tasks[[#This Row],[_Row]]/100000,"")</f>
        <v/>
      </c>
      <c r="GH20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3" s="43" t="str">
        <f aca="false">IF(Tasks[[#This Row],[Task Name]]="","",LEFT(Tasks[[#This Row],[WBS]],FIND(".",Tasks[[#This Row],[WBS]]&amp;".")-1))</f>
        <v/>
      </c>
      <c r="GJ203" s="43" t="str">
        <f aca="false">IF(AND(Tasks[[#This Row],[Task Name]]&lt;&gt;"",Tasks[[#This Row],[_Level]]=1),Tasks[[#This Row],[_Row]],"")</f>
        <v/>
      </c>
      <c r="GK203" s="43" t="str">
        <f aca="false">IF(AND(Tasks[[#This Row],[_IsLeaf]]=1,N(Tasks[[#This Row],[_Days]])=0),Tasks[[#This Row],[Planned Finish]]+Tasks[[#This Row],[_Row]]/100000,"")</f>
        <v/>
      </c>
      <c r="GL203" s="43" t="str">
        <f aca="false">IF(AND(Tasks[[#This Row],[_IsLeaf]]=1,Tasks[[#This Row],[_LeafProgress]]&lt;1,OR(N(Tasks[[#This Row],[Finish Var]])&gt;0,Tasks[[#This Row],[Status]]="Late Start")),MAX(0,Tasks[[#This Row],[Finish Var]])+1-Tasks[[#This Row],[_Row]]/1000000,"")</f>
        <v/>
      </c>
      <c r="GM203" s="43" t="str">
        <f aca="false">IF(AND(Tasks[[#This Row],[_IsLeaf]]=1,N(Tasks[[#This Row],[Actual Start]])=0,Tasks[[#This Row],[_ShownFcstStart]]&gt;=StatusDate,Tasks[[#This Row],[_ShownFcstStart]]&lt;=LookaheadEnd),Tasks[[#This Row],[_ShownFcstStart]]+Tasks[[#This Row],[_Row]]/100000,"")</f>
        <v/>
      </c>
      <c r="GN203" s="43" t="str">
        <f aca="false">IF(AND(Tasks[[#This Row],[_IsLeaf]]=1,Tasks[[#This Row],[_LeafProgress]]&lt;1,Tasks[[#This Row],[_ShownFcstFinish]]&gt;=StatusDate,Tasks[[#This Row],[_ShownFcstFinish]]&lt;=LookaheadEnd),Tasks[[#This Row],[_ShownFcstFinish]]+Tasks[[#This Row],[_Row]]/100000,"")</f>
        <v/>
      </c>
      <c r="GO203" s="43" t="str">
        <f aca="false">IF(Tasks[[#This Row],[_LeafCritical]],Tasks[[#This Row],[_ShownFcstStart]]+Tasks[[#This Row],[_Row]]/100000,"")</f>
        <v/>
      </c>
      <c r="GP203" s="43" t="n">
        <f aca="false">Tasks[[#This Row],[_LeafWork]]*Tasks[[#This Row],[_LeafProgress]]</f>
        <v>0</v>
      </c>
      <c r="GQ203" s="91" t="str">
        <f aca="false">IF(AND(Tasks[[#This Row],[_IsLeaf]]=1,Tasks[[#This Row],[_LeafProgress]]&gt;=1),IF(N(Tasks[[#This Row],[Actual Finish]])&gt;0,Tasks[[#This Row],[Actual Finish]],Tasks[[#This Row],[_ShownFcstFinish]]),"")</f>
        <v/>
      </c>
      <c r="GR203" s="43" t="n">
        <f aca="false">IF(Tasks[[#This Row],[_IsLeaf]]=1,N(Tasks[[#This Row],[Story Points]]),0)</f>
        <v>0</v>
      </c>
      <c r="GS203" s="43" t="str">
        <f aca="false">""</f>
        <v/>
      </c>
      <c r="GT203" s="90" t="b">
        <f aca="false">IF(Tasks[[#This Row],[Task Name]]="",FALSE(),AND(Tasks[[#This Row],[_IsLeaf]]=1,N(Tasks[[#This Row],[_Days]])=0))</f>
        <v>0</v>
      </c>
      <c r="GU203" s="91" t="n">
        <f aca="false">IF(Tasks[[#This Row],[Task Name]]="",0,IF(AND(Tasks[[#This Row],[_IsLeaf]]=1,NOT(Tasks[[#This Row],[_IsMilestone]]),N(Tasks[[#This Row],[Progress]])&gt;0),Tasks[[#This Row],[Start]],0))</f>
        <v>0</v>
      </c>
      <c r="GV203" s="91" t="n">
        <f aca="false">IF(Tasks[[#This Row],[_DoneFrom]]=0,0,IF(Tasks[[#This Row],[Progress]]&gt;=1,Tasks[[#This Row],[Finish]],MAX(Tasks[[#This Row],[_DoneFrom]],Tasks[[#This Row],[Start]]+ROUND((Tasks[[#This Row],[Finish]]-Tasks[[#This Row],[Start]]+1)*Tasks[[#This Row],[Progress]],0)-1)))</f>
        <v>0</v>
      </c>
      <c r="GW203" s="91" t="n">
        <f aca="false">IF(Tasks[[#This Row],[Task Name]]="",0,IF(OR(NOT(Tasks[[#This Row],[_IsLeaf]]=1),Tasks[[#This Row],[_IsMilestone]],N(Tasks[[#This Row],[Progress]])&gt;=1),0,IF(Tasks[[#This Row],[_DoneTo]]&gt;0,Tasks[[#This Row],[_DoneTo]]+1,Tasks[[#This Row],[Start]])))</f>
        <v>0</v>
      </c>
      <c r="GX203" s="91" t="n">
        <f aca="false">IF(Tasks[[#This Row],[_RemFrom]]=0,0,Tasks[[#This Row],[Finish]])</f>
        <v>0</v>
      </c>
      <c r="GY203" s="90" t="b">
        <f aca="false">IF(Tasks[[#This Row],[Task Name]]="",FALSE(),OR(NOT(BaselineSet),N(Tasks[[#This Row],[Baseline Start]])&gt;0))</f>
        <v>0</v>
      </c>
      <c r="GZ20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3" s="92" t="str">
        <f aca="false">IF(Tasks[[#This Row],[_IsLeaf]]=1,Tasks[[#This Row],[_Row]],"")</f>
        <v/>
      </c>
      <c r="HD203" s="92" t="str">
        <f aca="false">IFERROR(INDEX(Tasks[UID],SMALL(Tasks[_PickKey],Tasks[[#This Row],[_Row]]))&amp;" "&amp;INDEX(Tasks[Task Name],SMALL(Tasks[_PickKey],Tasks[[#This Row],[_Row]])),"")</f>
        <v/>
      </c>
      <c r="HE203" s="43" t="str">
        <f aca="false">IF(Tasks[[#This Row],[Task Name]]="","",IF(Tasks[[#This Row],[_IsSummary]],NETWORKDAYS.INTL(Tasks[[#This Row],[Start]],Tasks[[#This Row],[Finish]],WorkWeek,Holidays),N(Tasks[[#This Row],[_Days]])))</f>
        <v/>
      </c>
      <c r="HF203" s="43" t="n">
        <f aca="false">IF(Tasks[[#This Row],[Expected]]="",0,((Tasks[[#This Row],[Pessimistic]]-Tasks[[#This Row],[Optimistic]])/6)^2)</f>
        <v>0</v>
      </c>
      <c r="HG203" s="43" t="n">
        <f aca="false">IF(Tasks[[#This Row],[Expected]]="",0,Tasks[[#This Row],[Expected]]-N(Tasks[[#This Row],[_Days]]))</f>
        <v>0</v>
      </c>
    </row>
    <row r="204" customFormat="false" ht="15" hidden="false" customHeight="false" outlineLevel="0" collapsed="false">
      <c r="A204" s="21" t="str">
        <f aca="false">IF(Tasks[[#This Row],[Task Name]]="","",COUNTA(Tasks[[#Headers],[Task Name]]:Tasks[[#This Row],[Task Name]])-1)</f>
        <v/>
      </c>
      <c r="B204" s="22" t="n">
        <v>212</v>
      </c>
      <c r="C204" s="22"/>
      <c r="D204" s="23"/>
      <c r="E204" s="22"/>
      <c r="F204" s="23"/>
      <c r="G204" s="22"/>
      <c r="H204" s="22"/>
      <c r="I204" s="23"/>
      <c r="J204" s="22"/>
      <c r="K204" s="22"/>
      <c r="L204" s="23"/>
      <c r="M204" s="22"/>
      <c r="N204" s="22"/>
      <c r="O204" s="23"/>
      <c r="P204" s="22"/>
      <c r="Q204" s="22"/>
      <c r="R204" s="23"/>
      <c r="S204" s="23"/>
      <c r="T204" s="84"/>
      <c r="U204" s="23"/>
      <c r="V204" s="84"/>
      <c r="W204" s="23"/>
      <c r="X204" s="84"/>
      <c r="Y204" s="23"/>
      <c r="Z204" s="84"/>
      <c r="AA204" s="23"/>
      <c r="AB204" s="23"/>
      <c r="AC204" s="7"/>
      <c r="AD204" s="7"/>
      <c r="AE204" s="63" t="str">
        <f aca="false">IF(Tasks[[#This Row],[Task Name]]="","",IF(Tasks[[#This Row],[_IsSummary]],MIN(INDEX(Tasks[_ShownFcstStart],Tasks[[#This Row],[_Row]]+1):INDEX(Tasks[_ShownFcstStart],Tasks[[#This Row],[_Row]]+Tasks[[#This Row],[_Descendants]])),Tasks[[#This Row],[_ShownFcstStart]]))</f>
        <v/>
      </c>
      <c r="AF204" s="63" t="str">
        <f aca="false">IF(Tasks[[#This Row],[Task Name]]="","",IF(Tasks[[#This Row],[_IsSummary]],MAX(INDEX(Tasks[_ShownFcstFinish],Tasks[[#This Row],[_Row]]+1):INDEX(Tasks[_ShownFcstFinish],Tasks[[#This Row],[_Row]]+Tasks[[#This Row],[_Descendants]])),Tasks[[#This Row],[_ShownFcstFinish]]))</f>
        <v/>
      </c>
      <c r="AG204" s="21" t="str">
        <f aca="false">""</f>
        <v/>
      </c>
      <c r="AH204" s="23"/>
      <c r="AI2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4" s="7"/>
      <c r="AK204" s="22"/>
      <c r="AL204" s="23"/>
      <c r="AM204" s="7"/>
      <c r="AN204" s="47" t="str">
        <f aca="false">IF(Tasks[[#This Row],[Task Name]]="","",IF(Tasks[[#This Row],[Finish]]&gt;=Tasks[[#This Row],[Planned Finish]],NETWORKDAYS.INTL(Tasks[[#This Row],[Planned Finish]],Tasks[[#This Row],[Finish]],WorkWeek,Holidays)-1,1-NETWORKDAYS.INTL(Tasks[[#This Row],[Finish]],Tasks[[#This Row],[Planned Finish]],WorkWeek,Holidays)))</f>
        <v/>
      </c>
      <c r="AO204" s="21" t="str">
        <f aca="false">IF(Tasks[[#This Row],[Task Name]]="","",IF(Tasks[[#This Row],[Progress]]&gt;=1,"Complete",IF(OR(N(Tasks[[#This Row],[Actual Start]])&gt;0,Tasks[[#This Row],[Progress]]&gt;0),IF(Tasks[[#This Row],[Finish Var]]&gt;0,"Behind","In Progress"),IF(Tasks[[#This Row],[Planned Start]]&lt;StatusDate,"Late Start","Not Started"))))</f>
        <v/>
      </c>
      <c r="AP204" s="21" t="str">
        <f aca="false">IF(Tasks[[#This Row],[Task Name]]="","",IF(IF(Tasks[[#This Row],[_IsSummary]],COUNTIF(INDEX(Tasks[_LeafCritical],Tasks[[#This Row],[_Row]]+1):INDEX(Tasks[_LeafCritical],Tasks[[#This Row],[_Row]]+Tasks[[#This Row],[_Descendants]]),TRUE())&gt;0,Tasks[[#This Row],[_LeafCritical]]),"Yes",""))</f>
        <v/>
      </c>
      <c r="AQ204" s="63" t="str">
        <f aca="false">IF(Tasks[[#This Row],[Task Name]]="","",IF(N(Tasks[[#This Row],[Baseline Start]])&gt;0,Tasks[[#This Row],[Baseline Start]],Tasks[[#This Row],[_CalcStart]]))</f>
        <v/>
      </c>
      <c r="AR204" s="63" t="str">
        <f aca="false">IF(Tasks[[#This Row],[Task Name]]="","",IF(N(Tasks[[#This Row],[Baseline Finish]])&gt;0,Tasks[[#This Row],[Baseline Finish]],Tasks[[#This Row],[_CalcFinish]]))</f>
        <v/>
      </c>
      <c r="AS204" s="47" t="str">
        <f aca="false">IF(Tasks[[#This Row],[Task Name]]="","",IF(Tasks[[#This Row],[Start]]&gt;=Tasks[[#This Row],[Planned Start]],NETWORKDAYS.INTL(Tasks[[#This Row],[Planned Start]],Tasks[[#This Row],[Start]],WorkWeek,Holidays)-1,1-NETWORKDAYS.INTL(Tasks[[#This Row],[Start]],Tasks[[#This Row],[Planned Start]],WorkWeek,Holidays)))</f>
        <v/>
      </c>
      <c r="AT204" s="63" t="str">
        <f aca="false">IF(Tasks[[#This Row],[Task Name]]="","",IF(Tasks[[#This Row],[_IsSummary]],MIN(INDEX(Tasks[_LeafLateStart],Tasks[[#This Row],[_Row]]+1):INDEX(Tasks[_LeafLateStart],Tasks[[#This Row],[_Row]]+Tasks[[#This Row],[_Descendants]])),Tasks[[#This Row],[_LeafLateStart]]))</f>
        <v/>
      </c>
      <c r="AU204" s="63" t="str">
        <f aca="false">IF(Tasks[[#This Row],[Task Name]]="","",IF(Tasks[[#This Row],[_IsSummary]],MAX(INDEX(Tasks[_LeafLateFinish],Tasks[[#This Row],[_Row]]+1):INDEX(Tasks[_LeafLateFinish],Tasks[[#This Row],[_Row]]+Tasks[[#This Row],[_Descendants]])),Tasks[[#This Row],[_LeafLateFinish]]))</f>
        <v/>
      </c>
      <c r="AV204" s="47" t="str">
        <f aca="false">IF(Tasks[[#This Row],[Task Name]]="","",IF(Tasks[[#This Row],[_IsSummary]],MIN(INDEX(Tasks[_LeafTotalSlack],Tasks[[#This Row],[_Row]]+1):INDEX(Tasks[_LeafTotalSlack],Tasks[[#This Row],[_Row]]+Tasks[[#This Row],[_Descendants]])),Tasks[[#This Row],[_LeafTotalSlack]]))</f>
        <v/>
      </c>
      <c r="AW2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5"/>
      <c r="BA20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1" t="str">
        <f aca="false">IF(Tasks[[#This Row],[Task Name]]="","",IF(Tasks[[#This Row],[_Level]]&lt;=OutlineShowLevel,"Yes","No"))</f>
        <v/>
      </c>
      <c r="BE204" s="86" t="str">
        <f aca="false">IF(Tasks[[#This Row],[Task Name]]="","",IF(Tasks[[#This Row],[_IsSummary]],SUM(INDEX(Tasks[_LeafTotalWork],Tasks[[#This Row],[_Row]]+1):INDEX(Tasks[_LeafTotalWork],Tasks[[#This Row],[_Row]]+Tasks[[#This Row],[_Descendants]])),Tasks[[#This Row],[_LeafTotalWork]]))</f>
        <v/>
      </c>
      <c r="BF204" s="23"/>
      <c r="BG2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4" s="21" t="str">
        <f aca="false">""</f>
        <v/>
      </c>
      <c r="BI204" s="87"/>
      <c r="BJ204" s="22"/>
      <c r="BK204" s="47" t="str">
        <f aca="false">IF(OR(Tasks[[#This Row],[Task Name]]="",Tasks[[#This Row],[Baseline Duration]]=""),"",Tasks[[#This Row],[_SpanDays]]-N(Tasks[[#This Row],[Baseline Duration]]))</f>
        <v/>
      </c>
      <c r="BL204" s="86" t="str">
        <f aca="false">IF(OR(Tasks[[#This Row],[Task Name]]="",Tasks[[#This Row],[Baseline Work]]=""),"",Tasks[[#This Row],[Work]]-N(Tasks[[#This Row],[Baseline Work]]))</f>
        <v/>
      </c>
      <c r="BM204" s="63" t="str">
        <f aca="false">IF(Tasks[[#This Row],[Task Name]]="","",IF(OR(TakeBaseline="Yes",N(Tasks[[#This Row],[Baseline Start]])=0),Tasks[[#This Row],[Start]],Tasks[[#This Row],[Baseline Start]]))</f>
        <v/>
      </c>
      <c r="BN204" s="63" t="str">
        <f aca="false">IF(Tasks[[#This Row],[Task Name]]="","",IF(OR(TakeBaseline="Yes",N(Tasks[[#This Row],[Baseline Finish]])=0),Tasks[[#This Row],[Finish]],Tasks[[#This Row],[Baseline Finish]]))</f>
        <v/>
      </c>
      <c r="BO204" s="21" t="str">
        <f aca="false">IF(Tasks[[#This Row],[Task Name]]="","",IF(OR(TakeBaseline="Yes",N(Tasks[[#This Row],[Baseline Duration]])=0),Tasks[[#This Row],[_SpanDays]],Tasks[[#This Row],[Baseline Duration]]))</f>
        <v/>
      </c>
      <c r="BP204" s="86" t="str">
        <f aca="false">IF(Tasks[[#This Row],[Task Name]]="","",IF(OR(TakeBaseline="Yes",N(Tasks[[#This Row],[Baseline Work]])=0),Tasks[[#This Row],[Work]],Tasks[[#This Row],[Baseline Work]]))</f>
        <v/>
      </c>
      <c r="BQ204" s="7"/>
      <c r="BR204" s="7"/>
      <c r="BS204" s="22"/>
      <c r="BT204" s="88"/>
      <c r="BU204" s="23"/>
      <c r="BV204" s="23"/>
      <c r="BW204" s="23"/>
      <c r="BX204" s="89" t="str">
        <f aca="false">IF(AND(Tasks[[#This Row],[_IsLeaf]]=1,ISNUMBER(Tasks[[#This Row],[Optimistic]]),ISNUMBER(Tasks[[#This Row],[Pessimistic]])),ROUND((Tasks[[#This Row],[Optimistic]]+4*N(Tasks[[#This Row],[_Days]])+Tasks[[#This Row],[Pessimistic]])/6,1),"")</f>
        <v/>
      </c>
      <c r="BY204" s="87"/>
      <c r="BZ204" s="87"/>
      <c r="CA204" s="22"/>
      <c r="CB204" s="43" t="str">
        <f aca="false">IF(Tasks[[#This Row],[Task Name]]="","",MAX(1,N(Tasks[[#This Row],[Level]])))</f>
        <v/>
      </c>
      <c r="CC204" s="43" t="n">
        <f aca="false">ROW()-ROW(Tasks[[#Headers],[ID]])</f>
        <v>199</v>
      </c>
      <c r="CD204" s="43" t="n">
        <f aca="false">IF(OR(Tasks[[#This Row],[Task Name]]="",Tasks[[#This Row],[_Level]]&lt;=1),0,IFERROR(LOOKUP(2,1/(Tasks[[#Headers],[_Level]]:Tasks[[#This Row],[_Level]]=Tasks[[#This Row],[_Level]]-1),ROW(Tasks[[#Headers],[_Level]]:Tasks[[#This Row],[_Level]])),0))</f>
        <v>0</v>
      </c>
      <c r="CE204" s="43" t="n">
        <f aca="false">IFERROR(N(INDEX(Tasks[_Level],Tasks[[#This Row],[_Row]]+1)),0)</f>
        <v>0</v>
      </c>
      <c r="CF204" s="90" t="b">
        <f aca="false">AND(Tasks[[#This Row],[Task Name]]&lt;&gt;"",Tasks[[#This Row],[_NextLevel]]&gt;Tasks[[#This Row],[_Level]])</f>
        <v>0</v>
      </c>
      <c r="CG204" s="43" t="n">
        <f aca="false">IF(Tasks[[#This Row],[_IsSummary]],COUNTIF(Tasks[WBS],Tasks[[#This Row],[WBS]]&amp;".*"),0)</f>
        <v>0</v>
      </c>
      <c r="CH204" s="43" t="n">
        <f aca="false">IF(AND(Tasks[[#This Row],[Task Name]]&lt;&gt;"",NOT(Tasks[[#This Row],[_IsSummary]])),1,0)</f>
        <v>0</v>
      </c>
      <c r="CI204" s="43" t="n">
        <f aca="false">IF(N(Tasks[[#This Row],[_Pred1UID]])=0,0,IFERROR(MATCH(Tasks[[#This Row],[_Pred1UID]],Tasks[UID],0),-1))</f>
        <v>0</v>
      </c>
      <c r="CJ204" s="43" t="n">
        <f aca="false">IF(N(Tasks[[#This Row],[_Pred2UID]])=0,0,IFERROR(MATCH(Tasks[[#This Row],[_Pred2UID]],Tasks[UID],0),-1))</f>
        <v>0</v>
      </c>
      <c r="CK204" s="43" t="n">
        <f aca="false">IF(N(Tasks[[#This Row],[_Pred3UID]])=0,0,IFERROR(MATCH(Tasks[[#This Row],[_Pred3UID]],Tasks[UID],0),-1))</f>
        <v>0</v>
      </c>
      <c r="CL204" s="43" t="n">
        <f aca="false">IF(N(Tasks[[#This Row],[_Pred4UID]])=0,0,IFERROR(MATCH(Tasks[[#This Row],[_Pred4UID]],Tasks[UID],0),-1))</f>
        <v>0</v>
      </c>
      <c r="CM20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4" s="91" t="n">
        <f aca="false">IF(OR(Tasks[[#This Row],[_ConstraintCode]]=2,Tasks[[#This Row],[_ConstraintCode]]=3,Tasks[[#This Row],[_ConstraintCode]]=4,Tasks[[#This Row],[_ConstraintCode]]=6),Tasks[[#This Row],[_ConstraintStart]],0)</f>
        <v>0</v>
      </c>
      <c r="CP204" s="91" t="n">
        <f aca="false">IF(OR(Tasks[[#This Row],[_ConstraintCode]]=2,Tasks[[#This Row],[_ConstraintCode]]=3,Tasks[[#This Row],[_ConstraintCode]]=5,Tasks[[#This Row],[_ConstraintCode]]=7),Tasks[[#This Row],[_ConstraintStart]],2958465)</f>
        <v>2958465</v>
      </c>
      <c r="CQ20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4" s="91" t="str">
        <f aca="false">IF(NOT(Tasks[[#This Row],[_IsLeaf]]=1),"",IF(N(Tasks[[#This Row],[_Days]])&lt;=0,Tasks[[#This Row],[_LeafCalcStart]],WORKDAY.INTL(Tasks[[#This Row],[_LeafCalcStart]],Tasks[[#This Row],[_Days]]-1,WorkWeek,Holidays)))</f>
        <v/>
      </c>
      <c r="CS20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4" s="43" t="str">
        <f aca="false">IF(Tasks[[#This Row],[_Predecessors]]="","",TRIM(MID(SUBSTITUTE(SUBSTITUTE(SUBSTITUTE(UPPER(Tasks[[#This Row],[_Predecessors]]),";",",")," ",""),",",REPT(" ",99)),1,99)))</f>
        <v/>
      </c>
      <c r="CV204" s="43" t="str">
        <f aca="false">IF(Tasks[[#This Row],[_Pred1Text]]="","",IFERROR(VALUE(LEFT(Tasks[[#This Row],[_Pred1Text]],MIN(FIND("F",Tasks[[#This Row],[_Pred1Text]]&amp;"F"),FIND("S",Tasks[[#This Row],[_Pred1Text]]&amp;"S"),FIND("+",Tasks[[#This Row],[_Pred1Text]]&amp;"+"),FIND("-",Tasks[[#This Row],[_Pred1Text]]&amp;"-"))-1)),""))</f>
        <v/>
      </c>
      <c r="CW20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4" s="43" t="str">
        <f aca="false">IF(Tasks[[#This Row],[_Pred1Text]]="","",TRIM(MID(SUBSTITUTE(SUBSTITUTE(SUBSTITUTE(UPPER(Tasks[[#This Row],[_Predecessors]]),";",",")," ",""),",",REPT(" ",99)),100,99)))</f>
        <v/>
      </c>
      <c r="CZ204" s="43" t="str">
        <f aca="false">IF(Tasks[[#This Row],[_Pred2Text]]="","",IFERROR(VALUE(LEFT(Tasks[[#This Row],[_Pred2Text]],MIN(FIND("F",Tasks[[#This Row],[_Pred2Text]]&amp;"F"),FIND("S",Tasks[[#This Row],[_Pred2Text]]&amp;"S"),FIND("+",Tasks[[#This Row],[_Pred2Text]]&amp;"+"),FIND("-",Tasks[[#This Row],[_Pred2Text]]&amp;"-"))-1)),""))</f>
        <v/>
      </c>
      <c r="DA20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4" s="43" t="str">
        <f aca="false">IF(Tasks[[#This Row],[_Pred2Text]]="","",TRIM(MID(SUBSTITUTE(SUBSTITUTE(SUBSTITUTE(UPPER(Tasks[[#This Row],[_Predecessors]]),";",",")," ",""),",",REPT(" ",99)),199,99)))</f>
        <v/>
      </c>
      <c r="DD204" s="43" t="str">
        <f aca="false">IF(Tasks[[#This Row],[_Pred3Text]]="","",IFERROR(VALUE(LEFT(Tasks[[#This Row],[_Pred3Text]],MIN(FIND("F",Tasks[[#This Row],[_Pred3Text]]&amp;"F"),FIND("S",Tasks[[#This Row],[_Pred3Text]]&amp;"S"),FIND("+",Tasks[[#This Row],[_Pred3Text]]&amp;"+"),FIND("-",Tasks[[#This Row],[_Pred3Text]]&amp;"-"))-1)),""))</f>
        <v/>
      </c>
      <c r="DE20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4" s="43" t="str">
        <f aca="false">IF(Tasks[[#This Row],[_Pred3Text]]="","",TRIM(MID(SUBSTITUTE(SUBSTITUTE(SUBSTITUTE(UPPER(Tasks[[#This Row],[_Predecessors]]),";",",")," ",""),",",REPT(" ",99)),298,99)))</f>
        <v/>
      </c>
      <c r="DH204" s="43" t="str">
        <f aca="false">IF(Tasks[[#This Row],[_Pred4Text]]="","",IFERROR(VALUE(LEFT(Tasks[[#This Row],[_Pred4Text]],MIN(FIND("F",Tasks[[#This Row],[_Pred4Text]]&amp;"F"),FIND("S",Tasks[[#This Row],[_Pred4Text]]&amp;"S"),FIND("+",Tasks[[#This Row],[_Pred4Text]]&amp;"+"),FIND("-",Tasks[[#This Row],[_Pred4Text]]&amp;"-"))-1)),""))</f>
        <v/>
      </c>
      <c r="DI20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4" s="43" t="str">
        <f aca="false">IF(OR(Tasks[[#This Row],[Task Name]]="",Tasks[[#This Row],[_Resources]]=""),"",TRIM(MID(SUBSTITUTE(Tasks[[#This Row],[_Resources]],",",REPT(" ",99)),1,99)))</f>
        <v/>
      </c>
      <c r="DL204" s="43" t="str">
        <f aca="false">IF(Tasks[[#This Row],[_Res1Text]]="","",TRIM(MID(SUBSTITUTE(Tasks[[#This Row],[_Resources]],",",REPT(" ",99)),100,99)))</f>
        <v/>
      </c>
      <c r="DM204" s="43" t="str">
        <f aca="false">IF(Tasks[[#This Row],[_Res2Text]]="","",TRIM(MID(SUBSTITUTE(Tasks[[#This Row],[_Resources]],",",REPT(" ",99)),199,99)))</f>
        <v/>
      </c>
      <c r="DN204" s="43" t="str">
        <f aca="false">IF(Tasks[[#This Row],[_Res3Text]]="","",TRIM(MID(SUBSTITUTE(Tasks[[#This Row],[_Resources]],",",REPT(" ",99)),298,99)))</f>
        <v/>
      </c>
      <c r="DO204" s="43" t="n">
        <f aca="false">IF(Tasks[[#This Row],[_Res1Text]]="",0,IFERROR(MATCH(TRIM(LEFT(Tasks[[#This Row],[_Res1Text]],FIND("[",Tasks[[#This Row],[_Res1Text]]&amp;"[")-1)),res_Name,0),IFERROR(MATCH(TRIM(LEFT(Tasks[[#This Row],[_Res1Text]],FIND("[",Tasks[[#This Row],[_Res1Text]]&amp;"[")-1)),res_Initials,0),0)))</f>
        <v>0</v>
      </c>
      <c r="DP204" s="43" t="n">
        <f aca="false">IF(Tasks[[#This Row],[_Res2Text]]="",0,IFERROR(MATCH(TRIM(LEFT(Tasks[[#This Row],[_Res2Text]],FIND("[",Tasks[[#This Row],[_Res2Text]]&amp;"[")-1)),res_Name,0),IFERROR(MATCH(TRIM(LEFT(Tasks[[#This Row],[_Res2Text]],FIND("[",Tasks[[#This Row],[_Res2Text]]&amp;"[")-1)),res_Initials,0),0)))</f>
        <v>0</v>
      </c>
      <c r="DQ204" s="43" t="n">
        <f aca="false">IF(Tasks[[#This Row],[_Res3Text]]="",0,IFERROR(MATCH(TRIM(LEFT(Tasks[[#This Row],[_Res3Text]],FIND("[",Tasks[[#This Row],[_Res3Text]]&amp;"[")-1)),res_Name,0),IFERROR(MATCH(TRIM(LEFT(Tasks[[#This Row],[_Res3Text]],FIND("[",Tasks[[#This Row],[_Res3Text]]&amp;"[")-1)),res_Initials,0),0)))</f>
        <v>0</v>
      </c>
      <c r="DR204" s="43" t="n">
        <f aca="false">IF(Tasks[[#This Row],[_Res4Text]]="",0,IFERROR(MATCH(TRIM(LEFT(Tasks[[#This Row],[_Res4Text]],FIND("[",Tasks[[#This Row],[_Res4Text]]&amp;"[")-1)),res_Name,0),IFERROR(MATCH(TRIM(LEFT(Tasks[[#This Row],[_Res4Text]],FIND("[",Tasks[[#This Row],[_Res4Text]]&amp;"[")-1)),res_Initials,0),0)))</f>
        <v>0</v>
      </c>
      <c r="DS204" s="43" t="str">
        <f aca="false">IF(Tasks[[#This Row],[_Res1Text]]="","",IF(Tasks[[#This Row],[_Res1Row]]&gt;0,INDEX(res_Name,Tasks[[#This Row],[_Res1Row]]),TRIM(LEFT(Tasks[[#This Row],[_Res1Text]],FIND("[",Tasks[[#This Row],[_Res1Text]]&amp;"[")-1))))</f>
        <v/>
      </c>
      <c r="DT20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4" s="43" t="n">
        <f aca="false">IF(NOT(Tasks[[#This Row],[_IsLeaf]]=1),0,(Tasks[[#This Row],[_Resource1]]&lt;&gt;"")+(Tasks[[#This Row],[_Res2]]&lt;&gt;"")+(Tasks[[#This Row],[_Res3]]&lt;&gt;"")+(Tasks[[#This Row],[_Res4]]&lt;&gt;""))</f>
        <v>0</v>
      </c>
      <c r="DV204" s="43" t="str">
        <f aca="false">IF(Tasks[[#This Row],[_Res2Text]]="","",IF(Tasks[[#This Row],[_Res2Row]]&gt;0,INDEX(res_Name,Tasks[[#This Row],[_Res2Row]]),TRIM(LEFT(Tasks[[#This Row],[_Res2Text]],FIND("[",Tasks[[#This Row],[_Res2Text]]&amp;"[")-1))))</f>
        <v/>
      </c>
      <c r="DW20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4" s="43" t="n">
        <f aca="false">IF(OR(NOT(Tasks[[#This Row],[_IsLeaf]]=1),Tasks[[#This Row],[_Res2Row]]=0),0,N(Tasks[[#This Row],[_Days]])*HoursPerDay*IF(Tasks[[#This Row],[_Res2Units]]="",DefaultUnits,Tasks[[#This Row],[_Res2Units]]))</f>
        <v>0</v>
      </c>
      <c r="DY204" s="43" t="n">
        <f aca="false">IF(AND(AND(Tasks[[#This Row],[_IsLeaf]]=1,Tasks[[#This Row],[_LeafTotalWork]]&gt;0),Tasks[[#This Row],[_Res2Work]]&gt;0),Tasks[[#This Row],[_Res2Work]]/(Tasks[[#This Row],[_FinishWorkday]]-Tasks[[#This Row],[_StartWorkday]]+1),0)</f>
        <v>0</v>
      </c>
      <c r="DZ204" s="43" t="n">
        <f aca="false">Tasks[[#This Row],[_Res2WorkPerWD]]*MAX(0,Tasks[[#This Row],[_StartWorkday]]-1)</f>
        <v>0</v>
      </c>
      <c r="EA204" s="43" t="n">
        <f aca="false">Tasks[[#This Row],[_Res2Work]]*Tasks[[#This Row],[_LeafProgress]]</f>
        <v>0</v>
      </c>
      <c r="EB204" s="43" t="str">
        <f aca="false">IF(Tasks[[#This Row],[_Res3Text]]="","",IF(Tasks[[#This Row],[_Res3Row]]&gt;0,INDEX(res_Name,Tasks[[#This Row],[_Res3Row]]),TRIM(LEFT(Tasks[[#This Row],[_Res3Text]],FIND("[",Tasks[[#This Row],[_Res3Text]]&amp;"[")-1))))</f>
        <v/>
      </c>
      <c r="EC20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4" s="43" t="n">
        <f aca="false">IF(OR(NOT(Tasks[[#This Row],[_IsLeaf]]=1),Tasks[[#This Row],[_Res3Row]]=0),0,N(Tasks[[#This Row],[_Days]])*HoursPerDay*IF(Tasks[[#This Row],[_Res3Units]]="",DefaultUnits,Tasks[[#This Row],[_Res3Units]]))</f>
        <v>0</v>
      </c>
      <c r="EE204" s="43" t="n">
        <f aca="false">IF(AND(AND(Tasks[[#This Row],[_IsLeaf]]=1,Tasks[[#This Row],[_LeafTotalWork]]&gt;0),Tasks[[#This Row],[_Res3Work]]&gt;0),Tasks[[#This Row],[_Res3Work]]/(Tasks[[#This Row],[_FinishWorkday]]-Tasks[[#This Row],[_StartWorkday]]+1),0)</f>
        <v>0</v>
      </c>
      <c r="EF204" s="43" t="n">
        <f aca="false">Tasks[[#This Row],[_Res3WorkPerWD]]*MAX(0,Tasks[[#This Row],[_StartWorkday]]-1)</f>
        <v>0</v>
      </c>
      <c r="EG204" s="43" t="n">
        <f aca="false">Tasks[[#This Row],[_Res3Work]]*Tasks[[#This Row],[_LeafProgress]]</f>
        <v>0</v>
      </c>
      <c r="EH204" s="43" t="str">
        <f aca="false">IF(Tasks[[#This Row],[_Res4Text]]="","",IF(Tasks[[#This Row],[_Res4Row]]&gt;0,INDEX(res_Name,Tasks[[#This Row],[_Res4Row]]),TRIM(LEFT(Tasks[[#This Row],[_Res4Text]],FIND("[",Tasks[[#This Row],[_Res4Text]]&amp;"[")-1))))</f>
        <v/>
      </c>
      <c r="EI20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4" s="43" t="n">
        <f aca="false">IF(OR(NOT(Tasks[[#This Row],[_IsLeaf]]=1),Tasks[[#This Row],[_Res4Row]]=0),0,N(Tasks[[#This Row],[_Days]])*HoursPerDay*IF(Tasks[[#This Row],[_Res4Units]]="",DefaultUnits,Tasks[[#This Row],[_Res4Units]]))</f>
        <v>0</v>
      </c>
      <c r="EK204" s="43" t="n">
        <f aca="false">IF(AND(AND(Tasks[[#This Row],[_IsLeaf]]=1,Tasks[[#This Row],[_LeafTotalWork]]&gt;0),Tasks[[#This Row],[_Res4Work]]&gt;0),Tasks[[#This Row],[_Res4Work]]/(Tasks[[#This Row],[_FinishWorkday]]-Tasks[[#This Row],[_StartWorkday]]+1),0)</f>
        <v>0</v>
      </c>
      <c r="EL204" s="43" t="n">
        <f aca="false">Tasks[[#This Row],[_Res4WorkPerWD]]*MAX(0,Tasks[[#This Row],[_StartWorkday]]-1)</f>
        <v>0</v>
      </c>
      <c r="EM204" s="43" t="n">
        <f aca="false">Tasks[[#This Row],[_Res4Work]]*Tasks[[#This Row],[_LeafProgress]]</f>
        <v>0</v>
      </c>
      <c r="EN204" s="43" t="n">
        <f aca="false">IF(ISNUMBER(Tasks[[#This Row],[% Complete]]),Tasks[[#This Row],[% Complete]],IF(Tasks[[#This Row],[Stage]]="",0,IFERROR(INDEX(stg_Pct,MATCH(Tasks[[#This Row],[Stage]],stg_Name,0)),0)))</f>
        <v>0</v>
      </c>
      <c r="EO204" s="43" t="n">
        <f aca="false">IF(NOT(Tasks[[#This Row],[_IsLeaf]]=1),0,IF(N(Tasks[[#This Row],[Actual Finish]])&gt;0,1,MIN(1,Tasks[[#This Row],[_Pct]])))</f>
        <v>0</v>
      </c>
      <c r="EP204" s="43" t="n">
        <f aca="false">IF(OR(NOT(Tasks[[#This Row],[_IsLeaf]]=1),Tasks[[#This Row],[_Res1Row]]=0),0,N(Tasks[[#This Row],[_Days]])*HoursPerDay*IF(Tasks[[#This Row],[_Units1]]="",DefaultUnits,Tasks[[#This Row],[_Units1]]))</f>
        <v>0</v>
      </c>
      <c r="EQ204" s="43" t="n">
        <f aca="false">Tasks[[#This Row],[_LeafWork]]+Tasks[[#This Row],[_Res2Work]]+Tasks[[#This Row],[_Res3Work]]+Tasks[[#This Row],[_Res4Work]]</f>
        <v>0</v>
      </c>
      <c r="ER20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4" s="43" t="n">
        <f aca="false">IF(NOT(Tasks[[#This Row],[_IsLeaf]]=1),0,MAX(_xlfn.MAXIFS(Tasks[_Row],Tasks[_Pred1UID],Tasks[[#This Row],[UID]]),_xlfn.MAXIFS(Tasks[_Row],Tasks[_Pred2UID],Tasks[[#This Row],[UID]]),_xlfn.MAXIFS(Tasks[_Row],Tasks[_Pred3UID],Tasks[[#This Row],[UID]]),_xlfn.MAXIFS(Tasks[_Row],Tasks[_Pred4UID],Tasks[[#This Row],[UID]])))</f>
        <v>0</v>
      </c>
      <c r="FA20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4" s="91" t="str">
        <f aca="false">IF(NOT(Tasks[[#This Row],[_IsLeaf]]=1),"",IF(N(Tasks[[#This Row],[_Days]])&lt;=0,Tasks[[#This Row],[_LeafLateFinish]],WORKDAY.INTL(Tasks[[#This Row],[_LeafLateFinish]],-(Tasks[[#This Row],[_Days]]-1),WorkWeek,Holidays)))</f>
        <v/>
      </c>
      <c r="FD20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4" s="90" t="b">
        <f aca="false">AND(Tasks[[#This Row],[_IsLeaf]]=1,Tasks[[#This Row],[_LeafProgress]]&lt;1,N(Tasks[[#This Row],[_LeafTotalSlack]])&lt;=CriticalSlackDays)</f>
        <v>0</v>
      </c>
      <c r="FF204" s="43" t="n">
        <f aca="false">IF(AND(Tasks[[#This Row],[_IsLeaf]]=1,Tasks[[#This Row],[_ConstraintCode]]=1,Tasks[[#This Row],[Mode]]&lt;&gt;"Manual",N(Tasks[[#This Row],[Actual Start]])=0),MAX(0,N(Tasks[[#This Row],[Free Slack]])),0)</f>
        <v>0</v>
      </c>
      <c r="FG204" s="91" t="str">
        <f aca="false">IF(NOT(Tasks[[#This Row],[_IsLeaf]]=1),"",IF(Tasks[[#This Row],[_AlapShift]]=0,Tasks[[#This Row],[_LeafCalcStart]],WORKDAY.INTL(Tasks[[#This Row],[_LeafCalcStart]],Tasks[[#This Row],[_AlapShift]],WorkWeek,Holidays)))</f>
        <v/>
      </c>
      <c r="FH204" s="91" t="str">
        <f aca="false">IF(NOT(Tasks[[#This Row],[_IsLeaf]]=1),"",IF(Tasks[[#This Row],[_AlapShift]]=0,Tasks[[#This Row],[_LeafCalcFinish]],WORKDAY.INTL(Tasks[[#This Row],[_LeafCalcFinish]],Tasks[[#This Row],[_AlapShift]],WorkWeek,Holidays)))</f>
        <v/>
      </c>
      <c r="FI204" s="91" t="str">
        <f aca="false">IF(NOT(Tasks[[#This Row],[_IsLeaf]]=1),"",IF(Tasks[[#This Row],[_AlapShift]]=0,Tasks[[#This Row],[_LeafFcstStart]],WORKDAY.INTL(Tasks[[#This Row],[_LeafFcstStart]],Tasks[[#This Row],[_AlapShift]],WorkWeek,Holidays)))</f>
        <v/>
      </c>
      <c r="FJ204" s="91" t="str">
        <f aca="false">IF(NOT(Tasks[[#This Row],[_IsLeaf]]=1),"",IF(Tasks[[#This Row],[_AlapShift]]=0,Tasks[[#This Row],[_LeafFcstFinish]],WORKDAY.INTL(Tasks[[#This Row],[_LeafFcstFinish]],Tasks[[#This Row],[_AlapShift]],WorkWeek,Holidays)))</f>
        <v/>
      </c>
      <c r="FK204" s="91" t="str">
        <f aca="false">IF(Tasks[[#This Row],[Task Name]]="","",IF(Tasks[[#This Row],[_IsSummary]],MIN(INDEX(Tasks[_ShownCalcStart],Tasks[[#This Row],[_Row]]+1):INDEX(Tasks[_ShownCalcStart],Tasks[[#This Row],[_Row]]+Tasks[[#This Row],[_Descendants]])),Tasks[[#This Row],[_ShownCalcStart]]))</f>
        <v/>
      </c>
      <c r="FL204" s="91" t="str">
        <f aca="false">IF(Tasks[[#This Row],[Task Name]]="","",IF(Tasks[[#This Row],[_IsSummary]],MAX(INDEX(Tasks[_ShownCalcFinish],Tasks[[#This Row],[_Row]]+1):INDEX(Tasks[_ShownCalcFinish],Tasks[[#This Row],[_Row]]+Tasks[[#This Row],[_Descendants]])),Tasks[[#This Row],[_ShownCalcFinish]]))</f>
        <v/>
      </c>
      <c r="FM20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4" s="43" t="n">
        <f aca="false">IF(AND(Tasks[[#This Row],[_IsLeaf]]=1,Tasks[[#This Row],[_LeafTotalWork]]&gt;0),NETWORKDAYS.INTL(ProjectStart,Tasks[[#This Row],[_ShownFcstStart]],WorkWeek,Holidays),0)</f>
        <v>0</v>
      </c>
      <c r="FZ204" s="43" t="n">
        <f aca="false">IF(AND(Tasks[[#This Row],[_IsLeaf]]=1,Tasks[[#This Row],[_LeafTotalWork]]&gt;0),MAX(Tasks[[#This Row],[_StartWorkday]],NETWORKDAYS.INTL(ProjectStart,Tasks[[#This Row],[_ShownFcstFinish]],WorkWeek,Holidays)),0)</f>
        <v>0</v>
      </c>
      <c r="GA204" s="43" t="n">
        <f aca="false">IF(AND(Tasks[[#This Row],[_IsLeaf]]=1,Tasks[[#This Row],[_LeafTotalWork]]&gt;0),Tasks[[#This Row],[_LeafWork]]/(Tasks[[#This Row],[_FinishWorkday]]-Tasks[[#This Row],[_StartWorkday]]+1),0)</f>
        <v>0</v>
      </c>
      <c r="GB204" s="43" t="n">
        <f aca="false">Tasks[[#This Row],[_WorkPerWorkday]]*(Tasks[[#This Row],[_StartWorkday]]-1)</f>
        <v>-0</v>
      </c>
      <c r="GC204" s="43" t="n">
        <f aca="false">IF(Tasks[[#This Row],[_IsLeaf]]=1,MAX(N(Tasks[[#This Row],[_Days]]),0.1),0)</f>
        <v>0</v>
      </c>
      <c r="GD204" s="43" t="n">
        <f aca="false">Tasks[[#This Row],[_WeightDur]]*Tasks[[#This Row],[_LeafProgress]]</f>
        <v>0</v>
      </c>
      <c r="GE204" s="43" t="n">
        <f aca="false">Tasks[[#This Row],[_WeightDur]]*Tasks[[#This Row],[_PlannedPct]]</f>
        <v>0</v>
      </c>
      <c r="GF20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4" s="43" t="str">
        <f aca="false">IF(AND(Tasks[[#This Row],[_IsLeaf]]=1,N(Tasks[[#This Row],[_Days]])=0,Tasks[[#This Row],[_LeafProgress]]&lt;1),Tasks[[#This Row],[_ShownFcstFinish]]+Tasks[[#This Row],[_Row]]/100000,"")</f>
        <v/>
      </c>
      <c r="GH20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4" s="43" t="str">
        <f aca="false">IF(Tasks[[#This Row],[Task Name]]="","",LEFT(Tasks[[#This Row],[WBS]],FIND(".",Tasks[[#This Row],[WBS]]&amp;".")-1))</f>
        <v/>
      </c>
      <c r="GJ204" s="43" t="str">
        <f aca="false">IF(AND(Tasks[[#This Row],[Task Name]]&lt;&gt;"",Tasks[[#This Row],[_Level]]=1),Tasks[[#This Row],[_Row]],"")</f>
        <v/>
      </c>
      <c r="GK204" s="43" t="str">
        <f aca="false">IF(AND(Tasks[[#This Row],[_IsLeaf]]=1,N(Tasks[[#This Row],[_Days]])=0),Tasks[[#This Row],[Planned Finish]]+Tasks[[#This Row],[_Row]]/100000,"")</f>
        <v/>
      </c>
      <c r="GL204" s="43" t="str">
        <f aca="false">IF(AND(Tasks[[#This Row],[_IsLeaf]]=1,Tasks[[#This Row],[_LeafProgress]]&lt;1,OR(N(Tasks[[#This Row],[Finish Var]])&gt;0,Tasks[[#This Row],[Status]]="Late Start")),MAX(0,Tasks[[#This Row],[Finish Var]])+1-Tasks[[#This Row],[_Row]]/1000000,"")</f>
        <v/>
      </c>
      <c r="GM204" s="43" t="str">
        <f aca="false">IF(AND(Tasks[[#This Row],[_IsLeaf]]=1,N(Tasks[[#This Row],[Actual Start]])=0,Tasks[[#This Row],[_ShownFcstStart]]&gt;=StatusDate,Tasks[[#This Row],[_ShownFcstStart]]&lt;=LookaheadEnd),Tasks[[#This Row],[_ShownFcstStart]]+Tasks[[#This Row],[_Row]]/100000,"")</f>
        <v/>
      </c>
      <c r="GN204" s="43" t="str">
        <f aca="false">IF(AND(Tasks[[#This Row],[_IsLeaf]]=1,Tasks[[#This Row],[_LeafProgress]]&lt;1,Tasks[[#This Row],[_ShownFcstFinish]]&gt;=StatusDate,Tasks[[#This Row],[_ShownFcstFinish]]&lt;=LookaheadEnd),Tasks[[#This Row],[_ShownFcstFinish]]+Tasks[[#This Row],[_Row]]/100000,"")</f>
        <v/>
      </c>
      <c r="GO204" s="43" t="str">
        <f aca="false">IF(Tasks[[#This Row],[_LeafCritical]],Tasks[[#This Row],[_ShownFcstStart]]+Tasks[[#This Row],[_Row]]/100000,"")</f>
        <v/>
      </c>
      <c r="GP204" s="43" t="n">
        <f aca="false">Tasks[[#This Row],[_LeafWork]]*Tasks[[#This Row],[_LeafProgress]]</f>
        <v>0</v>
      </c>
      <c r="GQ204" s="91" t="str">
        <f aca="false">IF(AND(Tasks[[#This Row],[_IsLeaf]]=1,Tasks[[#This Row],[_LeafProgress]]&gt;=1),IF(N(Tasks[[#This Row],[Actual Finish]])&gt;0,Tasks[[#This Row],[Actual Finish]],Tasks[[#This Row],[_ShownFcstFinish]]),"")</f>
        <v/>
      </c>
      <c r="GR204" s="43" t="n">
        <f aca="false">IF(Tasks[[#This Row],[_IsLeaf]]=1,N(Tasks[[#This Row],[Story Points]]),0)</f>
        <v>0</v>
      </c>
      <c r="GS204" s="43" t="str">
        <f aca="false">""</f>
        <v/>
      </c>
      <c r="GT204" s="90" t="b">
        <f aca="false">IF(Tasks[[#This Row],[Task Name]]="",FALSE(),AND(Tasks[[#This Row],[_IsLeaf]]=1,N(Tasks[[#This Row],[_Days]])=0))</f>
        <v>0</v>
      </c>
      <c r="GU204" s="91" t="n">
        <f aca="false">IF(Tasks[[#This Row],[Task Name]]="",0,IF(AND(Tasks[[#This Row],[_IsLeaf]]=1,NOT(Tasks[[#This Row],[_IsMilestone]]),N(Tasks[[#This Row],[Progress]])&gt;0),Tasks[[#This Row],[Start]],0))</f>
        <v>0</v>
      </c>
      <c r="GV204" s="91" t="n">
        <f aca="false">IF(Tasks[[#This Row],[_DoneFrom]]=0,0,IF(Tasks[[#This Row],[Progress]]&gt;=1,Tasks[[#This Row],[Finish]],MAX(Tasks[[#This Row],[_DoneFrom]],Tasks[[#This Row],[Start]]+ROUND((Tasks[[#This Row],[Finish]]-Tasks[[#This Row],[Start]]+1)*Tasks[[#This Row],[Progress]],0)-1)))</f>
        <v>0</v>
      </c>
      <c r="GW204" s="91" t="n">
        <f aca="false">IF(Tasks[[#This Row],[Task Name]]="",0,IF(OR(NOT(Tasks[[#This Row],[_IsLeaf]]=1),Tasks[[#This Row],[_IsMilestone]],N(Tasks[[#This Row],[Progress]])&gt;=1),0,IF(Tasks[[#This Row],[_DoneTo]]&gt;0,Tasks[[#This Row],[_DoneTo]]+1,Tasks[[#This Row],[Start]])))</f>
        <v>0</v>
      </c>
      <c r="GX204" s="91" t="n">
        <f aca="false">IF(Tasks[[#This Row],[_RemFrom]]=0,0,Tasks[[#This Row],[Finish]])</f>
        <v>0</v>
      </c>
      <c r="GY204" s="90" t="b">
        <f aca="false">IF(Tasks[[#This Row],[Task Name]]="",FALSE(),OR(NOT(BaselineSet),N(Tasks[[#This Row],[Baseline Start]])&gt;0))</f>
        <v>0</v>
      </c>
      <c r="GZ20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4" s="92" t="str">
        <f aca="false">IF(Tasks[[#This Row],[_IsLeaf]]=1,Tasks[[#This Row],[_Row]],"")</f>
        <v/>
      </c>
      <c r="HD204" s="92" t="str">
        <f aca="false">IFERROR(INDEX(Tasks[UID],SMALL(Tasks[_PickKey],Tasks[[#This Row],[_Row]]))&amp;" "&amp;INDEX(Tasks[Task Name],SMALL(Tasks[_PickKey],Tasks[[#This Row],[_Row]])),"")</f>
        <v/>
      </c>
      <c r="HE204" s="43" t="str">
        <f aca="false">IF(Tasks[[#This Row],[Task Name]]="","",IF(Tasks[[#This Row],[_IsSummary]],NETWORKDAYS.INTL(Tasks[[#This Row],[Start]],Tasks[[#This Row],[Finish]],WorkWeek,Holidays),N(Tasks[[#This Row],[_Days]])))</f>
        <v/>
      </c>
      <c r="HF204" s="43" t="n">
        <f aca="false">IF(Tasks[[#This Row],[Expected]]="",0,((Tasks[[#This Row],[Pessimistic]]-Tasks[[#This Row],[Optimistic]])/6)^2)</f>
        <v>0</v>
      </c>
      <c r="HG204" s="43" t="n">
        <f aca="false">IF(Tasks[[#This Row],[Expected]]="",0,Tasks[[#This Row],[Expected]]-N(Tasks[[#This Row],[_Days]]))</f>
        <v>0</v>
      </c>
    </row>
    <row r="205" customFormat="false" ht="15" hidden="false" customHeight="false" outlineLevel="0" collapsed="false">
      <c r="A205" s="21" t="str">
        <f aca="false">IF(Tasks[[#This Row],[Task Name]]="","",COUNTA(Tasks[[#Headers],[Task Name]]:Tasks[[#This Row],[Task Name]])-1)</f>
        <v/>
      </c>
      <c r="B205" s="22" t="n">
        <v>213</v>
      </c>
      <c r="C205" s="22"/>
      <c r="D205" s="23"/>
      <c r="E205" s="22"/>
      <c r="F205" s="23"/>
      <c r="G205" s="22"/>
      <c r="H205" s="22"/>
      <c r="I205" s="23"/>
      <c r="J205" s="22"/>
      <c r="K205" s="22"/>
      <c r="L205" s="23"/>
      <c r="M205" s="22"/>
      <c r="N205" s="22"/>
      <c r="O205" s="23"/>
      <c r="P205" s="22"/>
      <c r="Q205" s="22"/>
      <c r="R205" s="23"/>
      <c r="S205" s="23"/>
      <c r="T205" s="84"/>
      <c r="U205" s="23"/>
      <c r="V205" s="84"/>
      <c r="W205" s="23"/>
      <c r="X205" s="84"/>
      <c r="Y205" s="23"/>
      <c r="Z205" s="84"/>
      <c r="AA205" s="23"/>
      <c r="AB205" s="23"/>
      <c r="AC205" s="7"/>
      <c r="AD205" s="7"/>
      <c r="AE205" s="63" t="str">
        <f aca="false">IF(Tasks[[#This Row],[Task Name]]="","",IF(Tasks[[#This Row],[_IsSummary]],MIN(INDEX(Tasks[_ShownFcstStart],Tasks[[#This Row],[_Row]]+1):INDEX(Tasks[_ShownFcstStart],Tasks[[#This Row],[_Row]]+Tasks[[#This Row],[_Descendants]])),Tasks[[#This Row],[_ShownFcstStart]]))</f>
        <v/>
      </c>
      <c r="AF205" s="63" t="str">
        <f aca="false">IF(Tasks[[#This Row],[Task Name]]="","",IF(Tasks[[#This Row],[_IsSummary]],MAX(INDEX(Tasks[_ShownFcstFinish],Tasks[[#This Row],[_Row]]+1):INDEX(Tasks[_ShownFcstFinish],Tasks[[#This Row],[_Row]]+Tasks[[#This Row],[_Descendants]])),Tasks[[#This Row],[_ShownFcstFinish]]))</f>
        <v/>
      </c>
      <c r="AG205" s="21" t="str">
        <f aca="false">""</f>
        <v/>
      </c>
      <c r="AH205" s="23"/>
      <c r="AI2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5" s="7"/>
      <c r="AK205" s="22"/>
      <c r="AL205" s="23"/>
      <c r="AM205" s="7"/>
      <c r="AN205" s="47" t="str">
        <f aca="false">IF(Tasks[[#This Row],[Task Name]]="","",IF(Tasks[[#This Row],[Finish]]&gt;=Tasks[[#This Row],[Planned Finish]],NETWORKDAYS.INTL(Tasks[[#This Row],[Planned Finish]],Tasks[[#This Row],[Finish]],WorkWeek,Holidays)-1,1-NETWORKDAYS.INTL(Tasks[[#This Row],[Finish]],Tasks[[#This Row],[Planned Finish]],WorkWeek,Holidays)))</f>
        <v/>
      </c>
      <c r="AO205" s="21" t="str">
        <f aca="false">IF(Tasks[[#This Row],[Task Name]]="","",IF(Tasks[[#This Row],[Progress]]&gt;=1,"Complete",IF(OR(N(Tasks[[#This Row],[Actual Start]])&gt;0,Tasks[[#This Row],[Progress]]&gt;0),IF(Tasks[[#This Row],[Finish Var]]&gt;0,"Behind","In Progress"),IF(Tasks[[#This Row],[Planned Start]]&lt;StatusDate,"Late Start","Not Started"))))</f>
        <v/>
      </c>
      <c r="AP205" s="21" t="str">
        <f aca="false">IF(Tasks[[#This Row],[Task Name]]="","",IF(IF(Tasks[[#This Row],[_IsSummary]],COUNTIF(INDEX(Tasks[_LeafCritical],Tasks[[#This Row],[_Row]]+1):INDEX(Tasks[_LeafCritical],Tasks[[#This Row],[_Row]]+Tasks[[#This Row],[_Descendants]]),TRUE())&gt;0,Tasks[[#This Row],[_LeafCritical]]),"Yes",""))</f>
        <v/>
      </c>
      <c r="AQ205" s="63" t="str">
        <f aca="false">IF(Tasks[[#This Row],[Task Name]]="","",IF(N(Tasks[[#This Row],[Baseline Start]])&gt;0,Tasks[[#This Row],[Baseline Start]],Tasks[[#This Row],[_CalcStart]]))</f>
        <v/>
      </c>
      <c r="AR205" s="63" t="str">
        <f aca="false">IF(Tasks[[#This Row],[Task Name]]="","",IF(N(Tasks[[#This Row],[Baseline Finish]])&gt;0,Tasks[[#This Row],[Baseline Finish]],Tasks[[#This Row],[_CalcFinish]]))</f>
        <v/>
      </c>
      <c r="AS205" s="47" t="str">
        <f aca="false">IF(Tasks[[#This Row],[Task Name]]="","",IF(Tasks[[#This Row],[Start]]&gt;=Tasks[[#This Row],[Planned Start]],NETWORKDAYS.INTL(Tasks[[#This Row],[Planned Start]],Tasks[[#This Row],[Start]],WorkWeek,Holidays)-1,1-NETWORKDAYS.INTL(Tasks[[#This Row],[Start]],Tasks[[#This Row],[Planned Start]],WorkWeek,Holidays)))</f>
        <v/>
      </c>
      <c r="AT205" s="63" t="str">
        <f aca="false">IF(Tasks[[#This Row],[Task Name]]="","",IF(Tasks[[#This Row],[_IsSummary]],MIN(INDEX(Tasks[_LeafLateStart],Tasks[[#This Row],[_Row]]+1):INDEX(Tasks[_LeafLateStart],Tasks[[#This Row],[_Row]]+Tasks[[#This Row],[_Descendants]])),Tasks[[#This Row],[_LeafLateStart]]))</f>
        <v/>
      </c>
      <c r="AU205" s="63" t="str">
        <f aca="false">IF(Tasks[[#This Row],[Task Name]]="","",IF(Tasks[[#This Row],[_IsSummary]],MAX(INDEX(Tasks[_LeafLateFinish],Tasks[[#This Row],[_Row]]+1):INDEX(Tasks[_LeafLateFinish],Tasks[[#This Row],[_Row]]+Tasks[[#This Row],[_Descendants]])),Tasks[[#This Row],[_LeafLateFinish]]))</f>
        <v/>
      </c>
      <c r="AV205" s="47" t="str">
        <f aca="false">IF(Tasks[[#This Row],[Task Name]]="","",IF(Tasks[[#This Row],[_IsSummary]],MIN(INDEX(Tasks[_LeafTotalSlack],Tasks[[#This Row],[_Row]]+1):INDEX(Tasks[_LeafTotalSlack],Tasks[[#This Row],[_Row]]+Tasks[[#This Row],[_Descendants]])),Tasks[[#This Row],[_LeafTotalSlack]]))</f>
        <v/>
      </c>
      <c r="AW2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5"/>
      <c r="BA20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1" t="str">
        <f aca="false">IF(Tasks[[#This Row],[Task Name]]="","",IF(Tasks[[#This Row],[_Level]]&lt;=OutlineShowLevel,"Yes","No"))</f>
        <v/>
      </c>
      <c r="BE205" s="86" t="str">
        <f aca="false">IF(Tasks[[#This Row],[Task Name]]="","",IF(Tasks[[#This Row],[_IsSummary]],SUM(INDEX(Tasks[_LeafTotalWork],Tasks[[#This Row],[_Row]]+1):INDEX(Tasks[_LeafTotalWork],Tasks[[#This Row],[_Row]]+Tasks[[#This Row],[_Descendants]])),Tasks[[#This Row],[_LeafTotalWork]]))</f>
        <v/>
      </c>
      <c r="BF205" s="23"/>
      <c r="BG2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5" s="21" t="str">
        <f aca="false">""</f>
        <v/>
      </c>
      <c r="BI205" s="87"/>
      <c r="BJ205" s="22"/>
      <c r="BK205" s="47" t="str">
        <f aca="false">IF(OR(Tasks[[#This Row],[Task Name]]="",Tasks[[#This Row],[Baseline Duration]]=""),"",Tasks[[#This Row],[_SpanDays]]-N(Tasks[[#This Row],[Baseline Duration]]))</f>
        <v/>
      </c>
      <c r="BL205" s="86" t="str">
        <f aca="false">IF(OR(Tasks[[#This Row],[Task Name]]="",Tasks[[#This Row],[Baseline Work]]=""),"",Tasks[[#This Row],[Work]]-N(Tasks[[#This Row],[Baseline Work]]))</f>
        <v/>
      </c>
      <c r="BM205" s="63" t="str">
        <f aca="false">IF(Tasks[[#This Row],[Task Name]]="","",IF(OR(TakeBaseline="Yes",N(Tasks[[#This Row],[Baseline Start]])=0),Tasks[[#This Row],[Start]],Tasks[[#This Row],[Baseline Start]]))</f>
        <v/>
      </c>
      <c r="BN205" s="63" t="str">
        <f aca="false">IF(Tasks[[#This Row],[Task Name]]="","",IF(OR(TakeBaseline="Yes",N(Tasks[[#This Row],[Baseline Finish]])=0),Tasks[[#This Row],[Finish]],Tasks[[#This Row],[Baseline Finish]]))</f>
        <v/>
      </c>
      <c r="BO205" s="21" t="str">
        <f aca="false">IF(Tasks[[#This Row],[Task Name]]="","",IF(OR(TakeBaseline="Yes",N(Tasks[[#This Row],[Baseline Duration]])=0),Tasks[[#This Row],[_SpanDays]],Tasks[[#This Row],[Baseline Duration]]))</f>
        <v/>
      </c>
      <c r="BP205" s="86" t="str">
        <f aca="false">IF(Tasks[[#This Row],[Task Name]]="","",IF(OR(TakeBaseline="Yes",N(Tasks[[#This Row],[Baseline Work]])=0),Tasks[[#This Row],[Work]],Tasks[[#This Row],[Baseline Work]]))</f>
        <v/>
      </c>
      <c r="BQ205" s="7"/>
      <c r="BR205" s="7"/>
      <c r="BS205" s="22"/>
      <c r="BT205" s="88"/>
      <c r="BU205" s="23"/>
      <c r="BV205" s="23"/>
      <c r="BW205" s="23"/>
      <c r="BX205" s="89" t="str">
        <f aca="false">IF(AND(Tasks[[#This Row],[_IsLeaf]]=1,ISNUMBER(Tasks[[#This Row],[Optimistic]]),ISNUMBER(Tasks[[#This Row],[Pessimistic]])),ROUND((Tasks[[#This Row],[Optimistic]]+4*N(Tasks[[#This Row],[_Days]])+Tasks[[#This Row],[Pessimistic]])/6,1),"")</f>
        <v/>
      </c>
      <c r="BY205" s="87"/>
      <c r="BZ205" s="87"/>
      <c r="CA205" s="22"/>
      <c r="CB205" s="43" t="str">
        <f aca="false">IF(Tasks[[#This Row],[Task Name]]="","",MAX(1,N(Tasks[[#This Row],[Level]])))</f>
        <v/>
      </c>
      <c r="CC205" s="43" t="n">
        <f aca="false">ROW()-ROW(Tasks[[#Headers],[ID]])</f>
        <v>200</v>
      </c>
      <c r="CD205" s="43" t="n">
        <f aca="false">IF(OR(Tasks[[#This Row],[Task Name]]="",Tasks[[#This Row],[_Level]]&lt;=1),0,IFERROR(LOOKUP(2,1/(Tasks[[#Headers],[_Level]]:Tasks[[#This Row],[_Level]]=Tasks[[#This Row],[_Level]]-1),ROW(Tasks[[#Headers],[_Level]]:Tasks[[#This Row],[_Level]])),0))</f>
        <v>0</v>
      </c>
      <c r="CE205" s="43" t="n">
        <f aca="false">IFERROR(N(INDEX(Tasks[_Level],Tasks[[#This Row],[_Row]]+1)),0)</f>
        <v>0</v>
      </c>
      <c r="CF205" s="90" t="b">
        <f aca="false">AND(Tasks[[#This Row],[Task Name]]&lt;&gt;"",Tasks[[#This Row],[_NextLevel]]&gt;Tasks[[#This Row],[_Level]])</f>
        <v>0</v>
      </c>
      <c r="CG205" s="43" t="n">
        <f aca="false">IF(Tasks[[#This Row],[_IsSummary]],COUNTIF(Tasks[WBS],Tasks[[#This Row],[WBS]]&amp;".*"),0)</f>
        <v>0</v>
      </c>
      <c r="CH205" s="43" t="n">
        <f aca="false">IF(AND(Tasks[[#This Row],[Task Name]]&lt;&gt;"",NOT(Tasks[[#This Row],[_IsSummary]])),1,0)</f>
        <v>0</v>
      </c>
      <c r="CI205" s="43" t="n">
        <f aca="false">IF(N(Tasks[[#This Row],[_Pred1UID]])=0,0,IFERROR(MATCH(Tasks[[#This Row],[_Pred1UID]],Tasks[UID],0),-1))</f>
        <v>0</v>
      </c>
      <c r="CJ205" s="43" t="n">
        <f aca="false">IF(N(Tasks[[#This Row],[_Pred2UID]])=0,0,IFERROR(MATCH(Tasks[[#This Row],[_Pred2UID]],Tasks[UID],0),-1))</f>
        <v>0</v>
      </c>
      <c r="CK205" s="43" t="n">
        <f aca="false">IF(N(Tasks[[#This Row],[_Pred3UID]])=0,0,IFERROR(MATCH(Tasks[[#This Row],[_Pred3UID]],Tasks[UID],0),-1))</f>
        <v>0</v>
      </c>
      <c r="CL205" s="43" t="n">
        <f aca="false">IF(N(Tasks[[#This Row],[_Pred4UID]])=0,0,IFERROR(MATCH(Tasks[[#This Row],[_Pred4UID]],Tasks[UID],0),-1))</f>
        <v>0</v>
      </c>
      <c r="CM20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5" s="91" t="n">
        <f aca="false">IF(OR(Tasks[[#This Row],[_ConstraintCode]]=2,Tasks[[#This Row],[_ConstraintCode]]=3,Tasks[[#This Row],[_ConstraintCode]]=4,Tasks[[#This Row],[_ConstraintCode]]=6),Tasks[[#This Row],[_ConstraintStart]],0)</f>
        <v>0</v>
      </c>
      <c r="CP205" s="91" t="n">
        <f aca="false">IF(OR(Tasks[[#This Row],[_ConstraintCode]]=2,Tasks[[#This Row],[_ConstraintCode]]=3,Tasks[[#This Row],[_ConstraintCode]]=5,Tasks[[#This Row],[_ConstraintCode]]=7),Tasks[[#This Row],[_ConstraintStart]],2958465)</f>
        <v>2958465</v>
      </c>
      <c r="CQ20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5" s="91" t="str">
        <f aca="false">IF(NOT(Tasks[[#This Row],[_IsLeaf]]=1),"",IF(N(Tasks[[#This Row],[_Days]])&lt;=0,Tasks[[#This Row],[_LeafCalcStart]],WORKDAY.INTL(Tasks[[#This Row],[_LeafCalcStart]],Tasks[[#This Row],[_Days]]-1,WorkWeek,Holidays)))</f>
        <v/>
      </c>
      <c r="CS20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5" s="43" t="str">
        <f aca="false">IF(Tasks[[#This Row],[_Predecessors]]="","",TRIM(MID(SUBSTITUTE(SUBSTITUTE(SUBSTITUTE(UPPER(Tasks[[#This Row],[_Predecessors]]),";",",")," ",""),",",REPT(" ",99)),1,99)))</f>
        <v/>
      </c>
      <c r="CV205" s="43" t="str">
        <f aca="false">IF(Tasks[[#This Row],[_Pred1Text]]="","",IFERROR(VALUE(LEFT(Tasks[[#This Row],[_Pred1Text]],MIN(FIND("F",Tasks[[#This Row],[_Pred1Text]]&amp;"F"),FIND("S",Tasks[[#This Row],[_Pred1Text]]&amp;"S"),FIND("+",Tasks[[#This Row],[_Pred1Text]]&amp;"+"),FIND("-",Tasks[[#This Row],[_Pred1Text]]&amp;"-"))-1)),""))</f>
        <v/>
      </c>
      <c r="CW20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5" s="43" t="str">
        <f aca="false">IF(Tasks[[#This Row],[_Pred1Text]]="","",TRIM(MID(SUBSTITUTE(SUBSTITUTE(SUBSTITUTE(UPPER(Tasks[[#This Row],[_Predecessors]]),";",",")," ",""),",",REPT(" ",99)),100,99)))</f>
        <v/>
      </c>
      <c r="CZ205" s="43" t="str">
        <f aca="false">IF(Tasks[[#This Row],[_Pred2Text]]="","",IFERROR(VALUE(LEFT(Tasks[[#This Row],[_Pred2Text]],MIN(FIND("F",Tasks[[#This Row],[_Pred2Text]]&amp;"F"),FIND("S",Tasks[[#This Row],[_Pred2Text]]&amp;"S"),FIND("+",Tasks[[#This Row],[_Pred2Text]]&amp;"+"),FIND("-",Tasks[[#This Row],[_Pred2Text]]&amp;"-"))-1)),""))</f>
        <v/>
      </c>
      <c r="DA20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5" s="43" t="str">
        <f aca="false">IF(Tasks[[#This Row],[_Pred2Text]]="","",TRIM(MID(SUBSTITUTE(SUBSTITUTE(SUBSTITUTE(UPPER(Tasks[[#This Row],[_Predecessors]]),";",",")," ",""),",",REPT(" ",99)),199,99)))</f>
        <v/>
      </c>
      <c r="DD205" s="43" t="str">
        <f aca="false">IF(Tasks[[#This Row],[_Pred3Text]]="","",IFERROR(VALUE(LEFT(Tasks[[#This Row],[_Pred3Text]],MIN(FIND("F",Tasks[[#This Row],[_Pred3Text]]&amp;"F"),FIND("S",Tasks[[#This Row],[_Pred3Text]]&amp;"S"),FIND("+",Tasks[[#This Row],[_Pred3Text]]&amp;"+"),FIND("-",Tasks[[#This Row],[_Pred3Text]]&amp;"-"))-1)),""))</f>
        <v/>
      </c>
      <c r="DE20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5" s="43" t="str">
        <f aca="false">IF(Tasks[[#This Row],[_Pred3Text]]="","",TRIM(MID(SUBSTITUTE(SUBSTITUTE(SUBSTITUTE(UPPER(Tasks[[#This Row],[_Predecessors]]),";",",")," ",""),",",REPT(" ",99)),298,99)))</f>
        <v/>
      </c>
      <c r="DH205" s="43" t="str">
        <f aca="false">IF(Tasks[[#This Row],[_Pred4Text]]="","",IFERROR(VALUE(LEFT(Tasks[[#This Row],[_Pred4Text]],MIN(FIND("F",Tasks[[#This Row],[_Pred4Text]]&amp;"F"),FIND("S",Tasks[[#This Row],[_Pred4Text]]&amp;"S"),FIND("+",Tasks[[#This Row],[_Pred4Text]]&amp;"+"),FIND("-",Tasks[[#This Row],[_Pred4Text]]&amp;"-"))-1)),""))</f>
        <v/>
      </c>
      <c r="DI20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5" s="43" t="str">
        <f aca="false">IF(OR(Tasks[[#This Row],[Task Name]]="",Tasks[[#This Row],[_Resources]]=""),"",TRIM(MID(SUBSTITUTE(Tasks[[#This Row],[_Resources]],",",REPT(" ",99)),1,99)))</f>
        <v/>
      </c>
      <c r="DL205" s="43" t="str">
        <f aca="false">IF(Tasks[[#This Row],[_Res1Text]]="","",TRIM(MID(SUBSTITUTE(Tasks[[#This Row],[_Resources]],",",REPT(" ",99)),100,99)))</f>
        <v/>
      </c>
      <c r="DM205" s="43" t="str">
        <f aca="false">IF(Tasks[[#This Row],[_Res2Text]]="","",TRIM(MID(SUBSTITUTE(Tasks[[#This Row],[_Resources]],",",REPT(" ",99)),199,99)))</f>
        <v/>
      </c>
      <c r="DN205" s="43" t="str">
        <f aca="false">IF(Tasks[[#This Row],[_Res3Text]]="","",TRIM(MID(SUBSTITUTE(Tasks[[#This Row],[_Resources]],",",REPT(" ",99)),298,99)))</f>
        <v/>
      </c>
      <c r="DO205" s="43" t="n">
        <f aca="false">IF(Tasks[[#This Row],[_Res1Text]]="",0,IFERROR(MATCH(TRIM(LEFT(Tasks[[#This Row],[_Res1Text]],FIND("[",Tasks[[#This Row],[_Res1Text]]&amp;"[")-1)),res_Name,0),IFERROR(MATCH(TRIM(LEFT(Tasks[[#This Row],[_Res1Text]],FIND("[",Tasks[[#This Row],[_Res1Text]]&amp;"[")-1)),res_Initials,0),0)))</f>
        <v>0</v>
      </c>
      <c r="DP205" s="43" t="n">
        <f aca="false">IF(Tasks[[#This Row],[_Res2Text]]="",0,IFERROR(MATCH(TRIM(LEFT(Tasks[[#This Row],[_Res2Text]],FIND("[",Tasks[[#This Row],[_Res2Text]]&amp;"[")-1)),res_Name,0),IFERROR(MATCH(TRIM(LEFT(Tasks[[#This Row],[_Res2Text]],FIND("[",Tasks[[#This Row],[_Res2Text]]&amp;"[")-1)),res_Initials,0),0)))</f>
        <v>0</v>
      </c>
      <c r="DQ205" s="43" t="n">
        <f aca="false">IF(Tasks[[#This Row],[_Res3Text]]="",0,IFERROR(MATCH(TRIM(LEFT(Tasks[[#This Row],[_Res3Text]],FIND("[",Tasks[[#This Row],[_Res3Text]]&amp;"[")-1)),res_Name,0),IFERROR(MATCH(TRIM(LEFT(Tasks[[#This Row],[_Res3Text]],FIND("[",Tasks[[#This Row],[_Res3Text]]&amp;"[")-1)),res_Initials,0),0)))</f>
        <v>0</v>
      </c>
      <c r="DR205" s="43" t="n">
        <f aca="false">IF(Tasks[[#This Row],[_Res4Text]]="",0,IFERROR(MATCH(TRIM(LEFT(Tasks[[#This Row],[_Res4Text]],FIND("[",Tasks[[#This Row],[_Res4Text]]&amp;"[")-1)),res_Name,0),IFERROR(MATCH(TRIM(LEFT(Tasks[[#This Row],[_Res4Text]],FIND("[",Tasks[[#This Row],[_Res4Text]]&amp;"[")-1)),res_Initials,0),0)))</f>
        <v>0</v>
      </c>
      <c r="DS205" s="43" t="str">
        <f aca="false">IF(Tasks[[#This Row],[_Res1Text]]="","",IF(Tasks[[#This Row],[_Res1Row]]&gt;0,INDEX(res_Name,Tasks[[#This Row],[_Res1Row]]),TRIM(LEFT(Tasks[[#This Row],[_Res1Text]],FIND("[",Tasks[[#This Row],[_Res1Text]]&amp;"[")-1))))</f>
        <v/>
      </c>
      <c r="DT20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5" s="43" t="n">
        <f aca="false">IF(NOT(Tasks[[#This Row],[_IsLeaf]]=1),0,(Tasks[[#This Row],[_Resource1]]&lt;&gt;"")+(Tasks[[#This Row],[_Res2]]&lt;&gt;"")+(Tasks[[#This Row],[_Res3]]&lt;&gt;"")+(Tasks[[#This Row],[_Res4]]&lt;&gt;""))</f>
        <v>0</v>
      </c>
      <c r="DV205" s="43" t="str">
        <f aca="false">IF(Tasks[[#This Row],[_Res2Text]]="","",IF(Tasks[[#This Row],[_Res2Row]]&gt;0,INDEX(res_Name,Tasks[[#This Row],[_Res2Row]]),TRIM(LEFT(Tasks[[#This Row],[_Res2Text]],FIND("[",Tasks[[#This Row],[_Res2Text]]&amp;"[")-1))))</f>
        <v/>
      </c>
      <c r="DW20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5" s="43" t="n">
        <f aca="false">IF(OR(NOT(Tasks[[#This Row],[_IsLeaf]]=1),Tasks[[#This Row],[_Res2Row]]=0),0,N(Tasks[[#This Row],[_Days]])*HoursPerDay*IF(Tasks[[#This Row],[_Res2Units]]="",DefaultUnits,Tasks[[#This Row],[_Res2Units]]))</f>
        <v>0</v>
      </c>
      <c r="DY205" s="43" t="n">
        <f aca="false">IF(AND(AND(Tasks[[#This Row],[_IsLeaf]]=1,Tasks[[#This Row],[_LeafTotalWork]]&gt;0),Tasks[[#This Row],[_Res2Work]]&gt;0),Tasks[[#This Row],[_Res2Work]]/(Tasks[[#This Row],[_FinishWorkday]]-Tasks[[#This Row],[_StartWorkday]]+1),0)</f>
        <v>0</v>
      </c>
      <c r="DZ205" s="43" t="n">
        <f aca="false">Tasks[[#This Row],[_Res2WorkPerWD]]*MAX(0,Tasks[[#This Row],[_StartWorkday]]-1)</f>
        <v>0</v>
      </c>
      <c r="EA205" s="43" t="n">
        <f aca="false">Tasks[[#This Row],[_Res2Work]]*Tasks[[#This Row],[_LeafProgress]]</f>
        <v>0</v>
      </c>
      <c r="EB205" s="43" t="str">
        <f aca="false">IF(Tasks[[#This Row],[_Res3Text]]="","",IF(Tasks[[#This Row],[_Res3Row]]&gt;0,INDEX(res_Name,Tasks[[#This Row],[_Res3Row]]),TRIM(LEFT(Tasks[[#This Row],[_Res3Text]],FIND("[",Tasks[[#This Row],[_Res3Text]]&amp;"[")-1))))</f>
        <v/>
      </c>
      <c r="EC20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5" s="43" t="n">
        <f aca="false">IF(OR(NOT(Tasks[[#This Row],[_IsLeaf]]=1),Tasks[[#This Row],[_Res3Row]]=0),0,N(Tasks[[#This Row],[_Days]])*HoursPerDay*IF(Tasks[[#This Row],[_Res3Units]]="",DefaultUnits,Tasks[[#This Row],[_Res3Units]]))</f>
        <v>0</v>
      </c>
      <c r="EE205" s="43" t="n">
        <f aca="false">IF(AND(AND(Tasks[[#This Row],[_IsLeaf]]=1,Tasks[[#This Row],[_LeafTotalWork]]&gt;0),Tasks[[#This Row],[_Res3Work]]&gt;0),Tasks[[#This Row],[_Res3Work]]/(Tasks[[#This Row],[_FinishWorkday]]-Tasks[[#This Row],[_StartWorkday]]+1),0)</f>
        <v>0</v>
      </c>
      <c r="EF205" s="43" t="n">
        <f aca="false">Tasks[[#This Row],[_Res3WorkPerWD]]*MAX(0,Tasks[[#This Row],[_StartWorkday]]-1)</f>
        <v>0</v>
      </c>
      <c r="EG205" s="43" t="n">
        <f aca="false">Tasks[[#This Row],[_Res3Work]]*Tasks[[#This Row],[_LeafProgress]]</f>
        <v>0</v>
      </c>
      <c r="EH205" s="43" t="str">
        <f aca="false">IF(Tasks[[#This Row],[_Res4Text]]="","",IF(Tasks[[#This Row],[_Res4Row]]&gt;0,INDEX(res_Name,Tasks[[#This Row],[_Res4Row]]),TRIM(LEFT(Tasks[[#This Row],[_Res4Text]],FIND("[",Tasks[[#This Row],[_Res4Text]]&amp;"[")-1))))</f>
        <v/>
      </c>
      <c r="EI20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5" s="43" t="n">
        <f aca="false">IF(OR(NOT(Tasks[[#This Row],[_IsLeaf]]=1),Tasks[[#This Row],[_Res4Row]]=0),0,N(Tasks[[#This Row],[_Days]])*HoursPerDay*IF(Tasks[[#This Row],[_Res4Units]]="",DefaultUnits,Tasks[[#This Row],[_Res4Units]]))</f>
        <v>0</v>
      </c>
      <c r="EK205" s="43" t="n">
        <f aca="false">IF(AND(AND(Tasks[[#This Row],[_IsLeaf]]=1,Tasks[[#This Row],[_LeafTotalWork]]&gt;0),Tasks[[#This Row],[_Res4Work]]&gt;0),Tasks[[#This Row],[_Res4Work]]/(Tasks[[#This Row],[_FinishWorkday]]-Tasks[[#This Row],[_StartWorkday]]+1),0)</f>
        <v>0</v>
      </c>
      <c r="EL205" s="43" t="n">
        <f aca="false">Tasks[[#This Row],[_Res4WorkPerWD]]*MAX(0,Tasks[[#This Row],[_StartWorkday]]-1)</f>
        <v>0</v>
      </c>
      <c r="EM205" s="43" t="n">
        <f aca="false">Tasks[[#This Row],[_Res4Work]]*Tasks[[#This Row],[_LeafProgress]]</f>
        <v>0</v>
      </c>
      <c r="EN205" s="43" t="n">
        <f aca="false">IF(ISNUMBER(Tasks[[#This Row],[% Complete]]),Tasks[[#This Row],[% Complete]],IF(Tasks[[#This Row],[Stage]]="",0,IFERROR(INDEX(stg_Pct,MATCH(Tasks[[#This Row],[Stage]],stg_Name,0)),0)))</f>
        <v>0</v>
      </c>
      <c r="EO205" s="43" t="n">
        <f aca="false">IF(NOT(Tasks[[#This Row],[_IsLeaf]]=1),0,IF(N(Tasks[[#This Row],[Actual Finish]])&gt;0,1,MIN(1,Tasks[[#This Row],[_Pct]])))</f>
        <v>0</v>
      </c>
      <c r="EP205" s="43" t="n">
        <f aca="false">IF(OR(NOT(Tasks[[#This Row],[_IsLeaf]]=1),Tasks[[#This Row],[_Res1Row]]=0),0,N(Tasks[[#This Row],[_Days]])*HoursPerDay*IF(Tasks[[#This Row],[_Units1]]="",DefaultUnits,Tasks[[#This Row],[_Units1]]))</f>
        <v>0</v>
      </c>
      <c r="EQ205" s="43" t="n">
        <f aca="false">Tasks[[#This Row],[_LeafWork]]+Tasks[[#This Row],[_Res2Work]]+Tasks[[#This Row],[_Res3Work]]+Tasks[[#This Row],[_Res4Work]]</f>
        <v>0</v>
      </c>
      <c r="ER20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5" s="43" t="n">
        <f aca="false">IF(NOT(Tasks[[#This Row],[_IsLeaf]]=1),0,MAX(_xlfn.MAXIFS(Tasks[_Row],Tasks[_Pred1UID],Tasks[[#This Row],[UID]]),_xlfn.MAXIFS(Tasks[_Row],Tasks[_Pred2UID],Tasks[[#This Row],[UID]]),_xlfn.MAXIFS(Tasks[_Row],Tasks[_Pred3UID],Tasks[[#This Row],[UID]]),_xlfn.MAXIFS(Tasks[_Row],Tasks[_Pred4UID],Tasks[[#This Row],[UID]])))</f>
        <v>0</v>
      </c>
      <c r="FA20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5" s="91" t="str">
        <f aca="false">IF(NOT(Tasks[[#This Row],[_IsLeaf]]=1),"",IF(N(Tasks[[#This Row],[_Days]])&lt;=0,Tasks[[#This Row],[_LeafLateFinish]],WORKDAY.INTL(Tasks[[#This Row],[_LeafLateFinish]],-(Tasks[[#This Row],[_Days]]-1),WorkWeek,Holidays)))</f>
        <v/>
      </c>
      <c r="FD20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5" s="90" t="b">
        <f aca="false">AND(Tasks[[#This Row],[_IsLeaf]]=1,Tasks[[#This Row],[_LeafProgress]]&lt;1,N(Tasks[[#This Row],[_LeafTotalSlack]])&lt;=CriticalSlackDays)</f>
        <v>0</v>
      </c>
      <c r="FF205" s="43" t="n">
        <f aca="false">IF(AND(Tasks[[#This Row],[_IsLeaf]]=1,Tasks[[#This Row],[_ConstraintCode]]=1,Tasks[[#This Row],[Mode]]&lt;&gt;"Manual",N(Tasks[[#This Row],[Actual Start]])=0),MAX(0,N(Tasks[[#This Row],[Free Slack]])),0)</f>
        <v>0</v>
      </c>
      <c r="FG205" s="91" t="str">
        <f aca="false">IF(NOT(Tasks[[#This Row],[_IsLeaf]]=1),"",IF(Tasks[[#This Row],[_AlapShift]]=0,Tasks[[#This Row],[_LeafCalcStart]],WORKDAY.INTL(Tasks[[#This Row],[_LeafCalcStart]],Tasks[[#This Row],[_AlapShift]],WorkWeek,Holidays)))</f>
        <v/>
      </c>
      <c r="FH205" s="91" t="str">
        <f aca="false">IF(NOT(Tasks[[#This Row],[_IsLeaf]]=1),"",IF(Tasks[[#This Row],[_AlapShift]]=0,Tasks[[#This Row],[_LeafCalcFinish]],WORKDAY.INTL(Tasks[[#This Row],[_LeafCalcFinish]],Tasks[[#This Row],[_AlapShift]],WorkWeek,Holidays)))</f>
        <v/>
      </c>
      <c r="FI205" s="91" t="str">
        <f aca="false">IF(NOT(Tasks[[#This Row],[_IsLeaf]]=1),"",IF(Tasks[[#This Row],[_AlapShift]]=0,Tasks[[#This Row],[_LeafFcstStart]],WORKDAY.INTL(Tasks[[#This Row],[_LeafFcstStart]],Tasks[[#This Row],[_AlapShift]],WorkWeek,Holidays)))</f>
        <v/>
      </c>
      <c r="FJ205" s="91" t="str">
        <f aca="false">IF(NOT(Tasks[[#This Row],[_IsLeaf]]=1),"",IF(Tasks[[#This Row],[_AlapShift]]=0,Tasks[[#This Row],[_LeafFcstFinish]],WORKDAY.INTL(Tasks[[#This Row],[_LeafFcstFinish]],Tasks[[#This Row],[_AlapShift]],WorkWeek,Holidays)))</f>
        <v/>
      </c>
      <c r="FK205" s="91" t="str">
        <f aca="false">IF(Tasks[[#This Row],[Task Name]]="","",IF(Tasks[[#This Row],[_IsSummary]],MIN(INDEX(Tasks[_ShownCalcStart],Tasks[[#This Row],[_Row]]+1):INDEX(Tasks[_ShownCalcStart],Tasks[[#This Row],[_Row]]+Tasks[[#This Row],[_Descendants]])),Tasks[[#This Row],[_ShownCalcStart]]))</f>
        <v/>
      </c>
      <c r="FL205" s="91" t="str">
        <f aca="false">IF(Tasks[[#This Row],[Task Name]]="","",IF(Tasks[[#This Row],[_IsSummary]],MAX(INDEX(Tasks[_ShownCalcFinish],Tasks[[#This Row],[_Row]]+1):INDEX(Tasks[_ShownCalcFinish],Tasks[[#This Row],[_Row]]+Tasks[[#This Row],[_Descendants]])),Tasks[[#This Row],[_ShownCalcFinish]]))</f>
        <v/>
      </c>
      <c r="FM20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5" s="43" t="n">
        <f aca="false">IF(AND(Tasks[[#This Row],[_IsLeaf]]=1,Tasks[[#This Row],[_LeafTotalWork]]&gt;0),NETWORKDAYS.INTL(ProjectStart,Tasks[[#This Row],[_ShownFcstStart]],WorkWeek,Holidays),0)</f>
        <v>0</v>
      </c>
      <c r="FZ205" s="43" t="n">
        <f aca="false">IF(AND(Tasks[[#This Row],[_IsLeaf]]=1,Tasks[[#This Row],[_LeafTotalWork]]&gt;0),MAX(Tasks[[#This Row],[_StartWorkday]],NETWORKDAYS.INTL(ProjectStart,Tasks[[#This Row],[_ShownFcstFinish]],WorkWeek,Holidays)),0)</f>
        <v>0</v>
      </c>
      <c r="GA205" s="43" t="n">
        <f aca="false">IF(AND(Tasks[[#This Row],[_IsLeaf]]=1,Tasks[[#This Row],[_LeafTotalWork]]&gt;0),Tasks[[#This Row],[_LeafWork]]/(Tasks[[#This Row],[_FinishWorkday]]-Tasks[[#This Row],[_StartWorkday]]+1),0)</f>
        <v>0</v>
      </c>
      <c r="GB205" s="43" t="n">
        <f aca="false">Tasks[[#This Row],[_WorkPerWorkday]]*(Tasks[[#This Row],[_StartWorkday]]-1)</f>
        <v>-0</v>
      </c>
      <c r="GC205" s="43" t="n">
        <f aca="false">IF(Tasks[[#This Row],[_IsLeaf]]=1,MAX(N(Tasks[[#This Row],[_Days]]),0.1),0)</f>
        <v>0</v>
      </c>
      <c r="GD205" s="43" t="n">
        <f aca="false">Tasks[[#This Row],[_WeightDur]]*Tasks[[#This Row],[_LeafProgress]]</f>
        <v>0</v>
      </c>
      <c r="GE205" s="43" t="n">
        <f aca="false">Tasks[[#This Row],[_WeightDur]]*Tasks[[#This Row],[_PlannedPct]]</f>
        <v>0</v>
      </c>
      <c r="GF20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5" s="43" t="str">
        <f aca="false">IF(AND(Tasks[[#This Row],[_IsLeaf]]=1,N(Tasks[[#This Row],[_Days]])=0,Tasks[[#This Row],[_LeafProgress]]&lt;1),Tasks[[#This Row],[_ShownFcstFinish]]+Tasks[[#This Row],[_Row]]/100000,"")</f>
        <v/>
      </c>
      <c r="GH20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5" s="43" t="str">
        <f aca="false">IF(Tasks[[#This Row],[Task Name]]="","",LEFT(Tasks[[#This Row],[WBS]],FIND(".",Tasks[[#This Row],[WBS]]&amp;".")-1))</f>
        <v/>
      </c>
      <c r="GJ205" s="43" t="str">
        <f aca="false">IF(AND(Tasks[[#This Row],[Task Name]]&lt;&gt;"",Tasks[[#This Row],[_Level]]=1),Tasks[[#This Row],[_Row]],"")</f>
        <v/>
      </c>
      <c r="GK205" s="43" t="str">
        <f aca="false">IF(AND(Tasks[[#This Row],[_IsLeaf]]=1,N(Tasks[[#This Row],[_Days]])=0),Tasks[[#This Row],[Planned Finish]]+Tasks[[#This Row],[_Row]]/100000,"")</f>
        <v/>
      </c>
      <c r="GL205" s="43" t="str">
        <f aca="false">IF(AND(Tasks[[#This Row],[_IsLeaf]]=1,Tasks[[#This Row],[_LeafProgress]]&lt;1,OR(N(Tasks[[#This Row],[Finish Var]])&gt;0,Tasks[[#This Row],[Status]]="Late Start")),MAX(0,Tasks[[#This Row],[Finish Var]])+1-Tasks[[#This Row],[_Row]]/1000000,"")</f>
        <v/>
      </c>
      <c r="GM205" s="43" t="str">
        <f aca="false">IF(AND(Tasks[[#This Row],[_IsLeaf]]=1,N(Tasks[[#This Row],[Actual Start]])=0,Tasks[[#This Row],[_ShownFcstStart]]&gt;=StatusDate,Tasks[[#This Row],[_ShownFcstStart]]&lt;=LookaheadEnd),Tasks[[#This Row],[_ShownFcstStart]]+Tasks[[#This Row],[_Row]]/100000,"")</f>
        <v/>
      </c>
      <c r="GN205" s="43" t="str">
        <f aca="false">IF(AND(Tasks[[#This Row],[_IsLeaf]]=1,Tasks[[#This Row],[_LeafProgress]]&lt;1,Tasks[[#This Row],[_ShownFcstFinish]]&gt;=StatusDate,Tasks[[#This Row],[_ShownFcstFinish]]&lt;=LookaheadEnd),Tasks[[#This Row],[_ShownFcstFinish]]+Tasks[[#This Row],[_Row]]/100000,"")</f>
        <v/>
      </c>
      <c r="GO205" s="43" t="str">
        <f aca="false">IF(Tasks[[#This Row],[_LeafCritical]],Tasks[[#This Row],[_ShownFcstStart]]+Tasks[[#This Row],[_Row]]/100000,"")</f>
        <v/>
      </c>
      <c r="GP205" s="43" t="n">
        <f aca="false">Tasks[[#This Row],[_LeafWork]]*Tasks[[#This Row],[_LeafProgress]]</f>
        <v>0</v>
      </c>
      <c r="GQ205" s="91" t="str">
        <f aca="false">IF(AND(Tasks[[#This Row],[_IsLeaf]]=1,Tasks[[#This Row],[_LeafProgress]]&gt;=1),IF(N(Tasks[[#This Row],[Actual Finish]])&gt;0,Tasks[[#This Row],[Actual Finish]],Tasks[[#This Row],[_ShownFcstFinish]]),"")</f>
        <v/>
      </c>
      <c r="GR205" s="43" t="n">
        <f aca="false">IF(Tasks[[#This Row],[_IsLeaf]]=1,N(Tasks[[#This Row],[Story Points]]),0)</f>
        <v>0</v>
      </c>
      <c r="GS205" s="43" t="str">
        <f aca="false">""</f>
        <v/>
      </c>
      <c r="GT205" s="90" t="b">
        <f aca="false">IF(Tasks[[#This Row],[Task Name]]="",FALSE(),AND(Tasks[[#This Row],[_IsLeaf]]=1,N(Tasks[[#This Row],[_Days]])=0))</f>
        <v>0</v>
      </c>
      <c r="GU205" s="91" t="n">
        <f aca="false">IF(Tasks[[#This Row],[Task Name]]="",0,IF(AND(Tasks[[#This Row],[_IsLeaf]]=1,NOT(Tasks[[#This Row],[_IsMilestone]]),N(Tasks[[#This Row],[Progress]])&gt;0),Tasks[[#This Row],[Start]],0))</f>
        <v>0</v>
      </c>
      <c r="GV205" s="91" t="n">
        <f aca="false">IF(Tasks[[#This Row],[_DoneFrom]]=0,0,IF(Tasks[[#This Row],[Progress]]&gt;=1,Tasks[[#This Row],[Finish]],MAX(Tasks[[#This Row],[_DoneFrom]],Tasks[[#This Row],[Start]]+ROUND((Tasks[[#This Row],[Finish]]-Tasks[[#This Row],[Start]]+1)*Tasks[[#This Row],[Progress]],0)-1)))</f>
        <v>0</v>
      </c>
      <c r="GW205" s="91" t="n">
        <f aca="false">IF(Tasks[[#This Row],[Task Name]]="",0,IF(OR(NOT(Tasks[[#This Row],[_IsLeaf]]=1),Tasks[[#This Row],[_IsMilestone]],N(Tasks[[#This Row],[Progress]])&gt;=1),0,IF(Tasks[[#This Row],[_DoneTo]]&gt;0,Tasks[[#This Row],[_DoneTo]]+1,Tasks[[#This Row],[Start]])))</f>
        <v>0</v>
      </c>
      <c r="GX205" s="91" t="n">
        <f aca="false">IF(Tasks[[#This Row],[_RemFrom]]=0,0,Tasks[[#This Row],[Finish]])</f>
        <v>0</v>
      </c>
      <c r="GY205" s="90" t="b">
        <f aca="false">IF(Tasks[[#This Row],[Task Name]]="",FALSE(),OR(NOT(BaselineSet),N(Tasks[[#This Row],[Baseline Start]])&gt;0))</f>
        <v>0</v>
      </c>
      <c r="GZ20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5" s="92" t="str">
        <f aca="false">IF(Tasks[[#This Row],[_IsLeaf]]=1,Tasks[[#This Row],[_Row]],"")</f>
        <v/>
      </c>
      <c r="HD205" s="92" t="str">
        <f aca="false">IFERROR(INDEX(Tasks[UID],SMALL(Tasks[_PickKey],Tasks[[#This Row],[_Row]]))&amp;" "&amp;INDEX(Tasks[Task Name],SMALL(Tasks[_PickKey],Tasks[[#This Row],[_Row]])),"")</f>
        <v/>
      </c>
      <c r="HE205" s="43" t="str">
        <f aca="false">IF(Tasks[[#This Row],[Task Name]]="","",IF(Tasks[[#This Row],[_IsSummary]],NETWORKDAYS.INTL(Tasks[[#This Row],[Start]],Tasks[[#This Row],[Finish]],WorkWeek,Holidays),N(Tasks[[#This Row],[_Days]])))</f>
        <v/>
      </c>
      <c r="HF205" s="43" t="n">
        <f aca="false">IF(Tasks[[#This Row],[Expected]]="",0,((Tasks[[#This Row],[Pessimistic]]-Tasks[[#This Row],[Optimistic]])/6)^2)</f>
        <v>0</v>
      </c>
      <c r="HG205" s="43" t="n">
        <f aca="false">IF(Tasks[[#This Row],[Expected]]="",0,Tasks[[#This Row],[Expected]]-N(Tasks[[#This Row],[_Days]]))</f>
        <v>0</v>
      </c>
    </row>
  </sheetData>
  <conditionalFormatting sqref="A6:BT205">
    <cfRule type="expression" priority="2" aboveAverage="0" equalAverage="0" bottom="0" percent="0" rank="0" text="" dxfId="36">
      <formula>$CF6=1</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I6:BI205 BJ6:BJ205 BY6:BY205 BZ6:BZ205 CA6:CA205 HC6:HC205 HD6:HD205">
    <cfRule type="expression" priority="3" aboveAverage="0" equalAverage="0" bottom="0" percent="0" rank="0" text="" dxfId="37">
      <formula>$CF6=1</formula>
    </cfRule>
  </conditionalFormatting>
  <conditionalFormatting sqref="AO6:AO205">
    <cfRule type="expression" priority="4" aboveAverage="0" equalAverage="0" bottom="0" percent="0" rank="0" text="" dxfId="23">
      <formula>$AO6="Complete"</formula>
    </cfRule>
    <cfRule type="expression" priority="5" aboveAverage="0" equalAverage="0" bottom="0" percent="0" rank="0" text="" dxfId="38">
      <formula>$AO6="In Progress"</formula>
    </cfRule>
    <cfRule type="expression" priority="6" aboveAverage="0" equalAverage="0" bottom="0" percent="0" rank="0" text="" dxfId="24">
      <formula>$AO6="Behind"</formula>
    </cfRule>
    <cfRule type="expression" priority="7" aboveAverage="0" equalAverage="0" bottom="0" percent="0" rank="0" text="" dxfId="39">
      <formula>$AO6="Late Start"</formula>
    </cfRule>
    <cfRule type="expression" priority="8" aboveAverage="0" equalAverage="0" bottom="0" percent="0" rank="0" text="" dxfId="40">
      <formula>$AO6="Not Started"</formula>
    </cfRule>
  </conditionalFormatting>
  <conditionalFormatting sqref="AS6:AS205">
    <cfRule type="expression" priority="9" aboveAverage="0" equalAverage="0" bottom="0" percent="0" rank="0" text="" dxfId="24">
      <formula>AND(ISNUMBER($AS6),$AS6&gt;0)</formula>
    </cfRule>
    <cfRule type="expression" priority="10" aboveAverage="0" equalAverage="0" bottom="0" percent="0" rank="0" text="" dxfId="23">
      <formula>AND(ISNUMBER($AS6),$AS6&lt;0)</formula>
    </cfRule>
  </conditionalFormatting>
  <conditionalFormatting sqref="AN6:AN205">
    <cfRule type="expression" priority="11" aboveAverage="0" equalAverage="0" bottom="0" percent="0" rank="0" text="" dxfId="24">
      <formula>AND(ISNUMBER($AN6),$AN6&gt;0)</formula>
    </cfRule>
    <cfRule type="expression" priority="12" aboveAverage="0" equalAverage="0" bottom="0" percent="0" rank="0" text="" dxfId="23">
      <formula>AND(ISNUMBER($AN6),$AN6&lt;0)</formula>
    </cfRule>
  </conditionalFormatting>
  <conditionalFormatting sqref="BK6:BK205">
    <cfRule type="expression" priority="13" aboveAverage="0" equalAverage="0" bottom="0" percent="0" rank="0" text="" dxfId="24">
      <formula>AND(ISNUMBER($BK6),$BK6&gt;0)</formula>
    </cfRule>
    <cfRule type="expression" priority="14" aboveAverage="0" equalAverage="0" bottom="0" percent="0" rank="0" text="" dxfId="23">
      <formula>AND(ISNUMBER($BK6),$BK6&lt;0)</formula>
    </cfRule>
  </conditionalFormatting>
  <conditionalFormatting sqref="BL6:BL205">
    <cfRule type="expression" priority="15" aboveAverage="0" equalAverage="0" bottom="0" percent="0" rank="0" text="" dxfId="24">
      <formula>AND(ISNUMBER($BL6),$BL6&gt;0)</formula>
    </cfRule>
    <cfRule type="expression" priority="16" aboveAverage="0" equalAverage="0" bottom="0" percent="0" rank="0" text="" dxfId="23">
      <formula>AND(ISNUMBER($BL6),$BL6&lt;0)</formula>
    </cfRule>
  </conditionalFormatting>
  <conditionalFormatting sqref="D6:D205">
    <cfRule type="expression" priority="17" aboveAverage="0" equalAverage="0" bottom="0" percent="0" rank="0" text="" dxfId="41">
      <formula>AND($CH6=1,N($E6)=0)</formula>
    </cfRule>
  </conditionalFormatting>
  <conditionalFormatting sqref="BC6:BC205">
    <cfRule type="expression" priority="18" aboveAverage="0" equalAverage="0" bottom="0" percent="0" rank="0" text="" dxfId="42">
      <formula>$BC6="?"</formula>
    </cfRule>
  </conditionalFormatting>
  <conditionalFormatting sqref="B6:B205">
    <cfRule type="expression" priority="19" aboveAverage="0" equalAverage="0" bottom="0" percent="0" rank="0" text="" dxfId="21">
      <formula>OR(AND($D6&lt;&gt;"",$B6=""),AND($B6&lt;&gt;"",COUNTIF(tsk_UID,$B6)&gt;1))</formula>
    </cfRule>
  </conditionalFormatting>
  <conditionalFormatting sqref="AY6:AY205">
    <cfRule type="expression" priority="20" aboveAverage="0" equalAverage="0" bottom="0" percent="0" rank="0" text="" dxfId="43">
      <formula>$AY6&lt;&gt;""</formula>
    </cfRule>
  </conditionalFormatting>
  <conditionalFormatting sqref="AX6:AX205">
    <cfRule type="expression" priority="21" aboveAverage="0" equalAverage="0" bottom="0" percent="0" rank="0" text="" dxfId="24">
      <formula>LEFT($AX6,4)="Late"</formula>
    </cfRule>
    <cfRule type="expression" priority="22" aboveAverage="0" equalAverage="0" bottom="0" percent="0" rank="0" text="" dxfId="23">
      <formula>$AX6="OK"</formula>
    </cfRule>
  </conditionalFormatting>
  <conditionalFormatting sqref="BH6:BH205">
    <cfRule type="expression" priority="23" aboveAverage="0" equalAverage="0" bottom="0" percent="0" rank="0" text="" dxfId="21">
      <formula>$BH6="Yes"</formula>
    </cfRule>
  </conditionalFormatting>
  <conditionalFormatting sqref="AP6:AP205">
    <cfRule type="expression" priority="24" aboveAverage="0" equalAverage="0" bottom="0" percent="0" rank="0" text="" dxfId="25">
      <formula>$AP6="Yes"</formula>
    </cfRule>
  </conditionalFormatting>
  <conditionalFormatting sqref="AV6:AV205">
    <cfRule type="expression" priority="25" aboveAverage="0" equalAverage="0" bottom="0" percent="0" rank="0" text="" dxfId="24">
      <formula>AND(ISNUMBER($AV6),$AV6&lt;0)</formula>
    </cfRule>
  </conditionalFormatting>
  <conditionalFormatting sqref="AW6:AW205">
    <cfRule type="expression" priority="26" aboveAverage="0" equalAverage="0" bottom="0" percent="0" rank="0" text="" dxfId="24">
      <formula>AND(ISNUMBER($AW6),$AW6&lt;0)</formula>
    </cfRule>
  </conditionalFormatting>
  <conditionalFormatting sqref="HI6:NB205">
    <cfRule type="expression" priority="27" aboveAverage="0" equalAverage="0" bottom="0" percent="0" rank="0" text="" dxfId="31">
      <formula>AND(N($AJ6)&gt;0,N($AJ6)&gt;=HI$5,N($AJ6)&lt;IF(GanttPeriod&lt;28,HI$5+GanttPeriod,EDATE(HI$5,IF(GanttPeriod&gt;=90,3,1))))</formula>
    </cfRule>
    <cfRule type="expression" priority="28" aboveAverage="0" equalAverage="0" bottom="0" percent="0" rank="0" text="" dxfId="44">
      <formula>AND($CF6,AND($AE6&gt;0,HI$5&lt;=$AF6,IF(GanttPeriod&lt;28,HI$5+GanttPeriod,EDATE(HI$5,IF(GanttPeriod&gt;=90,3,1)))-1&gt;=$AE6))</formula>
    </cfRule>
    <cfRule type="expression" priority="29" aboveAverage="0" equalAverage="0" bottom="0" percent="0" rank="0" text="" dxfId="32">
      <formula>AND($GT6,AND($AE6&gt;0,$AE6&gt;=HI$5,$AE6&lt;IF(GanttPeriod&lt;28,HI$5+GanttPeriod,EDATE(HI$5,IF(GanttPeriod&gt;=90,3,1)))))</formula>
    </cfRule>
    <cfRule type="expression" priority="30" aboveAverage="0" equalAverage="0" bottom="0" percent="0" rank="0" text="" dxfId="26">
      <formula>AND($GU6&gt;0,HI$5&lt;=$GV6,IF(GanttPeriod&lt;28,HI$5+GanttPeriod,EDATE(HI$5,IF(GanttPeriod&gt;=90,3,1)))-1&gt;=$GU6)</formula>
    </cfRule>
    <cfRule type="expression" priority="31" aboveAverage="0" equalAverage="0" bottom="0" percent="0" rank="0" text="" dxfId="45">
      <formula>AND($GY6,ISNUMBER($AR6),HI$5&gt;$AR6,AND($GW6&gt;0,HI$5&lt;=$GX6,IF(GanttPeriod&lt;28,HI$5+GanttPeriod,EDATE(HI$5,IF(GanttPeriod&gt;=90,3,1)))-1&gt;=$GW6))</formula>
    </cfRule>
    <cfRule type="expression" priority="32" aboveAverage="0" equalAverage="0" bottom="0" percent="0" rank="0" text="" dxfId="27">
      <formula>AND($AP6="Yes",AND($GW6&gt;0,HI$5&lt;=$GX6,IF(GanttPeriod&lt;28,HI$5+GanttPeriod,EDATE(HI$5,IF(GanttPeriod&gt;=90,3,1)))-1&gt;=$GW6))</formula>
    </cfRule>
    <cfRule type="expression" priority="33" aboveAverage="0" equalAverage="0" bottom="0" percent="0" rank="0" text="" dxfId="46">
      <formula>AND($GW6&gt;0,HI$5&lt;=$GX6,IF(GanttPeriod&lt;28,HI$5+GanttPeriod,EDATE(HI$5,IF(GanttPeriod&gt;=90,3,1)))-1&gt;=$GW6)</formula>
    </cfRule>
    <cfRule type="expression" priority="34" aboveAverage="0" equalAverage="0" bottom="0" percent="0" rank="0" text="" dxfId="47">
      <formula>AND($GY6,ISNUMBER($AQ6),AND($AQ6&gt;0,HI$5&lt;=$AR6,IF(GanttPeriod&lt;28,HI$5+GanttPeriod,EDATE(HI$5,IF(GanttPeriod&gt;=90,3,1)))-1&gt;=$AQ6))</formula>
    </cfRule>
    <cfRule type="expression" priority="35" aboveAverage="0" equalAverage="0" bottom="0" percent="0" rank="0" text="" dxfId="48">
      <formula>AND(AND($GY6,ISNUMBER($AQ6),AND($AQ6&gt;0,HI$5&lt;=$AR6,IF(GanttPeriod&lt;28,HI$5+GanttPeriod,EDATE(HI$5,IF(GanttPeriod&gt;=90,3,1)))-1&gt;=$AQ6)),AND($AQ6&gt;0,$AQ6&gt;=HI$5,$AQ6&lt;IF(GanttPeriod&lt;28,HI$5+GanttPeriod,EDATE(HI$5,IF(GanttPeriod&gt;=90,3,1)))),AND($AR6&gt;0,$AR6&gt;=HI$5,$AR6&lt;IF(GanttPeriod&lt;28,HI$5+GanttPeriod,EDATE(HI$5,IF(GanttPeriod&gt;=90,3,1)))))</formula>
    </cfRule>
    <cfRule type="expression" priority="36" aboveAverage="0" equalAverage="0" bottom="0" percent="0" rank="0" text="" dxfId="49">
      <formula>AND(AND($GY6,ISNUMBER($AQ6),AND($AQ6&gt;0,HI$5&lt;=$AR6,IF(GanttPeriod&lt;28,HI$5+GanttPeriod,EDATE(HI$5,IF(GanttPeriod&gt;=90,3,1)))-1&gt;=$AQ6)),AND($AQ6&gt;0,$AQ6&gt;=HI$5,$AQ6&lt;IF(GanttPeriod&lt;28,HI$5+GanttPeriod,EDATE(HI$5,IF(GanttPeriod&gt;=90,3,1)))))</formula>
    </cfRule>
    <cfRule type="expression" priority="37" aboveAverage="0" equalAverage="0" bottom="0" percent="0" rank="0" text="" dxfId="50">
      <formula>AND(AND($GY6,ISNUMBER($AQ6),AND($AQ6&gt;0,HI$5&lt;=$AR6,IF(GanttPeriod&lt;28,HI$5+GanttPeriod,EDATE(HI$5,IF(GanttPeriod&gt;=90,3,1)))-1&gt;=$AQ6)),AND($AR6&gt;0,$AR6&gt;=HI$5,$AR6&lt;IF(GanttPeriod&lt;28,HI$5+GanttPeriod,EDATE(HI$5,IF(GanttPeriod&gt;=90,3,1)))))</formula>
    </cfRule>
    <cfRule type="expression" priority="38" aboveAverage="0" equalAverage="0" bottom="0" percent="0" rank="0" text="" dxfId="51">
      <formula>AND($GY6,ISNUMBER($AQ6),AND($AQ6&gt;0,HI$5&lt;=$AR6,IF(GanttPeriod&lt;28,HI$5+GanttPeriod,EDATE(HI$5,IF(GanttPeriod&gt;=90,3,1)))-1&gt;=$AQ6))</formula>
    </cfRule>
    <cfRule type="expression" priority="39" aboveAverage="0" equalAverage="0" bottom="0" percent="0" rank="0" text="" dxfId="30">
      <formula>AND(StatusDate&gt;0,StatusDate&gt;=HI$5,StatusDate&lt;IF(GanttPeriod&lt;28,HI$5+GanttPeriod,EDATE(HI$5,IF(GanttPeriod&gt;=90,3,1))))</formula>
    </cfRule>
    <cfRule type="expression" priority="40" aboveAverage="0" equalAverage="0" bottom="0" percent="0" rank="0" text="" dxfId="52">
      <formula>AND(GanttPeriod=1,NETWORKDAYS.INTL(HI$5,HI$5,WorkWeek,Holidays)=0)</formula>
    </cfRule>
  </conditionalFormatting>
  <conditionalFormatting sqref="HI5:NB5">
    <cfRule type="expression" priority="41" aboveAverage="0" equalAverage="0" bottom="0" percent="0" rank="0" text="" dxfId="31">
      <formula>AND(StatusDate&gt;0,StatusDate&gt;=HI$5,StatusDate&lt;IF(GanttPeriod&lt;28,HI$5+GanttPeriod,EDATE(HI$5,IF(GanttPeriod&gt;=90,3,1))))</formula>
    </cfRule>
    <cfRule type="expression" priority="42" aboveAverage="0" equalAverage="0" bottom="0" percent="0" rank="0" text="" dxfId="53">
      <formula>GanttPeriod&gt;=28</formula>
    </cfRule>
  </conditionalFormatting>
  <dataValidations count="43">
    <dataValidation allowBlank="false" error="A UID is a whole number used by no other task: type Settings &gt; NextFreeUID (also at the top of this sheet)." errorStyle="stop" errorTitle="UID" operator="between" prompt="Pre-filled and permanent: predecessors point at it. A new row: type the Next free UID shown at the top of this sheet. A duplicate is refused." promptTitle="UID" showDropDown="false" showErrorMessage="true" showInputMessage="true" sqref="B6:B205" type="custom">
      <formula1>AND(ISNUMBER(B6),B6&gt;=1,B6=INT(B6),COUNTIF(tsk_UID,B6)=1)</formula1>
      <formula2>0</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C6:C205" type="whole">
      <formula1>1</formula1>
      <formula2>9</formula2>
    </dataValidation>
    <dataValidation allowBlank="false" errorStyle="stop" operator="between" showDropDown="false" showErrorMessage="false" showInputMessage="false" sqref="AK6:AK205" type="list">
      <formula1>L_Mode</formula1>
      <formula2>0</formula2>
    </dataValidation>
    <dataValidation allowBlank="false" error="Working days: 3, 3d or 2w (a week = 5 days). 0 = a milestone." errorStyle="stop" errorTitle="Duration" operator="between" prompt="e.g. 5, 5d or 2w (a week = 5 days). 0 = a milestone. Summaries roll up: leave them blank." promptTitle="Duration (working days)" showDropDown="false" showErrorMessage="true" showInputMessage="true" sqref="E6:E205" type="custom">
      <formula1>OR(AND(ISNUMBER(E6),E6&gt;=0),IFERROR(AND(OR(LOWER(RIGHT(E6,1))="d",LOWER(RIGHT(E6,1))="w"),VALUE(LEFT(E6,LEN(E6)-1))&gt;=0),0))</formula1>
      <formula2>0</formula2>
    </dataValidation>
    <dataValidation allowBlank="false" error="Type a date on or after the project start (Start sheet)." errorStyle="stop" errorTitle="Date" operator="greaterThanOrEqual" showDropDown="false" showErrorMessage="true" showInputMessage="false" sqref="AM6:AM205" type="date">
      <formula1>ProjectStart</formula1>
      <formula2>0</formula2>
    </dataValidation>
    <dataValidation allowBlank="false" error="Type a date on or after the project start (Start sheet)." errorStyle="stop" errorTitle="Date" operator="greaterThanOrEqual" prompt="Optional: the date it must be done by. Issues and the Gantt flag a forecast after it." promptTitle="Deadline" showDropDown="false" showErrorMessage="true" showInputMessage="true" sqref="AJ6:AJ205" type="date">
      <formula1>ProjectStart</formula1>
      <formula2>0</formula2>
    </dataValidation>
    <dataValidation allowBlank="false" error="Type a date on or after the project start (Start sheet)." errorStyle="stop" errorTitle="Date" operator="greaterThanOrEqual" prompt="The day work really started. Leave blank until it starts." promptTitle="Actual Start" showDropDown="false" showErrorMessage="true" showInputMessage="true" sqref="AC6:AC205" type="date">
      <formula1>ProjectStart</formula1>
      <formula2>0</formula2>
    </dataValidation>
    <dataValidation allowBlank="false" error="Type a date on or after the project start (Start sheet)." errorStyle="stop" errorTitle="Date" operator="greaterThanOrEqual" prompt="The day it really finished: the task counts as 100% complete." promptTitle="Actual Finish" showDropDown="false" showErrorMessage="true" showInputMessage="true" sqref="AD6:AD205" type="date">
      <formula1>ProjectStart</formula1>
      <formula2>0</formula2>
    </dataValidation>
    <dataValidation allowBlank="false" errorStyle="stop" operator="between" showDropDown="false" showErrorMessage="false" showInputMessage="false" sqref="AL6:AL205" type="list">
      <formula1>L_Constraint</formula1>
      <formula2>0</formula2>
    </dataValidation>
    <dataValidation allowBlank="false" error="Enter 0% - 100%." errorStyle="stop" operator="between" prompt="Only to override the Stage's %: 0% - 100%. Blank = the Stage's %." promptTitle="% Complete (optional)" showDropDown="false" showErrorMessage="true" showInputMessage="true" sqref="AZ6:AZ205" type="decimal">
      <formula1>0</formula1>
      <formula2>1</formula2>
    </dataValidation>
    <dataValidation allowBlank="false" errorStyle="stop" operator="between" prompt="Pick where the task is. Its % Complete comes from Settings &gt; Stages. Enter Actual Start once it has started and Actual Finish at Complete." promptTitle="Stage" showDropDown="false" showErrorMessage="false" showInputMessage="true" sqref="AB6:AB205" type="list">
      <formula1>L_Stage</formula1>
      <formula2>0</formula2>
    </dataValidation>
    <dataValidation allowBlank="false" errorStyle="stop" operator="between" prompt="Used only while Res1-4 are blank: e.g. Alex Chen, JL[50%]. Pasted or imported plans land here." promptTitle="Resources (typed)" showDropDown="false" showErrorMessage="false" showInputMessage="true" sqref="AA6:AA205" type="list">
      <formula1>res_Name</formula1>
      <formula2>0</formula2>
    </dataValidation>
    <dataValidation allowBlank="false" errorStyle="stop" operator="greaterThanOrEqual" showDropDown="false" showErrorMessage="false" showInputMessage="false" sqref="BI6:BI205" type="decimal">
      <formula1>0</formula1>
      <formula2>0</formula2>
    </dataValidation>
    <dataValidation allowBlank="true" errorStyle="stop" operator="between" prompt="What the task is, e.g. Build login page. Leave the row blank to end the plan." promptTitle="Task name" showDropDown="false" showErrorMessage="false" showInputMessage="true" sqref="D6:D205" type="none">
      <formula1>0</formula1>
      <formula2>0</formula2>
    </dataValidation>
    <dataValidation allowBlank="true" errorStyle="stop" operator="between" prompt="Anything worth knowing: assumptions, links, who to ask." promptTitle="Notes" showDropDown="false" showErrorMessage="false" showInputMessage="true" sqref="AH6:AH205" type="none">
      <formula1>0</formula1>
      <formula2>0</formula2>
    </dataValidation>
    <dataValidation allowBlank="true" errorStyle="stop" operator="between" prompt="Used only while Pred1-4 are blank: e.g. 12, 14SS+2d (by UID). Pasted or imported plans land here." promptTitle="Predecessors (typed)" showDropDown="false" showErrorMessage="false" showInputMessage="true" sqref="R6:R205" type="none">
      <formula1>0</formula1>
      <formula2>0</formula2>
    </dataValidation>
    <dataValidation allowBlank="true" errorStyle="stop" operator="between" prompt="Optional: who answers for this phase. The Roadmap shows it on the phase's row." promptTitle="Owner (phases)" showDropDown="false" showErrorMessage="false" showInputMessage="true" sqref="BF6:BF205" type="none">
      <formula1>0</formula1>
      <formula2>0</formula2>
    </dataValidation>
    <dataValidation allowBlank="false" errorStyle="stop" operator="between" prompt="Pick the task that must come first (UID and name), or type its UID. It must be a detail task listed above this one." promptTitle="Predecessor 1" showDropDown="false" showErrorMessage="false" showInputMessage="true" sqref="F6:F205" type="list">
      <formula1>tsk_PickList</formula1>
      <formula2>0</formula2>
    </dataValidation>
    <dataValidation allowBlank="false" errorStyle="stop" operator="between" prompt="Pick the task that must come first (UID and name), or type its UID. It must be a detail task listed above this one." promptTitle="Predecessor 2" showDropDown="false" showErrorMessage="false" showInputMessage="true" sqref="I6:I205" type="list">
      <formula1>tsk_PickList</formula1>
      <formula2>0</formula2>
    </dataValidation>
    <dataValidation allowBlank="false" errorStyle="stop" operator="between" prompt="Pick the task that must come first (UID and name), or type its UID. It must be a detail task listed above this one." promptTitle="Predecessor 3" showDropDown="false" showErrorMessage="false" showInputMessage="true" sqref="L6:L205" type="list">
      <formula1>tsk_PickList</formula1>
      <formula2>0</formula2>
    </dataValidation>
    <dataValidation allowBlank="false" errorStyle="stop" operator="between" prompt="Pick the task that must come first (UID and name), or type its UID. It must be a detail task listed above this one." promptTitle="Predecessor 4" showDropDown="false" showErrorMessage="false" showInputMessage="true" sqref="O6:O205" type="list">
      <formula1>tsk_PickList</formula1>
      <formula2>0</formula2>
    </dataValidation>
    <dataValidation allowBlank="false" errorStyle="stop" operator="between" prompt="Blank or FS = after it finishes; SS = after it starts; FF = finish together; SF = finish after it starts." promptTitle="Link type 1" showDropDown="false" showErrorMessage="false" showInputMessage="true" sqref="G6:G205" type="list">
      <formula1>L_DepType</formula1>
      <formula2>0</formula2>
    </dataValidation>
    <dataValidation allowBlank="false" errorStyle="stop" operator="between" prompt="Blank or FS = after it finishes; SS = after it starts; FF = finish together; SF = finish after it starts." promptTitle="Link type 2" showDropDown="false" showErrorMessage="false" showInputMessage="true" sqref="J6:J205" type="list">
      <formula1>L_DepType</formula1>
      <formula2>0</formula2>
    </dataValidation>
    <dataValidation allowBlank="false" errorStyle="stop" operator="between" prompt="Blank or FS = after it finishes; SS = after it starts; FF = finish together; SF = finish after it starts." promptTitle="Link type 3" showDropDown="false" showErrorMessage="false" showInputMessage="true" sqref="M6:M205" type="list">
      <formula1>L_DepType</formula1>
      <formula2>0</formula2>
    </dataValidation>
    <dataValidation allowBlank="false" errorStyle="stop" operator="between" prompt="Blank or FS = after it finishes; SS = after it starts; FF = finish together; SF = finish after it starts." promptTitle="Link type 4" showDropDown="false" showErrorMessage="false" showInputMessage="true" sqref="P6:P205" type="list">
      <formula1>L_DepType</formula1>
      <formula2>0</formula2>
    </dataValidation>
    <dataValidation allowBlank="false" error="Lag in working days, e.g. 2 or -1." errorStyle="stop" operator="between" prompt="Optional: days to wait after the link, e.g. 2. Negative = a lead (overlap), e.g. -1." promptTitle="Lag 1 (working days)" showDropDown="false" showErrorMessage="true" showInputMessage="true" sqref="H6:H205" type="decimal">
      <formula1>-999</formula1>
      <formula2>999</formula2>
    </dataValidation>
    <dataValidation allowBlank="false" error="Lag in working days, e.g. 2 or -1." errorStyle="stop" operator="between" prompt="Optional: days to wait after the link, e.g. 2. Negative = a lead (overlap), e.g. -1." promptTitle="Lag 2 (working days)" showDropDown="false" showErrorMessage="true" showInputMessage="true" sqref="K6:K205" type="decimal">
      <formula1>-999</formula1>
      <formula2>999</formula2>
    </dataValidation>
    <dataValidation allowBlank="false" error="Lag in working days, e.g. 2 or -1." errorStyle="stop" operator="between" prompt="Optional: days to wait after the link, e.g. 2. Negative = a lead (overlap), e.g. -1." promptTitle="Lag 3 (working days)" showDropDown="false" showErrorMessage="true" showInputMessage="true" sqref="N6:N205" type="decimal">
      <formula1>-999</formula1>
      <formula2>999</formula2>
    </dataValidation>
    <dataValidation allowBlank="false" error="Lag in working days, e.g. 2 or -1." errorStyle="stop" operator="between" prompt="Optional: days to wait after the link, e.g. 2. Negative = a lead (overlap), e.g. -1." promptTitle="Lag 4 (working days)" showDropDown="false" showErrorMessage="true" showInputMessage="true" sqref="Q6:Q205" type="decimal">
      <formula1>-999</formula1>
      <formula2>999</formula2>
    </dataValidation>
    <dataValidation allowBlank="false" errorStyle="stop" operator="between" prompt="Pick a person from Resources (add people there first)." promptTitle="Resource 1" showDropDown="false" showErrorMessage="false" showInputMessage="true" sqref="S6:S205" type="list">
      <formula1>res_Name</formula1>
      <formula2>0</formula2>
    </dataValidation>
    <dataValidation allowBlank="false" errorStyle="stop" operator="between" prompt="Pick a person from Resources (add people there first)." promptTitle="Resource 2" showDropDown="false" showErrorMessage="false" showInputMessage="true" sqref="U6:U205" type="list">
      <formula1>res_Name</formula1>
      <formula2>0</formula2>
    </dataValidation>
    <dataValidation allowBlank="false" errorStyle="stop" operator="between" prompt="Pick a person from Resources (add people there first)." promptTitle="Resource 3" showDropDown="false" showErrorMessage="false" showInputMessage="true" sqref="W6:W205" type="list">
      <formula1>res_Name</formula1>
      <formula2>0</formula2>
    </dataValidation>
    <dataValidation allowBlank="false" errorStyle="stop" operator="between" prompt="Pick a person from Resources (add people there first)." promptTitle="Resource 4" showDropDown="false" showErrorMessage="false" showInputMessage="true" sqref="Y6:Y205" type="list">
      <formula1>res_Name</formula1>
      <formula2>0</formula2>
    </dataValidation>
    <dataValidation allowBlank="false" error="A share of their time: 0% - 100%." errorStyle="stop" operator="between" prompt="Optional: their share of time on this task, e.g. 50%. Blank = Settings &gt; DefaultUnits." promptTitle="Units 1" showDropDown="false" showErrorMessage="true" showInputMessage="true" sqref="T6:T205" type="decimal">
      <formula1>0</formula1>
      <formula2>1</formula2>
    </dataValidation>
    <dataValidation allowBlank="false" error="A share of their time: 0% - 100%." errorStyle="stop" operator="between" prompt="Optional: their share of time on this task, e.g. 50%. Blank = Settings &gt; DefaultUnits." promptTitle="Units 2" showDropDown="false" showErrorMessage="true" showInputMessage="true" sqref="V6:V205" type="decimal">
      <formula1>0</formula1>
      <formula2>1</formula2>
    </dataValidation>
    <dataValidation allowBlank="false" error="A share of their time: 0% - 100%." errorStyle="stop" operator="between" prompt="Optional: their share of time on this task, e.g. 50%. Blank = Settings &gt; DefaultUnits." promptTitle="Units 3" showDropDown="false" showErrorMessage="true" showInputMessage="true" sqref="X6:X205" type="decimal">
      <formula1>0</formula1>
      <formula2>1</formula2>
    </dataValidation>
    <dataValidation allowBlank="false" error="A share of their time: 0% - 100%." errorStyle="stop" operator="between" prompt="Optional: their share of time on this task, e.g. 50%. Blank = Settings &gt; DefaultUnits." promptTitle="Units 4" showDropDown="false" showErrorMessage="true" showInputMessage="true" sqref="Z6:Z205" type="decimal">
      <formula1>0</formula1>
      <formula2>1</formula2>
    </dataValidation>
    <dataValidation allowBlank="false" error="Working days, e.g. 4." errorStyle="stop" operator="greaterThanOrEqual" prompt="The fewest days it could take if all goes well. With Pessimistic it gives the Expected duration and the P50 / P80 finish on Status." promptTitle="Optimistic (working days)" showDropDown="false" showErrorMessage="true" showInputMessage="true" sqref="BY6:BY205" type="decimal">
      <formula1>0</formula1>
      <formula2>0</formula2>
    </dataValidation>
    <dataValidation allowBlank="false" error="Working days, e.g. 4." errorStyle="stop" operator="greaterThanOrEqual" prompt="The most days it could take if things go wrong (not a disaster)." promptTitle="Pessimistic (working days)" showDropDown="false" showErrorMessage="true" showInputMessage="true" sqref="BZ6:BZ205" type="decimal">
      <formula1>0</formula1>
      <formula2>0</formula2>
    </dataValidation>
    <dataValidation allowBlank="false" error="Working days: 3, 3d or 2w (a week = 5 days)." errorStyle="stop" errorTitle="Sandbox Duration" operator="between" prompt="Try another duration (3, 3d or 2w) without changing the plan: it is used only while Settings &gt; Sandbox = Yes." promptTitle="Sandbox Duration (what-if)" showDropDown="false" showErrorMessage="true" showInputMessage="true" sqref="CA6:CA205" type="custom">
      <formula1>OR(AND(ISNUMBER(CA6),CA6&gt;=0),IFERROR(AND(OR(LOWER(RIGHT(CA6,1))="d",LOWER(RIGHT(CA6,1))="w"),VALUE(LEFT(CA6,LEN(CA6)-1))&gt;=0),0))</formula1>
      <formula2>0</formula2>
    </dataValidation>
    <dataValidation allowBlank="false" errorStyle="stop" operator="between" prompt="The one person who answers for the task. Responsible = its Resources." promptTitle="Accountable (RACI)" showDropDown="false" showErrorMessage="false" showInputMessage="true" sqref="BU6:BU205" type="list">
      <formula1>res_Name</formula1>
      <formula2>0</formula2>
    </dataValidation>
    <dataValidation allowBlank="true" errorStyle="stop" operator="between" prompt="People whose input is needed, comma-separated." promptTitle="Consulted (RACI)" showDropDown="false" showErrorMessage="false" showInputMessage="true" sqref="BV6:BV205" type="none">
      <formula1>0</formula1>
      <formula2>0</formula2>
    </dataValidation>
    <dataValidation allowBlank="true" errorStyle="stop" operator="between" prompt="People kept up to date, comma-separated." promptTitle="Informed (RACI)" showDropDown="false" showErrorMessage="false" showInputMessage="true" sqref="BW6:BW205" type="none">
      <formula1>0</formula1>
      <formula2>0</formula2>
    </dataValidation>
  </dataValidations>
  <hyperlinks>
    <hyperlink ref="AA3" location="Tasks!HI5" display="Gantt timeline &gt;&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BA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16" min="4" style="0" width="3.61"/>
    <col collapsed="false" customWidth="true" hidden="true" outlineLevel="0" max="17" min="17" style="0" width="3.61"/>
    <col collapsed="false" customWidth="true" hidden="false" outlineLevel="0" max="34" min="18" style="0" width="3.61"/>
    <col collapsed="false" customWidth="true" hidden="false" outlineLevel="0" max="35" min="35" style="0" width="26"/>
    <col collapsed="false" customWidth="true" hidden="true" outlineLevel="0" max="36" min="36" style="0" width="6"/>
    <col collapsed="false" customWidth="true" hidden="false" outlineLevel="0" max="53" min="37" style="0" width="11"/>
  </cols>
  <sheetData>
    <row r="1" customFormat="false" ht="19.7" hidden="false" customHeight="false" outlineLevel="0" collapsed="false">
      <c r="A1" s="14" t="s">
        <v>665</v>
      </c>
    </row>
    <row r="2" customFormat="false" ht="15" hidden="false" customHeight="false" outlineLevel="0" collapsed="false">
      <c r="A2" s="2" t="s">
        <v>666</v>
      </c>
    </row>
    <row r="5" customFormat="false" ht="169.4" hidden="false" customHeight="false" outlineLevel="0" collapsed="false">
      <c r="B5" s="18" t="s">
        <v>667</v>
      </c>
      <c r="C5" s="18" t="s">
        <v>668</v>
      </c>
      <c r="D5" s="18" t="s">
        <v>669</v>
      </c>
      <c r="E5" s="18" t="s">
        <v>670</v>
      </c>
      <c r="F5" s="18" t="s">
        <v>671</v>
      </c>
      <c r="G5" s="18" t="s">
        <v>183</v>
      </c>
      <c r="H5" s="18" t="s">
        <v>672</v>
      </c>
      <c r="I5" s="18" t="s">
        <v>673</v>
      </c>
      <c r="J5" s="18" t="s">
        <v>674</v>
      </c>
      <c r="K5" s="17" t="s">
        <v>149</v>
      </c>
      <c r="L5" s="17" t="s">
        <v>251</v>
      </c>
      <c r="M5" s="18" t="s">
        <v>187</v>
      </c>
      <c r="N5" s="17" t="s">
        <v>675</v>
      </c>
      <c r="O5" s="17" t="s">
        <v>676</v>
      </c>
      <c r="P5" s="17" t="s">
        <v>677</v>
      </c>
      <c r="Q5" s="42" t="s">
        <v>678</v>
      </c>
      <c r="R5" s="18" t="s">
        <v>679</v>
      </c>
      <c r="S5" s="18" t="s">
        <v>680</v>
      </c>
      <c r="T5" s="18" t="s">
        <v>681</v>
      </c>
      <c r="U5" s="18" t="s">
        <v>682</v>
      </c>
      <c r="V5" s="18" t="s">
        <v>683</v>
      </c>
      <c r="W5" s="18" t="s">
        <v>684</v>
      </c>
      <c r="X5" s="18" t="s">
        <v>685</v>
      </c>
      <c r="Y5" s="18" t="s">
        <v>686</v>
      </c>
      <c r="Z5" s="18" t="s">
        <v>687</v>
      </c>
      <c r="AA5" s="18" t="s">
        <v>688</v>
      </c>
      <c r="AB5" s="18" t="s">
        <v>689</v>
      </c>
      <c r="AC5" s="18" t="s">
        <v>690</v>
      </c>
      <c r="AD5" s="18" t="s">
        <v>691</v>
      </c>
      <c r="AE5" s="18" t="s">
        <v>692</v>
      </c>
      <c r="AF5" s="18" t="s">
        <v>693</v>
      </c>
      <c r="AG5" s="18" t="s">
        <v>694</v>
      </c>
      <c r="AH5" s="18" t="s">
        <v>695</v>
      </c>
      <c r="AI5" s="18" t="s">
        <v>696</v>
      </c>
      <c r="AJ5" s="18" t="s">
        <v>697</v>
      </c>
      <c r="AK5" s="18" t="s">
        <v>698</v>
      </c>
      <c r="AL5" s="18" t="s">
        <v>699</v>
      </c>
      <c r="AM5" s="18" t="s">
        <v>700</v>
      </c>
      <c r="AN5" s="18" t="s">
        <v>701</v>
      </c>
      <c r="AO5" s="18" t="s">
        <v>702</v>
      </c>
      <c r="AP5" s="18" t="s">
        <v>703</v>
      </c>
      <c r="AQ5" s="18" t="s">
        <v>704</v>
      </c>
      <c r="AR5" s="18" t="s">
        <v>705</v>
      </c>
      <c r="AS5" s="18" t="s">
        <v>706</v>
      </c>
      <c r="AT5" s="18" t="s">
        <v>707</v>
      </c>
      <c r="AU5" s="18" t="s">
        <v>708</v>
      </c>
      <c r="AV5" s="18" t="s">
        <v>709</v>
      </c>
      <c r="AW5" s="18" t="s">
        <v>710</v>
      </c>
      <c r="AX5" s="18" t="s">
        <v>711</v>
      </c>
      <c r="AY5" s="18" t="s">
        <v>712</v>
      </c>
      <c r="AZ5" s="18" t="s">
        <v>713</v>
      </c>
      <c r="BA5" s="18" t="s">
        <v>714</v>
      </c>
    </row>
    <row r="6" customFormat="false" ht="15" hidden="false" customHeight="false" outlineLevel="0" collapsed="false">
      <c r="B6" s="23" t="s">
        <v>6</v>
      </c>
      <c r="C6" s="23" t="s">
        <v>715</v>
      </c>
      <c r="D6" s="23" t="s">
        <v>716</v>
      </c>
      <c r="E6" s="23" t="s">
        <v>251</v>
      </c>
      <c r="F6" s="65" t="n">
        <v>0.5</v>
      </c>
      <c r="G6" s="7"/>
      <c r="H6" s="7"/>
      <c r="I6" s="65" t="n">
        <v>0</v>
      </c>
      <c r="J6" s="23" t="s">
        <v>717</v>
      </c>
      <c r="K6"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6"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32</v>
      </c>
      <c r="M6" s="23"/>
      <c r="N6"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2</v>
      </c>
      <c r="O6"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6"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6" s="94" t="n">
        <f aca="false">IF(ResourceTable[[#This Row],[Focus %]]="",FocusFactor,N(ResourceTable[[#This Row],[Focus %]]))</f>
        <v>0</v>
      </c>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c r="AW6" s="23"/>
      <c r="AX6" s="23"/>
      <c r="AY6" s="23"/>
      <c r="AZ6" s="23"/>
      <c r="BA6" s="23"/>
    </row>
    <row r="7" customFormat="false" ht="15" hidden="false" customHeight="false" outlineLevel="0" collapsed="false">
      <c r="B7" s="23" t="s">
        <v>643</v>
      </c>
      <c r="C7" s="23" t="s">
        <v>718</v>
      </c>
      <c r="D7" s="23" t="s">
        <v>719</v>
      </c>
      <c r="E7" s="23" t="s">
        <v>251</v>
      </c>
      <c r="F7" s="65" t="n">
        <v>1</v>
      </c>
      <c r="G7" s="7"/>
      <c r="H7" s="7"/>
      <c r="I7" s="65"/>
      <c r="J7" s="23" t="s">
        <v>720</v>
      </c>
      <c r="K7"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7"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80</v>
      </c>
      <c r="M7" s="23"/>
      <c r="N7"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7"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7"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1</v>
      </c>
      <c r="Q7" s="94" t="n">
        <f aca="false">IF(ResourceTable[[#This Row],[Focus %]]="",FocusFactor,N(ResourceTable[[#This Row],[Focus %]]))</f>
        <v>0.8</v>
      </c>
      <c r="R7" s="23"/>
      <c r="S7" s="23"/>
      <c r="T7" s="23"/>
      <c r="U7" s="23"/>
      <c r="V7" s="23"/>
      <c r="W7" s="23"/>
      <c r="X7" s="23"/>
      <c r="Y7" s="23"/>
      <c r="Z7" s="23"/>
      <c r="AA7" s="23"/>
      <c r="AB7" s="23"/>
      <c r="AC7" s="23" t="s">
        <v>721</v>
      </c>
      <c r="AD7" s="23"/>
      <c r="AE7" s="23"/>
      <c r="AF7" s="23"/>
      <c r="AG7" s="23"/>
      <c r="AH7" s="23"/>
      <c r="AI7" s="23"/>
      <c r="AJ7" s="23"/>
      <c r="AK7" s="23"/>
      <c r="AL7" s="23"/>
      <c r="AM7" s="23"/>
      <c r="AN7" s="23"/>
      <c r="AO7" s="23"/>
      <c r="AP7" s="23"/>
      <c r="AQ7" s="23"/>
      <c r="AR7" s="23"/>
      <c r="AS7" s="23"/>
      <c r="AT7" s="23"/>
      <c r="AU7" s="23"/>
      <c r="AV7" s="23"/>
      <c r="AW7" s="23"/>
      <c r="AX7" s="23"/>
      <c r="AY7" s="23"/>
      <c r="AZ7" s="23"/>
      <c r="BA7" s="23"/>
    </row>
    <row r="8" customFormat="false" ht="15" hidden="false" customHeight="false" outlineLevel="0" collapsed="false">
      <c r="B8" s="23" t="s">
        <v>722</v>
      </c>
      <c r="C8" s="23" t="s">
        <v>723</v>
      </c>
      <c r="D8" s="23" t="s">
        <v>724</v>
      </c>
      <c r="E8" s="23" t="s">
        <v>251</v>
      </c>
      <c r="F8" s="65" t="n">
        <v>0.5</v>
      </c>
      <c r="G8" s="7"/>
      <c r="H8" s="7"/>
      <c r="I8" s="65" t="n">
        <v>0</v>
      </c>
      <c r="J8" s="23" t="s">
        <v>725</v>
      </c>
      <c r="K8"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8"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8" s="23"/>
      <c r="N8"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8"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8"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8" s="94" t="n">
        <f aca="false">IF(ResourceTable[[#This Row],[Focus %]]="",FocusFactor,N(ResourceTable[[#This Row],[Focus %]]))</f>
        <v>0</v>
      </c>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row>
    <row r="9" customFormat="false" ht="15" hidden="false" customHeight="false" outlineLevel="0" collapsed="false">
      <c r="B9" s="23" t="s">
        <v>651</v>
      </c>
      <c r="C9" s="23" t="s">
        <v>726</v>
      </c>
      <c r="D9" s="23" t="s">
        <v>727</v>
      </c>
      <c r="E9" s="23" t="s">
        <v>251</v>
      </c>
      <c r="F9" s="65" t="n">
        <v>1</v>
      </c>
      <c r="G9" s="7"/>
      <c r="H9" s="7"/>
      <c r="I9" s="65"/>
      <c r="J9" s="23" t="s">
        <v>728</v>
      </c>
      <c r="K9"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9"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48</v>
      </c>
      <c r="M9" s="23"/>
      <c r="N9"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9"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9"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9" s="94" t="n">
        <f aca="false">IF(ResourceTable[[#This Row],[Focus %]]="",FocusFactor,N(ResourceTable[[#This Row],[Focus %]]))</f>
        <v>0.8</v>
      </c>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row>
    <row r="10" customFormat="false" ht="15" hidden="false" customHeight="false" outlineLevel="0" collapsed="false">
      <c r="B10" s="23" t="s">
        <v>729</v>
      </c>
      <c r="C10" s="23" t="s">
        <v>730</v>
      </c>
      <c r="D10" s="23" t="s">
        <v>731</v>
      </c>
      <c r="E10" s="23" t="s">
        <v>251</v>
      </c>
      <c r="F10" s="65" t="n">
        <v>1</v>
      </c>
      <c r="G10" s="7"/>
      <c r="H10" s="7"/>
      <c r="I10" s="65"/>
      <c r="J10" s="23" t="s">
        <v>732</v>
      </c>
      <c r="K10"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10"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10" s="23"/>
      <c r="N10"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10"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10"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0" s="94" t="n">
        <f aca="false">IF(ResourceTable[[#This Row],[Focus %]]="",FocusFactor,N(ResourceTable[[#This Row],[Focus %]]))</f>
        <v>0.8</v>
      </c>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row>
    <row r="11" customFormat="false" ht="15" hidden="false" customHeight="false" outlineLevel="0" collapsed="false">
      <c r="B11" s="23" t="s">
        <v>657</v>
      </c>
      <c r="C11" s="23" t="s">
        <v>733</v>
      </c>
      <c r="D11" s="23" t="s">
        <v>734</v>
      </c>
      <c r="E11" s="23" t="s">
        <v>251</v>
      </c>
      <c r="F11" s="65" t="n">
        <v>1</v>
      </c>
      <c r="G11" s="7"/>
      <c r="H11" s="7"/>
      <c r="I11" s="65"/>
      <c r="J11" s="23" t="s">
        <v>735</v>
      </c>
      <c r="K11"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1"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60</v>
      </c>
      <c r="M11" s="23"/>
      <c r="N11"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11"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11"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1" s="94" t="n">
        <f aca="false">IF(ResourceTable[[#This Row],[Focus %]]="",FocusFactor,N(ResourceTable[[#This Row],[Focus %]]))</f>
        <v>0.8</v>
      </c>
      <c r="R11" s="23"/>
      <c r="S11" s="23"/>
      <c r="T11" s="23"/>
      <c r="U11" s="23"/>
      <c r="V11" s="23"/>
      <c r="W11" s="23"/>
      <c r="X11" s="23"/>
      <c r="Y11" s="23"/>
      <c r="Z11" s="23"/>
      <c r="AA11" s="23"/>
      <c r="AB11" s="23" t="s">
        <v>736</v>
      </c>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row>
    <row r="12" customFormat="false" ht="15" hidden="false" customHeight="false" outlineLevel="0" collapsed="false">
      <c r="B12" s="23" t="s">
        <v>655</v>
      </c>
      <c r="C12" s="23" t="s">
        <v>737</v>
      </c>
      <c r="D12" s="23" t="s">
        <v>738</v>
      </c>
      <c r="E12" s="23" t="s">
        <v>251</v>
      </c>
      <c r="F12" s="65" t="n">
        <v>1</v>
      </c>
      <c r="G12" s="7"/>
      <c r="H12" s="7"/>
      <c r="I12" s="65"/>
      <c r="J12" s="23" t="s">
        <v>739</v>
      </c>
      <c r="K12"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2"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120</v>
      </c>
      <c r="M12" s="23"/>
      <c r="N12"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1</v>
      </c>
      <c r="O12"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12"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2" s="94" t="n">
        <f aca="false">IF(ResourceTable[[#This Row],[Focus %]]="",FocusFactor,N(ResourceTable[[#This Row],[Focus %]]))</f>
        <v>0.8</v>
      </c>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row>
    <row r="13" customFormat="false" ht="15" hidden="false" customHeight="false" outlineLevel="0" collapsed="false">
      <c r="B13" s="23"/>
      <c r="C13" s="23"/>
      <c r="D13" s="23"/>
      <c r="E13" s="23"/>
      <c r="F13" s="65"/>
      <c r="G13" s="7"/>
      <c r="H13" s="7"/>
      <c r="I13" s="65"/>
      <c r="J13" s="23"/>
      <c r="K1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3"/>
      <c r="N1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3" s="94" t="n">
        <f aca="false">IF(ResourceTable[[#This Row],[Focus %]]="",FocusFactor,N(ResourceTable[[#This Row],[Focus %]]))</f>
        <v>0.8</v>
      </c>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row>
    <row r="14" customFormat="false" ht="15" hidden="false" customHeight="false" outlineLevel="0" collapsed="false">
      <c r="B14" s="23"/>
      <c r="C14" s="23"/>
      <c r="D14" s="23"/>
      <c r="E14" s="23"/>
      <c r="F14" s="65"/>
      <c r="G14" s="7"/>
      <c r="H14" s="7"/>
      <c r="I14" s="65"/>
      <c r="J14" s="23"/>
      <c r="K1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3"/>
      <c r="N1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4" s="94" t="n">
        <f aca="false">IF(ResourceTable[[#This Row],[Focus %]]="",FocusFactor,N(ResourceTable[[#This Row],[Focus %]]))</f>
        <v>0.8</v>
      </c>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row>
    <row r="15" customFormat="false" ht="15" hidden="false" customHeight="false" outlineLevel="0" collapsed="false">
      <c r="B15" s="23"/>
      <c r="C15" s="23"/>
      <c r="D15" s="23"/>
      <c r="E15" s="23"/>
      <c r="F15" s="65"/>
      <c r="G15" s="7"/>
      <c r="H15" s="7"/>
      <c r="I15" s="65"/>
      <c r="J15" s="23"/>
      <c r="K1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3"/>
      <c r="N1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5" s="94" t="n">
        <f aca="false">IF(ResourceTable[[#This Row],[Focus %]]="",FocusFactor,N(ResourceTable[[#This Row],[Focus %]]))</f>
        <v>0.8</v>
      </c>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c r="AY15" s="23"/>
      <c r="AZ15" s="23"/>
      <c r="BA15" s="23"/>
    </row>
    <row r="16" customFormat="false" ht="15" hidden="false" customHeight="false" outlineLevel="0" collapsed="false">
      <c r="B16" s="23"/>
      <c r="C16" s="23"/>
      <c r="D16" s="23"/>
      <c r="E16" s="23"/>
      <c r="F16" s="65"/>
      <c r="G16" s="7"/>
      <c r="H16" s="7"/>
      <c r="I16" s="65"/>
      <c r="J16" s="23"/>
      <c r="K1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3"/>
      <c r="N1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6" s="94" t="n">
        <f aca="false">IF(ResourceTable[[#This Row],[Focus %]]="",FocusFactor,N(ResourceTable[[#This Row],[Focus %]]))</f>
        <v>0.8</v>
      </c>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c r="AY16" s="23"/>
      <c r="AZ16" s="23"/>
      <c r="BA16" s="23"/>
    </row>
    <row r="17" customFormat="false" ht="15" hidden="false" customHeight="false" outlineLevel="0" collapsed="false">
      <c r="B17" s="23"/>
      <c r="C17" s="23"/>
      <c r="D17" s="23"/>
      <c r="E17" s="23"/>
      <c r="F17" s="65"/>
      <c r="G17" s="7"/>
      <c r="H17" s="7"/>
      <c r="I17" s="65"/>
      <c r="J17" s="23"/>
      <c r="K1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3"/>
      <c r="N1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7" s="94" t="n">
        <f aca="false">IF(ResourceTable[[#This Row],[Focus %]]="",FocusFactor,N(ResourceTable[[#This Row],[Focus %]]))</f>
        <v>0.8</v>
      </c>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row>
    <row r="18" customFormat="false" ht="15" hidden="false" customHeight="false" outlineLevel="0" collapsed="false">
      <c r="B18" s="23"/>
      <c r="C18" s="23"/>
      <c r="D18" s="23"/>
      <c r="E18" s="23"/>
      <c r="F18" s="65"/>
      <c r="G18" s="7"/>
      <c r="H18" s="7"/>
      <c r="I18" s="65"/>
      <c r="J18" s="23"/>
      <c r="K1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3"/>
      <c r="N1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8" s="94" t="n">
        <f aca="false">IF(ResourceTable[[#This Row],[Focus %]]="",FocusFactor,N(ResourceTable[[#This Row],[Focus %]]))</f>
        <v>0.8</v>
      </c>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row>
    <row r="19" customFormat="false" ht="15" hidden="false" customHeight="false" outlineLevel="0" collapsed="false">
      <c r="B19" s="23"/>
      <c r="C19" s="23"/>
      <c r="D19" s="23"/>
      <c r="E19" s="23"/>
      <c r="F19" s="65"/>
      <c r="G19" s="7"/>
      <c r="H19" s="7"/>
      <c r="I19" s="65"/>
      <c r="J19" s="23"/>
      <c r="K1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3"/>
      <c r="N1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9" s="94" t="n">
        <f aca="false">IF(ResourceTable[[#This Row],[Focus %]]="",FocusFactor,N(ResourceTable[[#This Row],[Focus %]]))</f>
        <v>0.8</v>
      </c>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row>
    <row r="20" customFormat="false" ht="15" hidden="false" customHeight="false" outlineLevel="0" collapsed="false">
      <c r="B20" s="23"/>
      <c r="C20" s="23"/>
      <c r="D20" s="23"/>
      <c r="E20" s="23"/>
      <c r="F20" s="65"/>
      <c r="G20" s="7"/>
      <c r="H20" s="7"/>
      <c r="I20" s="65"/>
      <c r="J20" s="23"/>
      <c r="K2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3"/>
      <c r="N2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0" s="94" t="n">
        <f aca="false">IF(ResourceTable[[#This Row],[Focus %]]="",FocusFactor,N(ResourceTable[[#This Row],[Focus %]]))</f>
        <v>0.8</v>
      </c>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c r="AY20" s="23"/>
      <c r="AZ20" s="23"/>
      <c r="BA20" s="23"/>
    </row>
    <row r="21" customFormat="false" ht="15" hidden="false" customHeight="false" outlineLevel="0" collapsed="false">
      <c r="B21" s="23"/>
      <c r="C21" s="23"/>
      <c r="D21" s="23"/>
      <c r="E21" s="23"/>
      <c r="F21" s="65"/>
      <c r="G21" s="7"/>
      <c r="H21" s="7"/>
      <c r="I21" s="65"/>
      <c r="J21" s="23"/>
      <c r="K2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3"/>
      <c r="N2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1" s="94" t="n">
        <f aca="false">IF(ResourceTable[[#This Row],[Focus %]]="",FocusFactor,N(ResourceTable[[#This Row],[Focus %]]))</f>
        <v>0.8</v>
      </c>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23"/>
      <c r="AZ21" s="23"/>
      <c r="BA21" s="23"/>
    </row>
    <row r="22" customFormat="false" ht="15" hidden="false" customHeight="false" outlineLevel="0" collapsed="false">
      <c r="B22" s="23"/>
      <c r="C22" s="23"/>
      <c r="D22" s="23"/>
      <c r="E22" s="23"/>
      <c r="F22" s="65"/>
      <c r="G22" s="7"/>
      <c r="H22" s="7"/>
      <c r="I22" s="65"/>
      <c r="J22" s="23"/>
      <c r="K2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3"/>
      <c r="N2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2" s="94" t="n">
        <f aca="false">IF(ResourceTable[[#This Row],[Focus %]]="",FocusFactor,N(ResourceTable[[#This Row],[Focus %]]))</f>
        <v>0.8</v>
      </c>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c r="BA22" s="23"/>
    </row>
    <row r="23" customFormat="false" ht="15" hidden="false" customHeight="false" outlineLevel="0" collapsed="false">
      <c r="B23" s="23"/>
      <c r="C23" s="23"/>
      <c r="D23" s="23"/>
      <c r="E23" s="23"/>
      <c r="F23" s="65"/>
      <c r="G23" s="7"/>
      <c r="H23" s="7"/>
      <c r="I23" s="65"/>
      <c r="J23" s="23"/>
      <c r="K2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3"/>
      <c r="N2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3" s="94" t="n">
        <f aca="false">IF(ResourceTable[[#This Row],[Focus %]]="",FocusFactor,N(ResourceTable[[#This Row],[Focus %]]))</f>
        <v>0.8</v>
      </c>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c r="BA23" s="23"/>
    </row>
    <row r="24" customFormat="false" ht="15" hidden="false" customHeight="false" outlineLevel="0" collapsed="false">
      <c r="B24" s="23"/>
      <c r="C24" s="23"/>
      <c r="D24" s="23"/>
      <c r="E24" s="23"/>
      <c r="F24" s="65"/>
      <c r="G24" s="7"/>
      <c r="H24" s="7"/>
      <c r="I24" s="65"/>
      <c r="J24" s="23"/>
      <c r="K2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3"/>
      <c r="N2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4" s="94" t="n">
        <f aca="false">IF(ResourceTable[[#This Row],[Focus %]]="",FocusFactor,N(ResourceTable[[#This Row],[Focus %]]))</f>
        <v>0.8</v>
      </c>
      <c r="R24" s="23"/>
      <c r="S24" s="23"/>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c r="AY24" s="23"/>
      <c r="AZ24" s="23"/>
      <c r="BA24" s="23"/>
    </row>
    <row r="25" customFormat="false" ht="15" hidden="false" customHeight="false" outlineLevel="0" collapsed="false">
      <c r="B25" s="23"/>
      <c r="C25" s="23"/>
      <c r="D25" s="23"/>
      <c r="E25" s="23"/>
      <c r="F25" s="65"/>
      <c r="G25" s="7"/>
      <c r="H25" s="7"/>
      <c r="I25" s="65"/>
      <c r="J25" s="23"/>
      <c r="K2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3"/>
      <c r="N2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5" s="94" t="n">
        <f aca="false">IF(ResourceTable[[#This Row],[Focus %]]="",FocusFactor,N(ResourceTable[[#This Row],[Focus %]]))</f>
        <v>0.8</v>
      </c>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row>
    <row r="26" customFormat="false" ht="15" hidden="false" customHeight="false" outlineLevel="0" collapsed="false">
      <c r="B26" s="23"/>
      <c r="C26" s="23"/>
      <c r="D26" s="23"/>
      <c r="E26" s="23"/>
      <c r="F26" s="65"/>
      <c r="G26" s="7"/>
      <c r="H26" s="7"/>
      <c r="I26" s="65"/>
      <c r="J26" s="23"/>
      <c r="K2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3"/>
      <c r="N2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6" s="94" t="n">
        <f aca="false">IF(ResourceTable[[#This Row],[Focus %]]="",FocusFactor,N(ResourceTable[[#This Row],[Focus %]]))</f>
        <v>0.8</v>
      </c>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row>
    <row r="27" customFormat="false" ht="15" hidden="false" customHeight="false" outlineLevel="0" collapsed="false">
      <c r="B27" s="23"/>
      <c r="C27" s="23"/>
      <c r="D27" s="23"/>
      <c r="E27" s="23"/>
      <c r="F27" s="65"/>
      <c r="G27" s="7"/>
      <c r="H27" s="7"/>
      <c r="I27" s="65"/>
      <c r="J27" s="23"/>
      <c r="K2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3"/>
      <c r="N2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7" s="94" t="n">
        <f aca="false">IF(ResourceTable[[#This Row],[Focus %]]="",FocusFactor,N(ResourceTable[[#This Row],[Focus %]]))</f>
        <v>0.8</v>
      </c>
      <c r="R27" s="23"/>
      <c r="S27" s="23"/>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c r="AY27" s="23"/>
      <c r="AZ27" s="23"/>
      <c r="BA27" s="23"/>
    </row>
    <row r="28" customFormat="false" ht="15" hidden="false" customHeight="false" outlineLevel="0" collapsed="false">
      <c r="B28" s="23"/>
      <c r="C28" s="23"/>
      <c r="D28" s="23"/>
      <c r="E28" s="23"/>
      <c r="F28" s="65"/>
      <c r="G28" s="7"/>
      <c r="H28" s="7"/>
      <c r="I28" s="65"/>
      <c r="J28" s="23"/>
      <c r="K2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3"/>
      <c r="N2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8" s="94" t="n">
        <f aca="false">IF(ResourceTable[[#This Row],[Focus %]]="",FocusFactor,N(ResourceTable[[#This Row],[Focus %]]))</f>
        <v>0.8</v>
      </c>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c r="AY28" s="23"/>
      <c r="AZ28" s="23"/>
      <c r="BA28" s="23"/>
    </row>
    <row r="29" customFormat="false" ht="15" hidden="false" customHeight="false" outlineLevel="0" collapsed="false">
      <c r="B29" s="23"/>
      <c r="C29" s="23"/>
      <c r="D29" s="23"/>
      <c r="E29" s="23"/>
      <c r="F29" s="65"/>
      <c r="G29" s="7"/>
      <c r="H29" s="7"/>
      <c r="I29" s="65"/>
      <c r="J29" s="23"/>
      <c r="K2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3"/>
      <c r="N2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9" s="94" t="n">
        <f aca="false">IF(ResourceTable[[#This Row],[Focus %]]="",FocusFactor,N(ResourceTable[[#This Row],[Focus %]]))</f>
        <v>0.8</v>
      </c>
      <c r="R29" s="23"/>
      <c r="S29" s="23"/>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c r="AY29" s="23"/>
      <c r="AZ29" s="23"/>
      <c r="BA29" s="23"/>
    </row>
    <row r="30" customFormat="false" ht="15" hidden="false" customHeight="false" outlineLevel="0" collapsed="false">
      <c r="B30" s="23"/>
      <c r="C30" s="23"/>
      <c r="D30" s="23"/>
      <c r="E30" s="23"/>
      <c r="F30" s="65"/>
      <c r="G30" s="7"/>
      <c r="H30" s="7"/>
      <c r="I30" s="65"/>
      <c r="J30" s="23"/>
      <c r="K3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3"/>
      <c r="N3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0" s="94" t="n">
        <f aca="false">IF(ResourceTable[[#This Row],[Focus %]]="",FocusFactor,N(ResourceTable[[#This Row],[Focus %]]))</f>
        <v>0.8</v>
      </c>
      <c r="R30" s="23"/>
      <c r="S30" s="23"/>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c r="AY30" s="23"/>
      <c r="AZ30" s="23"/>
      <c r="BA30" s="23"/>
    </row>
    <row r="31" customFormat="false" ht="15" hidden="false" customHeight="false" outlineLevel="0" collapsed="false">
      <c r="B31" s="23"/>
      <c r="C31" s="23"/>
      <c r="D31" s="23"/>
      <c r="E31" s="23"/>
      <c r="F31" s="65"/>
      <c r="G31" s="7"/>
      <c r="H31" s="7"/>
      <c r="I31" s="65"/>
      <c r="J31" s="23"/>
      <c r="K3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3"/>
      <c r="N3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1" s="94" t="n">
        <f aca="false">IF(ResourceTable[[#This Row],[Focus %]]="",FocusFactor,N(ResourceTable[[#This Row],[Focus %]]))</f>
        <v>0.8</v>
      </c>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row>
    <row r="32" customFormat="false" ht="15" hidden="false" customHeight="false" outlineLevel="0" collapsed="false">
      <c r="B32" s="23"/>
      <c r="C32" s="23"/>
      <c r="D32" s="23"/>
      <c r="E32" s="23"/>
      <c r="F32" s="65"/>
      <c r="G32" s="7"/>
      <c r="H32" s="7"/>
      <c r="I32" s="65"/>
      <c r="J32" s="23"/>
      <c r="K3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3"/>
      <c r="N3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2" s="94" t="n">
        <f aca="false">IF(ResourceTable[[#This Row],[Focus %]]="",FocusFactor,N(ResourceTable[[#This Row],[Focus %]]))</f>
        <v>0.8</v>
      </c>
      <c r="R32" s="23"/>
      <c r="S32" s="23"/>
      <c r="T32" s="23"/>
      <c r="U32" s="23"/>
      <c r="V32" s="23"/>
      <c r="W32" s="2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c r="AY32" s="23"/>
      <c r="AZ32" s="23"/>
      <c r="BA32" s="23"/>
    </row>
    <row r="33" customFormat="false" ht="15" hidden="false" customHeight="false" outlineLevel="0" collapsed="false">
      <c r="B33" s="23"/>
      <c r="C33" s="23"/>
      <c r="D33" s="23"/>
      <c r="E33" s="23"/>
      <c r="F33" s="65"/>
      <c r="G33" s="7"/>
      <c r="H33" s="7"/>
      <c r="I33" s="65"/>
      <c r="J33" s="23"/>
      <c r="K3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3"/>
      <c r="N3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3" s="94" t="n">
        <f aca="false">IF(ResourceTable[[#This Row],[Focus %]]="",FocusFactor,N(ResourceTable[[#This Row],[Focus %]]))</f>
        <v>0.8</v>
      </c>
      <c r="R33" s="23"/>
      <c r="S33" s="23"/>
      <c r="T33" s="23"/>
      <c r="U33" s="23"/>
      <c r="V33" s="23"/>
      <c r="W33" s="2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c r="AY33" s="23"/>
      <c r="AZ33" s="23"/>
      <c r="BA33" s="23"/>
    </row>
    <row r="34" customFormat="false" ht="15" hidden="false" customHeight="false" outlineLevel="0" collapsed="false">
      <c r="B34" s="23"/>
      <c r="C34" s="23"/>
      <c r="D34" s="23"/>
      <c r="E34" s="23"/>
      <c r="F34" s="65"/>
      <c r="G34" s="7"/>
      <c r="H34" s="7"/>
      <c r="I34" s="65"/>
      <c r="J34" s="23"/>
      <c r="K3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3"/>
      <c r="N3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4" s="94" t="n">
        <f aca="false">IF(ResourceTable[[#This Row],[Focus %]]="",FocusFactor,N(ResourceTable[[#This Row],[Focus %]]))</f>
        <v>0.8</v>
      </c>
      <c r="R34" s="23"/>
      <c r="S34" s="23"/>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c r="AY34" s="23"/>
      <c r="AZ34" s="23"/>
      <c r="BA34" s="23"/>
    </row>
    <row r="35" customFormat="false" ht="15" hidden="false" customHeight="false" outlineLevel="0" collapsed="false">
      <c r="B35" s="23"/>
      <c r="C35" s="23"/>
      <c r="D35" s="23"/>
      <c r="E35" s="23"/>
      <c r="F35" s="65"/>
      <c r="G35" s="7"/>
      <c r="H35" s="7"/>
      <c r="I35" s="65"/>
      <c r="J35" s="23"/>
      <c r="K3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3"/>
      <c r="N3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5" s="94" t="n">
        <f aca="false">IF(ResourceTable[[#This Row],[Focus %]]="",FocusFactor,N(ResourceTable[[#This Row],[Focus %]]))</f>
        <v>0.8</v>
      </c>
      <c r="R35" s="23"/>
      <c r="S35" s="23"/>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c r="AY35" s="23"/>
      <c r="AZ35" s="23"/>
      <c r="BA35" s="23"/>
    </row>
    <row r="36" customFormat="false" ht="15" hidden="false" customHeight="false" outlineLevel="0" collapsed="false">
      <c r="B36" s="23"/>
      <c r="C36" s="23"/>
      <c r="D36" s="23"/>
      <c r="E36" s="23"/>
      <c r="F36" s="65"/>
      <c r="G36" s="7"/>
      <c r="H36" s="7"/>
      <c r="I36" s="65"/>
      <c r="J36" s="23"/>
      <c r="K3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3"/>
      <c r="N3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6" s="94" t="n">
        <f aca="false">IF(ResourceTable[[#This Row],[Focus %]]="",FocusFactor,N(ResourceTable[[#This Row],[Focus %]]))</f>
        <v>0.8</v>
      </c>
      <c r="R36" s="23"/>
      <c r="S36" s="23"/>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c r="AY36" s="23"/>
      <c r="AZ36" s="23"/>
      <c r="BA36" s="23"/>
    </row>
    <row r="37" customFormat="false" ht="15" hidden="false" customHeight="false" outlineLevel="0" collapsed="false">
      <c r="B37" s="23"/>
      <c r="C37" s="23"/>
      <c r="D37" s="23"/>
      <c r="E37" s="23"/>
      <c r="F37" s="65"/>
      <c r="G37" s="7"/>
      <c r="H37" s="7"/>
      <c r="I37" s="65"/>
      <c r="J37" s="23"/>
      <c r="K3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3"/>
      <c r="N3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7" s="94" t="n">
        <f aca="false">IF(ResourceTable[[#This Row],[Focus %]]="",FocusFactor,N(ResourceTable[[#This Row],[Focus %]]))</f>
        <v>0.8</v>
      </c>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row>
    <row r="38" customFormat="false" ht="15" hidden="false" customHeight="false" outlineLevel="0" collapsed="false">
      <c r="B38" s="23"/>
      <c r="C38" s="23"/>
      <c r="D38" s="23"/>
      <c r="E38" s="23"/>
      <c r="F38" s="65"/>
      <c r="G38" s="7"/>
      <c r="H38" s="7"/>
      <c r="I38" s="65"/>
      <c r="J38" s="23"/>
      <c r="K3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3"/>
      <c r="N3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8" s="94" t="n">
        <f aca="false">IF(ResourceTable[[#This Row],[Focus %]]="",FocusFactor,N(ResourceTable[[#This Row],[Focus %]]))</f>
        <v>0.8</v>
      </c>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row>
    <row r="39" customFormat="false" ht="15" hidden="false" customHeight="false" outlineLevel="0" collapsed="false">
      <c r="B39" s="23"/>
      <c r="C39" s="23"/>
      <c r="D39" s="23"/>
      <c r="E39" s="23"/>
      <c r="F39" s="65"/>
      <c r="G39" s="7"/>
      <c r="H39" s="7"/>
      <c r="I39" s="65"/>
      <c r="J39" s="23"/>
      <c r="K3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3"/>
      <c r="N3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9" s="94" t="n">
        <f aca="false">IF(ResourceTable[[#This Row],[Focus %]]="",FocusFactor,N(ResourceTable[[#This Row],[Focus %]]))</f>
        <v>0.8</v>
      </c>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row>
    <row r="40" customFormat="false" ht="15" hidden="false" customHeight="false" outlineLevel="0" collapsed="false">
      <c r="B40" s="23"/>
      <c r="C40" s="23"/>
      <c r="D40" s="23"/>
      <c r="E40" s="23"/>
      <c r="F40" s="65"/>
      <c r="G40" s="7"/>
      <c r="H40" s="7"/>
      <c r="I40" s="65"/>
      <c r="J40" s="23"/>
      <c r="K4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3"/>
      <c r="N4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0" s="94" t="n">
        <f aca="false">IF(ResourceTable[[#This Row],[Focus %]]="",FocusFactor,N(ResourceTable[[#This Row],[Focus %]]))</f>
        <v>0.8</v>
      </c>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row>
    <row r="41" customFormat="false" ht="15" hidden="false" customHeight="false" outlineLevel="0" collapsed="false">
      <c r="B41" s="23"/>
      <c r="C41" s="23"/>
      <c r="D41" s="23"/>
      <c r="E41" s="23"/>
      <c r="F41" s="65"/>
      <c r="G41" s="7"/>
      <c r="H41" s="7"/>
      <c r="I41" s="65"/>
      <c r="J41" s="23"/>
      <c r="K4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3"/>
      <c r="N4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1" s="94" t="n">
        <f aca="false">IF(ResourceTable[[#This Row],[Focus %]]="",FocusFactor,N(ResourceTable[[#This Row],[Focus %]]))</f>
        <v>0.8</v>
      </c>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row>
    <row r="42" customFormat="false" ht="15" hidden="false" customHeight="false" outlineLevel="0" collapsed="false">
      <c r="B42" s="23"/>
      <c r="C42" s="23"/>
      <c r="D42" s="23"/>
      <c r="E42" s="23"/>
      <c r="F42" s="65"/>
      <c r="G42" s="7"/>
      <c r="H42" s="7"/>
      <c r="I42" s="65"/>
      <c r="J42" s="23"/>
      <c r="K4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3"/>
      <c r="N4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2" s="94" t="n">
        <f aca="false">IF(ResourceTable[[#This Row],[Focus %]]="",FocusFactor,N(ResourceTable[[#This Row],[Focus %]]))</f>
        <v>0.8</v>
      </c>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row>
    <row r="43" customFormat="false" ht="15" hidden="false" customHeight="false" outlineLevel="0" collapsed="false">
      <c r="B43" s="23"/>
      <c r="C43" s="23"/>
      <c r="D43" s="23"/>
      <c r="E43" s="23"/>
      <c r="F43" s="65"/>
      <c r="G43" s="7"/>
      <c r="H43" s="7"/>
      <c r="I43" s="65"/>
      <c r="J43" s="23"/>
      <c r="K4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3"/>
      <c r="N4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3" s="94" t="n">
        <f aca="false">IF(ResourceTable[[#This Row],[Focus %]]="",FocusFactor,N(ResourceTable[[#This Row],[Focus %]]))</f>
        <v>0.8</v>
      </c>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row>
    <row r="44" customFormat="false" ht="15" hidden="false" customHeight="false" outlineLevel="0" collapsed="false">
      <c r="B44" s="23"/>
      <c r="C44" s="23"/>
      <c r="D44" s="23"/>
      <c r="E44" s="23"/>
      <c r="F44" s="65"/>
      <c r="G44" s="7"/>
      <c r="H44" s="7"/>
      <c r="I44" s="65"/>
      <c r="J44" s="23"/>
      <c r="K4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3"/>
      <c r="N4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4" s="94" t="n">
        <f aca="false">IF(ResourceTable[[#This Row],[Focus %]]="",FocusFactor,N(ResourceTable[[#This Row],[Focus %]]))</f>
        <v>0.8</v>
      </c>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row>
    <row r="45" customFormat="false" ht="15" hidden="false" customHeight="false" outlineLevel="0" collapsed="false">
      <c r="B45" s="23"/>
      <c r="C45" s="23"/>
      <c r="D45" s="23"/>
      <c r="E45" s="23"/>
      <c r="F45" s="65"/>
      <c r="G45" s="7"/>
      <c r="H45" s="7"/>
      <c r="I45" s="65"/>
      <c r="J45" s="23"/>
      <c r="K4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3"/>
      <c r="N4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5" s="94" t="n">
        <f aca="false">IF(ResourceTable[[#This Row],[Focus %]]="",FocusFactor,N(ResourceTable[[#This Row],[Focus %]]))</f>
        <v>0.8</v>
      </c>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row>
    <row r="46" customFormat="false" ht="15" hidden="false" customHeight="false" outlineLevel="0" collapsed="false">
      <c r="B46" s="23"/>
      <c r="C46" s="23"/>
      <c r="D46" s="23"/>
      <c r="E46" s="23"/>
      <c r="F46" s="65"/>
      <c r="G46" s="7"/>
      <c r="H46" s="7"/>
      <c r="I46" s="65"/>
      <c r="J46" s="23"/>
      <c r="K4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3"/>
      <c r="N4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6" s="94" t="n">
        <f aca="false">IF(ResourceTable[[#This Row],[Focus %]]="",FocusFactor,N(ResourceTable[[#This Row],[Focus %]]))</f>
        <v>0.8</v>
      </c>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row>
    <row r="47" customFormat="false" ht="15" hidden="false" customHeight="false" outlineLevel="0" collapsed="false">
      <c r="B47" s="23"/>
      <c r="C47" s="23"/>
      <c r="D47" s="23"/>
      <c r="E47" s="23"/>
      <c r="F47" s="65"/>
      <c r="G47" s="7"/>
      <c r="H47" s="7"/>
      <c r="I47" s="65"/>
      <c r="J47" s="23"/>
      <c r="K4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3"/>
      <c r="N4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7" s="94" t="n">
        <f aca="false">IF(ResourceTable[[#This Row],[Focus %]]="",FocusFactor,N(ResourceTable[[#This Row],[Focus %]]))</f>
        <v>0.8</v>
      </c>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row>
    <row r="48" customFormat="false" ht="15" hidden="false" customHeight="false" outlineLevel="0" collapsed="false">
      <c r="B48" s="23"/>
      <c r="C48" s="23"/>
      <c r="D48" s="23"/>
      <c r="E48" s="23"/>
      <c r="F48" s="65"/>
      <c r="G48" s="7"/>
      <c r="H48" s="7"/>
      <c r="I48" s="65"/>
      <c r="J48" s="23"/>
      <c r="K4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3"/>
      <c r="N4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8" s="94" t="n">
        <f aca="false">IF(ResourceTable[[#This Row],[Focus %]]="",FocusFactor,N(ResourceTable[[#This Row],[Focus %]]))</f>
        <v>0.8</v>
      </c>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row>
    <row r="49" customFormat="false" ht="15" hidden="false" customHeight="false" outlineLevel="0" collapsed="false">
      <c r="B49" s="23"/>
      <c r="C49" s="23"/>
      <c r="D49" s="23"/>
      <c r="E49" s="23"/>
      <c r="F49" s="65"/>
      <c r="G49" s="7"/>
      <c r="H49" s="7"/>
      <c r="I49" s="65"/>
      <c r="J49" s="23"/>
      <c r="K4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3"/>
      <c r="N4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9" s="94" t="n">
        <f aca="false">IF(ResourceTable[[#This Row],[Focus %]]="",FocusFactor,N(ResourceTable[[#This Row],[Focus %]]))</f>
        <v>0.8</v>
      </c>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row>
    <row r="50" customFormat="false" ht="15" hidden="false" customHeight="false" outlineLevel="0" collapsed="false">
      <c r="B50" s="23"/>
      <c r="C50" s="23"/>
      <c r="D50" s="23"/>
      <c r="E50" s="23"/>
      <c r="F50" s="65"/>
      <c r="G50" s="7"/>
      <c r="H50" s="7"/>
      <c r="I50" s="65"/>
      <c r="J50" s="23"/>
      <c r="K5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3"/>
      <c r="N5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0" s="94" t="n">
        <f aca="false">IF(ResourceTable[[#This Row],[Focus %]]="",FocusFactor,N(ResourceTable[[#This Row],[Focus %]]))</f>
        <v>0.8</v>
      </c>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row>
    <row r="51" customFormat="false" ht="15" hidden="false" customHeight="false" outlineLevel="0" collapsed="false">
      <c r="B51" s="23"/>
      <c r="C51" s="23"/>
      <c r="D51" s="23"/>
      <c r="E51" s="23"/>
      <c r="F51" s="65"/>
      <c r="G51" s="7"/>
      <c r="H51" s="7"/>
      <c r="I51" s="65"/>
      <c r="J51" s="23"/>
      <c r="K5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3"/>
      <c r="N5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1" s="94" t="n">
        <f aca="false">IF(ResourceTable[[#This Row],[Focus %]]="",FocusFactor,N(ResourceTable[[#This Row],[Focus %]]))</f>
        <v>0.8</v>
      </c>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row>
    <row r="52" customFormat="false" ht="15" hidden="false" customHeight="false" outlineLevel="0" collapsed="false">
      <c r="B52" s="23"/>
      <c r="C52" s="23"/>
      <c r="D52" s="23"/>
      <c r="E52" s="23"/>
      <c r="F52" s="65"/>
      <c r="G52" s="7"/>
      <c r="H52" s="7"/>
      <c r="I52" s="65"/>
      <c r="J52" s="23"/>
      <c r="K5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3"/>
      <c r="N5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2" s="94" t="n">
        <f aca="false">IF(ResourceTable[[#This Row],[Focus %]]="",FocusFactor,N(ResourceTable[[#This Row],[Focus %]]))</f>
        <v>0.8</v>
      </c>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row>
    <row r="53" customFormat="false" ht="15" hidden="false" customHeight="false" outlineLevel="0" collapsed="false">
      <c r="B53" s="23"/>
      <c r="C53" s="23"/>
      <c r="D53" s="23"/>
      <c r="E53" s="23"/>
      <c r="F53" s="65"/>
      <c r="G53" s="7"/>
      <c r="H53" s="7"/>
      <c r="I53" s="65"/>
      <c r="J53" s="23"/>
      <c r="K5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3"/>
      <c r="N5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3" s="94" t="n">
        <f aca="false">IF(ResourceTable[[#This Row],[Focus %]]="",FocusFactor,N(ResourceTable[[#This Row],[Focus %]]))</f>
        <v>0.8</v>
      </c>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row>
    <row r="54" customFormat="false" ht="15" hidden="false" customHeight="false" outlineLevel="0" collapsed="false">
      <c r="B54" s="23"/>
      <c r="C54" s="23"/>
      <c r="D54" s="23"/>
      <c r="E54" s="23"/>
      <c r="F54" s="65"/>
      <c r="G54" s="7"/>
      <c r="H54" s="7"/>
      <c r="I54" s="65"/>
      <c r="J54" s="23"/>
      <c r="K5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3"/>
      <c r="N5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4" s="94" t="n">
        <f aca="false">IF(ResourceTable[[#This Row],[Focus %]]="",FocusFactor,N(ResourceTable[[#This Row],[Focus %]]))</f>
        <v>0.8</v>
      </c>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row>
    <row r="55" customFormat="false" ht="15" hidden="false" customHeight="false" outlineLevel="0" collapsed="false">
      <c r="B55" s="23"/>
      <c r="C55" s="23"/>
      <c r="D55" s="23"/>
      <c r="E55" s="23"/>
      <c r="F55" s="65"/>
      <c r="G55" s="7"/>
      <c r="H55" s="7"/>
      <c r="I55" s="65"/>
      <c r="J55" s="23"/>
      <c r="K5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3"/>
      <c r="N5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5" s="94" t="n">
        <f aca="false">IF(ResourceTable[[#This Row],[Focus %]]="",FocusFactor,N(ResourceTable[[#This Row],[Focus %]]))</f>
        <v>0.8</v>
      </c>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row>
    <row r="58" customFormat="false" ht="15" hidden="false" customHeight="false" outlineLevel="0" collapsed="false">
      <c r="B58" s="28" t="s">
        <v>740</v>
      </c>
    </row>
    <row r="60" customFormat="false" ht="23.85" hidden="false" customHeight="false" outlineLevel="0" collapsed="false">
      <c r="B60" s="18" t="s">
        <v>741</v>
      </c>
      <c r="C60" s="18" t="s">
        <v>742</v>
      </c>
      <c r="D60" s="18" t="s">
        <v>743</v>
      </c>
      <c r="E60" s="18" t="s">
        <v>744</v>
      </c>
      <c r="F60" s="18" t="s">
        <v>745</v>
      </c>
      <c r="G60" s="18" t="s">
        <v>746</v>
      </c>
      <c r="H60" s="18" t="s">
        <v>747</v>
      </c>
      <c r="I60" s="18" t="s">
        <v>748</v>
      </c>
      <c r="J60" s="18" t="s">
        <v>749</v>
      </c>
      <c r="K60" s="18" t="s">
        <v>750</v>
      </c>
      <c r="L60" s="18" t="s">
        <v>751</v>
      </c>
      <c r="M60" s="18" t="s">
        <v>752</v>
      </c>
      <c r="N60" s="18" t="s">
        <v>753</v>
      </c>
      <c r="O60" s="18" t="s">
        <v>754</v>
      </c>
      <c r="P60" s="18" t="s">
        <v>755</v>
      </c>
      <c r="Q60" s="18" t="s">
        <v>756</v>
      </c>
      <c r="R60" s="18" t="s">
        <v>757</v>
      </c>
      <c r="S60" s="18" t="s">
        <v>758</v>
      </c>
      <c r="T60" s="18" t="s">
        <v>759</v>
      </c>
      <c r="U60" s="18" t="s">
        <v>760</v>
      </c>
      <c r="V60" s="18" t="s">
        <v>761</v>
      </c>
      <c r="W60" s="18" t="s">
        <v>762</v>
      </c>
      <c r="X60" s="18" t="s">
        <v>763</v>
      </c>
      <c r="Y60" s="18" t="s">
        <v>764</v>
      </c>
      <c r="Z60" s="18" t="s">
        <v>765</v>
      </c>
      <c r="AA60" s="18" t="s">
        <v>766</v>
      </c>
      <c r="AB60" s="18" t="s">
        <v>767</v>
      </c>
      <c r="AC60" s="18" t="s">
        <v>768</v>
      </c>
      <c r="AD60" s="18" t="s">
        <v>769</v>
      </c>
      <c r="AE60" s="18" t="s">
        <v>770</v>
      </c>
      <c r="AF60" s="18" t="s">
        <v>771</v>
      </c>
      <c r="AG60" s="18" t="s">
        <v>772</v>
      </c>
      <c r="AH60" s="18" t="s">
        <v>773</v>
      </c>
      <c r="AI60" s="17" t="s">
        <v>774</v>
      </c>
      <c r="AJ60" s="42" t="s">
        <v>775</v>
      </c>
    </row>
    <row r="61" customFormat="false" ht="15" hidden="false" customHeight="false" outlineLevel="0" collapsed="false">
      <c r="B61" s="23" t="s">
        <v>651</v>
      </c>
      <c r="C61" s="23" t="s">
        <v>689</v>
      </c>
      <c r="D61" s="22"/>
      <c r="E61" s="22"/>
      <c r="F61" s="22"/>
      <c r="G61" s="22"/>
      <c r="H61" s="22"/>
      <c r="I61" s="22"/>
      <c r="J61" s="22"/>
      <c r="K61" s="22"/>
      <c r="L61" s="22"/>
      <c r="M61" s="22"/>
      <c r="N61" s="22"/>
      <c r="O61" s="22"/>
      <c r="P61" s="22"/>
      <c r="Q61" s="22"/>
      <c r="R61" s="22"/>
      <c r="S61" s="22" t="n">
        <v>1</v>
      </c>
      <c r="T61" s="22" t="n">
        <v>0.5</v>
      </c>
      <c r="U61" s="22" t="n">
        <v>1</v>
      </c>
      <c r="V61" s="22" t="n">
        <v>1</v>
      </c>
      <c r="W61" s="22" t="n">
        <v>1</v>
      </c>
      <c r="X61" s="22"/>
      <c r="Y61" s="22"/>
      <c r="Z61" s="22" t="n">
        <v>1</v>
      </c>
      <c r="AA61" s="22" t="n">
        <v>1</v>
      </c>
      <c r="AB61" s="22" t="n">
        <v>1</v>
      </c>
      <c r="AC61" s="22" t="n">
        <v>1</v>
      </c>
      <c r="AD61" s="22" t="n">
        <v>1</v>
      </c>
      <c r="AE61" s="22"/>
      <c r="AF61" s="22"/>
      <c r="AG61" s="22"/>
      <c r="AH61" s="22"/>
      <c r="AI6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16, 17(0.5), 18, 19, 20, 23, 24, 25, 26, 27</v>
      </c>
      <c r="AJ61" s="43" t="str">
        <f aca="false">LeaveDays[[#This Row],[Resource]]&amp;"|"&amp;LeaveDays[[#This Row],[Month]]</f>
        <v>Casey Kim|Nov-26</v>
      </c>
    </row>
    <row r="62" customFormat="false" ht="15" hidden="false" customHeight="false" outlineLevel="0" collapsed="false">
      <c r="B62" s="23" t="s">
        <v>729</v>
      </c>
      <c r="C62" s="23" t="s">
        <v>688</v>
      </c>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t="n">
        <v>1</v>
      </c>
      <c r="AH62" s="22"/>
      <c r="AI6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30</v>
      </c>
      <c r="AJ62" s="43" t="str">
        <f aca="false">LeaveDays[[#This Row],[Resource]]&amp;"|"&amp;LeaveDays[[#This Row],[Month]]</f>
        <v>Jordan Lee|Oct-26</v>
      </c>
    </row>
    <row r="63" customFormat="false" ht="15" hidden="false" customHeight="false" outlineLevel="0" collapsed="false">
      <c r="B63" s="23" t="s">
        <v>729</v>
      </c>
      <c r="C63" s="23" t="s">
        <v>690</v>
      </c>
      <c r="D63" s="22"/>
      <c r="E63" s="22"/>
      <c r="F63" s="22"/>
      <c r="G63" s="22"/>
      <c r="H63" s="22"/>
      <c r="I63" s="22"/>
      <c r="J63" s="22"/>
      <c r="K63" s="22"/>
      <c r="L63" s="22"/>
      <c r="M63" s="22"/>
      <c r="N63" s="22"/>
      <c r="O63" s="22"/>
      <c r="P63" s="22"/>
      <c r="Q63" s="22"/>
      <c r="R63" s="22"/>
      <c r="S63" s="22"/>
      <c r="T63" s="22"/>
      <c r="U63" s="22"/>
      <c r="V63" s="22"/>
      <c r="W63" s="22"/>
      <c r="X63" s="22" t="n">
        <v>1</v>
      </c>
      <c r="Y63" s="22" t="n">
        <v>1</v>
      </c>
      <c r="Z63" s="22" t="n">
        <v>0.5</v>
      </c>
      <c r="AA63" s="22"/>
      <c r="AB63" s="22"/>
      <c r="AC63" s="22"/>
      <c r="AD63" s="22"/>
      <c r="AE63" s="22"/>
      <c r="AF63" s="22"/>
      <c r="AG63" s="22"/>
      <c r="AH63" s="22"/>
      <c r="AI6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21, 22, 23(0.5)</v>
      </c>
      <c r="AJ63" s="43" t="str">
        <f aca="false">LeaveDays[[#This Row],[Resource]]&amp;"|"&amp;LeaveDays[[#This Row],[Month]]</f>
        <v>Jordan Lee|Dec-26</v>
      </c>
    </row>
    <row r="64" customFormat="false" ht="15" hidden="false" customHeight="false" outlineLevel="0" collapsed="false">
      <c r="B64" s="23"/>
      <c r="C64" s="23"/>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43" t="str">
        <f aca="false">LeaveDays[[#This Row],[Resource]]&amp;"|"&amp;LeaveDays[[#This Row],[Month]]</f>
        <v>|</v>
      </c>
    </row>
    <row r="65" customFormat="false" ht="15" hidden="false" customHeight="false" outlineLevel="0" collapsed="false">
      <c r="B65" s="23"/>
      <c r="C65" s="23"/>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43" t="str">
        <f aca="false">LeaveDays[[#This Row],[Resource]]&amp;"|"&amp;LeaveDays[[#This Row],[Month]]</f>
        <v>|</v>
      </c>
    </row>
    <row r="66" customFormat="false" ht="15" hidden="false" customHeight="false" outlineLevel="0" collapsed="false">
      <c r="B66" s="23"/>
      <c r="C66" s="23"/>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43" t="str">
        <f aca="false">LeaveDays[[#This Row],[Resource]]&amp;"|"&amp;LeaveDays[[#This Row],[Month]]</f>
        <v>|</v>
      </c>
    </row>
    <row r="67" customFormat="false" ht="15" hidden="false" customHeight="false" outlineLevel="0" collapsed="false">
      <c r="B67" s="23"/>
      <c r="C67" s="23"/>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43" t="str">
        <f aca="false">LeaveDays[[#This Row],[Resource]]&amp;"|"&amp;LeaveDays[[#This Row],[Month]]</f>
        <v>|</v>
      </c>
    </row>
    <row r="68" customFormat="false" ht="15" hidden="false" customHeight="false" outlineLevel="0" collapsed="false">
      <c r="B68" s="23"/>
      <c r="C68" s="23"/>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43" t="str">
        <f aca="false">LeaveDays[[#This Row],[Resource]]&amp;"|"&amp;LeaveDays[[#This Row],[Month]]</f>
        <v>|</v>
      </c>
    </row>
    <row r="69" customFormat="false" ht="15" hidden="false" customHeight="false" outlineLevel="0" collapsed="false">
      <c r="B69" s="23"/>
      <c r="C69" s="23"/>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43" t="str">
        <f aca="false">LeaveDays[[#This Row],[Resource]]&amp;"|"&amp;LeaveDays[[#This Row],[Month]]</f>
        <v>|</v>
      </c>
    </row>
    <row r="70" customFormat="false" ht="15" hidden="false" customHeight="false" outlineLevel="0" collapsed="false">
      <c r="B70" s="23"/>
      <c r="C70" s="23"/>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43" t="str">
        <f aca="false">LeaveDays[[#This Row],[Resource]]&amp;"|"&amp;LeaveDays[[#This Row],[Month]]</f>
        <v>|</v>
      </c>
    </row>
    <row r="71" customFormat="false" ht="15" hidden="false" customHeight="false" outlineLevel="0" collapsed="false">
      <c r="B71" s="23"/>
      <c r="C71" s="23"/>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43" t="str">
        <f aca="false">LeaveDays[[#This Row],[Resource]]&amp;"|"&amp;LeaveDays[[#This Row],[Month]]</f>
        <v>|</v>
      </c>
    </row>
    <row r="72" customFormat="false" ht="15" hidden="false" customHeight="false" outlineLevel="0" collapsed="false">
      <c r="B72" s="23"/>
      <c r="C72" s="23"/>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43" t="str">
        <f aca="false">LeaveDays[[#This Row],[Resource]]&amp;"|"&amp;LeaveDays[[#This Row],[Month]]</f>
        <v>|</v>
      </c>
    </row>
    <row r="73" customFormat="false" ht="15" hidden="false" customHeight="false" outlineLevel="0" collapsed="false">
      <c r="B73" s="23"/>
      <c r="C73" s="23"/>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43" t="str">
        <f aca="false">LeaveDays[[#This Row],[Resource]]&amp;"|"&amp;LeaveDays[[#This Row],[Month]]</f>
        <v>|</v>
      </c>
    </row>
    <row r="74" customFormat="false" ht="15" hidden="false" customHeight="false" outlineLevel="0" collapsed="false">
      <c r="B74" s="23"/>
      <c r="C74" s="23"/>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43" t="str">
        <f aca="false">LeaveDays[[#This Row],[Resource]]&amp;"|"&amp;LeaveDays[[#This Row],[Month]]</f>
        <v>|</v>
      </c>
    </row>
    <row r="75" customFormat="false" ht="15" hidden="false" customHeight="false" outlineLevel="0" collapsed="false">
      <c r="B75" s="23"/>
      <c r="C75" s="23"/>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43" t="str">
        <f aca="false">LeaveDays[[#This Row],[Resource]]&amp;"|"&amp;LeaveDays[[#This Row],[Month]]</f>
        <v>|</v>
      </c>
    </row>
    <row r="76" customFormat="false" ht="15" hidden="false" customHeight="false" outlineLevel="0" collapsed="false">
      <c r="B76" s="23"/>
      <c r="C76" s="23"/>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43" t="str">
        <f aca="false">LeaveDays[[#This Row],[Resource]]&amp;"|"&amp;LeaveDays[[#This Row],[Month]]</f>
        <v>|</v>
      </c>
    </row>
    <row r="77" customFormat="false" ht="15" hidden="false" customHeight="false" outlineLevel="0" collapsed="false">
      <c r="B77" s="23"/>
      <c r="C77" s="23"/>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43" t="str">
        <f aca="false">LeaveDays[[#This Row],[Resource]]&amp;"|"&amp;LeaveDays[[#This Row],[Month]]</f>
        <v>|</v>
      </c>
    </row>
    <row r="78" customFormat="false" ht="15" hidden="false" customHeight="false" outlineLevel="0" collapsed="false">
      <c r="B78" s="23"/>
      <c r="C78" s="23"/>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43" t="str">
        <f aca="false">LeaveDays[[#This Row],[Resource]]&amp;"|"&amp;LeaveDays[[#This Row],[Month]]</f>
        <v>|</v>
      </c>
    </row>
    <row r="79" customFormat="false" ht="15" hidden="false" customHeight="false" outlineLevel="0" collapsed="false">
      <c r="B79" s="23"/>
      <c r="C79" s="23"/>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43" t="str">
        <f aca="false">LeaveDays[[#This Row],[Resource]]&amp;"|"&amp;LeaveDays[[#This Row],[Month]]</f>
        <v>|</v>
      </c>
    </row>
    <row r="80" customFormat="false" ht="15" hidden="false" customHeight="false" outlineLevel="0" collapsed="false">
      <c r="B80" s="23"/>
      <c r="C80" s="23"/>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43" t="str">
        <f aca="false">LeaveDays[[#This Row],[Resource]]&amp;"|"&amp;LeaveDays[[#This Row],[Month]]</f>
        <v>|</v>
      </c>
    </row>
    <row r="81" customFormat="false" ht="15" hidden="false" customHeight="false" outlineLevel="0" collapsed="false">
      <c r="B81" s="23"/>
      <c r="C81" s="23"/>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43" t="str">
        <f aca="false">LeaveDays[[#This Row],[Resource]]&amp;"|"&amp;LeaveDays[[#This Row],[Month]]</f>
        <v>|</v>
      </c>
    </row>
    <row r="82" customFormat="false" ht="15" hidden="false" customHeight="false" outlineLevel="0" collapsed="false">
      <c r="B82" s="23"/>
      <c r="C82" s="23"/>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43" t="str">
        <f aca="false">LeaveDays[[#This Row],[Resource]]&amp;"|"&amp;LeaveDays[[#This Row],[Month]]</f>
        <v>|</v>
      </c>
    </row>
    <row r="83" customFormat="false" ht="15" hidden="false" customHeight="false" outlineLevel="0" collapsed="false">
      <c r="B83" s="23"/>
      <c r="C83" s="23"/>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43" t="str">
        <f aca="false">LeaveDays[[#This Row],[Resource]]&amp;"|"&amp;LeaveDays[[#This Row],[Month]]</f>
        <v>|</v>
      </c>
    </row>
    <row r="84" customFormat="false" ht="15" hidden="false" customHeight="false" outlineLevel="0" collapsed="false">
      <c r="B84" s="23"/>
      <c r="C84" s="23"/>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43" t="str">
        <f aca="false">LeaveDays[[#This Row],[Resource]]&amp;"|"&amp;LeaveDays[[#This Row],[Month]]</f>
        <v>|</v>
      </c>
    </row>
    <row r="85" customFormat="false" ht="15" hidden="false" customHeight="false" outlineLevel="0" collapsed="false">
      <c r="B85" s="23"/>
      <c r="C85" s="23"/>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43" t="str">
        <f aca="false">LeaveDays[[#This Row],[Resource]]&amp;"|"&amp;LeaveDays[[#This Row],[Month]]</f>
        <v>|</v>
      </c>
    </row>
    <row r="86" customFormat="false" ht="15" hidden="false" customHeight="false" outlineLevel="0" collapsed="false">
      <c r="B86" s="23"/>
      <c r="C86" s="23"/>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43" t="str">
        <f aca="false">LeaveDays[[#This Row],[Resource]]&amp;"|"&amp;LeaveDays[[#This Row],[Month]]</f>
        <v>|</v>
      </c>
    </row>
    <row r="87" customFormat="false" ht="15" hidden="false" customHeight="false" outlineLevel="0" collapsed="false">
      <c r="B87" s="23"/>
      <c r="C87" s="23"/>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43" t="str">
        <f aca="false">LeaveDays[[#This Row],[Resource]]&amp;"|"&amp;LeaveDays[[#This Row],[Month]]</f>
        <v>|</v>
      </c>
    </row>
    <row r="88" customFormat="false" ht="15" hidden="false" customHeight="false" outlineLevel="0" collapsed="false">
      <c r="B88" s="23"/>
      <c r="C88" s="23"/>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43" t="str">
        <f aca="false">LeaveDays[[#This Row],[Resource]]&amp;"|"&amp;LeaveDays[[#This Row],[Month]]</f>
        <v>|</v>
      </c>
    </row>
    <row r="89" customFormat="false" ht="15" hidden="false" customHeight="false" outlineLevel="0" collapsed="false">
      <c r="B89" s="23"/>
      <c r="C89" s="23"/>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43" t="str">
        <f aca="false">LeaveDays[[#This Row],[Resource]]&amp;"|"&amp;LeaveDays[[#This Row],[Month]]</f>
        <v>|</v>
      </c>
    </row>
    <row r="90" customFormat="false" ht="15" hidden="false" customHeight="false" outlineLevel="0" collapsed="false">
      <c r="B90" s="23"/>
      <c r="C90" s="23"/>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43" t="str">
        <f aca="false">LeaveDays[[#This Row],[Resource]]&amp;"|"&amp;LeaveDays[[#This Row],[Month]]</f>
        <v>|</v>
      </c>
    </row>
    <row r="91" customFormat="false" ht="15" hidden="false" customHeight="false" outlineLevel="0" collapsed="false">
      <c r="B91" s="23"/>
      <c r="C91" s="23"/>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43" t="str">
        <f aca="false">LeaveDays[[#This Row],[Resource]]&amp;"|"&amp;LeaveDays[[#This Row],[Month]]</f>
        <v>|</v>
      </c>
    </row>
    <row r="92" customFormat="false" ht="15" hidden="false" customHeight="false" outlineLevel="0" collapsed="false">
      <c r="B92" s="23"/>
      <c r="C92" s="23"/>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43" t="str">
        <f aca="false">LeaveDays[[#This Row],[Resource]]&amp;"|"&amp;LeaveDays[[#This Row],[Month]]</f>
        <v>|</v>
      </c>
    </row>
    <row r="93" customFormat="false" ht="15" hidden="false" customHeight="false" outlineLevel="0" collapsed="false">
      <c r="B93" s="23"/>
      <c r="C93" s="23"/>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43" t="str">
        <f aca="false">LeaveDays[[#This Row],[Resource]]&amp;"|"&amp;LeaveDays[[#This Row],[Month]]</f>
        <v>|</v>
      </c>
    </row>
    <row r="94" customFormat="false" ht="15" hidden="false" customHeight="false" outlineLevel="0" collapsed="false">
      <c r="B94" s="23"/>
      <c r="C94" s="23"/>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43" t="str">
        <f aca="false">LeaveDays[[#This Row],[Resource]]&amp;"|"&amp;LeaveDays[[#This Row],[Month]]</f>
        <v>|</v>
      </c>
    </row>
    <row r="95" customFormat="false" ht="15" hidden="false" customHeight="false" outlineLevel="0" collapsed="false">
      <c r="B95" s="23"/>
      <c r="C95" s="23"/>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43" t="str">
        <f aca="false">LeaveDays[[#This Row],[Resource]]&amp;"|"&amp;LeaveDays[[#This Row],[Month]]</f>
        <v>|</v>
      </c>
    </row>
    <row r="96" customFormat="false" ht="15" hidden="false" customHeight="false" outlineLevel="0" collapsed="false">
      <c r="B96" s="23"/>
      <c r="C96" s="23"/>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43" t="str">
        <f aca="false">LeaveDays[[#This Row],[Resource]]&amp;"|"&amp;LeaveDays[[#This Row],[Month]]</f>
        <v>|</v>
      </c>
    </row>
    <row r="97" customFormat="false" ht="15" hidden="false" customHeight="false" outlineLevel="0" collapsed="false">
      <c r="B97" s="23"/>
      <c r="C97" s="23"/>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43" t="str">
        <f aca="false">LeaveDays[[#This Row],[Resource]]&amp;"|"&amp;LeaveDays[[#This Row],[Month]]</f>
        <v>|</v>
      </c>
    </row>
    <row r="98" customFormat="false" ht="15" hidden="false" customHeight="false" outlineLevel="0" collapsed="false">
      <c r="B98" s="23"/>
      <c r="C98" s="23"/>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43" t="str">
        <f aca="false">LeaveDays[[#This Row],[Resource]]&amp;"|"&amp;LeaveDays[[#This Row],[Month]]</f>
        <v>|</v>
      </c>
    </row>
    <row r="99" customFormat="false" ht="15" hidden="false" customHeight="false" outlineLevel="0" collapsed="false">
      <c r="B99" s="23"/>
      <c r="C99" s="23"/>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43" t="str">
        <f aca="false">LeaveDays[[#This Row],[Resource]]&amp;"|"&amp;LeaveDays[[#This Row],[Month]]</f>
        <v>|</v>
      </c>
    </row>
    <row r="100" customFormat="false" ht="15" hidden="false" customHeight="false" outlineLevel="0" collapsed="false">
      <c r="B100" s="23"/>
      <c r="C100" s="23"/>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43" t="str">
        <f aca="false">LeaveDays[[#This Row],[Resource]]&amp;"|"&amp;LeaveDays[[#This Row],[Month]]</f>
        <v>|</v>
      </c>
    </row>
  </sheetData>
  <dataValidations count="4">
    <dataValidation allowBlank="false" errorStyle="stop" operator="between" showDropDown="false" showErrorMessage="false" showInputMessage="false" sqref="E6:E55" type="list">
      <formula1>L_ResType</formula1>
      <formula2>0</formula2>
    </dataValidation>
    <dataValidation allowBlank="false" errorStyle="stop" operator="between" prompt="Pick the person (Resources)." promptTitle="Resource" showDropDown="false" showErrorMessage="true" showInputMessage="true" sqref="B61:B100" type="list">
      <formula1>res_Name</formula1>
      <formula2>0</formula2>
    </dataValidation>
    <dataValidation allowBlank="false" errorStyle="stop" operator="between" prompt="Pick the month: one of the month columns above, e.g. Nov-26." promptTitle="Month" showDropDown="false" showErrorMessage="true" showInputMessage="true" sqref="C61:C100" type="list">
      <formula1>leave_Months</formula1>
      <formula2>0</formula2>
    </dataValidation>
    <dataValidation allowBlank="false" error="1 = a day off, 0.5 = half a day." errorStyle="stop" operator="between" prompt="1 = all day, 0.5 = half a day. Weekends and holidays don't count." promptTitle="Day off" showDropDown="false" showErrorMessage="true" showInputMessage="true" sqref="D61:AH1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2026-10-28T12:24:38Z</dcterms:created>
  <dc:creator>openpyxl</dc:creator>
  <dc:description/>
  <dc:language>en-US</dc:language>
  <cp:lastModifiedBy/>
  <dcterms:modified xsi:type="dcterms:W3CDTF">2026-10-28T12:24:42Z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